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Povlovska\Desktop\"/>
    </mc:Choice>
  </mc:AlternateContent>
  <xr:revisionPtr revIDLastSave="0" documentId="8_{38FF2982-8777-4988-AC33-97C106A74CFD}" xr6:coauthVersionLast="47" xr6:coauthVersionMax="47" xr10:uidLastSave="{00000000-0000-0000-0000-000000000000}"/>
  <bookViews>
    <workbookView xWindow="-120" yWindow="-120" windowWidth="29040" windowHeight="17520" xr2:uid="{02D107F3-99C6-4C43-92C2-AABFBDA422E6}"/>
  </bookViews>
  <sheets>
    <sheet name="2023.gada budzeta plans_apvieno" sheetId="1" r:id="rId1"/>
  </sheets>
  <externalReferences>
    <externalReference r:id="rId2"/>
    <externalReference r:id="rId3"/>
    <externalReference r:id="rId4"/>
    <externalReference r:id="rId5"/>
  </externalReferences>
  <definedNames>
    <definedName name="_0812">[1]Groz_NIN_12_2014!#REF!</definedName>
    <definedName name="_xlnm._FilterDatabase" localSheetId="0" hidden="1">'2023.gada budzeta plans_apvieno'!#REF!</definedName>
    <definedName name="Apmaksa" localSheetId="0">[2]Apmaksa!$A:$A</definedName>
    <definedName name="Apmaksa">[3]Apmaksa!$A$1:$A$65536</definedName>
    <definedName name="Darijums" localSheetId="0">[2]Darijums!$A:$A</definedName>
    <definedName name="Darijums">[3]Darijums!$A$1:$A$65536</definedName>
    <definedName name="Excel_BuiltIn__FilterDatabase" localSheetId="0">[1]Groz_NIN_12_2014!#REF!</definedName>
    <definedName name="Excel_BuiltIn__FilterDatabase">[1]Groz_NIN_12_2014!#REF!</definedName>
    <definedName name="Firmas" localSheetId="0">[2]Firma!$A:$A</definedName>
    <definedName name="Firmas">[3]Firma!$A$1:$A$65536</definedName>
    <definedName name="KolonnasNosaukums1">[4]!Piedāvājums[[#Headers],[Apraksts]]</definedName>
    <definedName name="Parvadataji" localSheetId="0">[2]Ligumi!$A:$A</definedName>
    <definedName name="Parvadataji">[3]Ligumi!$A$1:$A$65536</definedName>
    <definedName name="_xlnm.Print_Area" localSheetId="0">'2023.gada budzeta plans_apvieno'!$E$1:$E$277</definedName>
    <definedName name="_xlnm.Print_Titles" localSheetId="0">'2023.gada budzeta plans_apvieno'!$5:$5</definedName>
    <definedName name="Saist_apmers_ar_galvojumu">[3]Ligumi!$A$1:$A$65536</definedName>
    <definedName name="Z_1893421C_DBAA_4C10_AA6C_4D0F39122205_.wvu.FilterData" localSheetId="0">[1]Groz_NIN_12_2014!#REF!</definedName>
    <definedName name="Z_1893421C_DBAA_4C10_AA6C_4D0F39122205_.wvu.FilterData">[1]Groz_NIN_12_2014!#REF!</definedName>
    <definedName name="Z_483F8D4B_D649_4D59_A67B_5E8B6C0D2E28_.wvu.FilterData" localSheetId="0">[1]Groz_NIN_12_2014!#REF!</definedName>
    <definedName name="Z_483F8D4B_D649_4D59_A67B_5E8B6C0D2E28_.wvu.FilterData">[1]Groz_NIN_12_2014!#REF!</definedName>
    <definedName name="Z_56A06D27_97E5_4D01_ADCE_F8E0A2A870EF_.wvu.FilterData" localSheetId="0">[1]Groz_NIN_12_2014!#REF!</definedName>
    <definedName name="Z_56A06D27_97E5_4D01_ADCE_F8E0A2A870EF_.wvu.FilterData">[1]Groz_NIN_12_2014!#REF!</definedName>
    <definedName name="Z_81EB1DB6_89AB_4045_90FA_EF2BA7E792F9_.wvu.FilterData" localSheetId="0">[1]Groz_NIN_12_2014!#REF!</definedName>
    <definedName name="Z_81EB1DB6_89AB_4045_90FA_EF2BA7E792F9_.wvu.FilterData">[1]Groz_NIN_12_2014!#REF!</definedName>
    <definedName name="Z_81EB1DB6_89AB_4045_90FA_EF2BA7E792F9_.wvu.PrintArea" localSheetId="0">[1]Groz_NIN_12_2014!#REF!</definedName>
    <definedName name="Z_81EB1DB6_89AB_4045_90FA_EF2BA7E792F9_.wvu.PrintArea">[1]Groz_NIN_12_2014!#REF!</definedName>
    <definedName name="Z_8545B4E6_A517_4BD7_BFB7_42FEB5F229AD_.wvu.FilterData" localSheetId="0">[1]Groz_NIN_12_2014!#REF!</definedName>
    <definedName name="Z_8545B4E6_A517_4BD7_BFB7_42FEB5F229AD_.wvu.FilterData">[1]Groz_NIN_12_2014!#REF!</definedName>
    <definedName name="Z_877A1030_2452_46B0_88DF_8A068656C08E_.wvu.FilterData" localSheetId="0">[1]Groz_NIN_12_2014!#REF!</definedName>
    <definedName name="Z_877A1030_2452_46B0_88DF_8A068656C08E_.wvu.FilterData">[1]Groz_NIN_12_2014!#REF!</definedName>
    <definedName name="Z_ABD8A783_3A6C_4629_9559_1E4E89E80131_.wvu.FilterData" localSheetId="0">[1]Groz_NIN_12_2014!#REF!</definedName>
    <definedName name="Z_ABD8A783_3A6C_4629_9559_1E4E89E80131_.wvu.FilterData">[1]Groz_NIN_12_2014!#REF!</definedName>
    <definedName name="Z_AF277C95_CBD9_4696_AC72_D010599E9831_.wvu.FilterData" localSheetId="0">[1]Groz_NIN_12_2014!#REF!</definedName>
    <definedName name="Z_AF277C95_CBD9_4696_AC72_D010599E9831_.wvu.FilterData">[1]Groz_NIN_12_2014!#REF!</definedName>
    <definedName name="Z_B7CBCF06_FF41_423A_9AB3_E1D1F70C6FC5_.wvu.FilterData" localSheetId="0">[1]Groz_NIN_12_2014!#REF!</definedName>
    <definedName name="Z_B7CBCF06_FF41_423A_9AB3_E1D1F70C6FC5_.wvu.FilterData">[1]Groz_NIN_12_2014!#REF!</definedName>
    <definedName name="Z_C5511FB8_86C5_41F3_ADCD_B10310F066F5_.wvu.FilterData" localSheetId="0">[1]Groz_NIN_12_2014!#REF!</definedName>
    <definedName name="Z_C5511FB8_86C5_41F3_ADCD_B10310F066F5_.wvu.FilterData">[1]Groz_NIN_12_2014!#REF!</definedName>
    <definedName name="Z_DB8ECBD1_2D44_4F97_BCC9_F610BA0A3109_.wvu.FilterData" localSheetId="0">[1]Groz_NIN_12_2014!#REF!</definedName>
    <definedName name="Z_DB8ECBD1_2D44_4F97_BCC9_F610BA0A3109_.wvu.FilterData">[1]Groz_NIN_12_2014!#REF!</definedName>
    <definedName name="Z_DEE3A27E_689A_4E9F_A3EB_C84F1E3B413E_.wvu.FilterData" localSheetId="0">[1]Groz_NIN_12_2014!#REF!</definedName>
    <definedName name="Z_DEE3A27E_689A_4E9F_A3EB_C84F1E3B413E_.wvu.FilterData">[1]Groz_NIN_12_2014!#REF!</definedName>
    <definedName name="Z_F1F489B9_0F61_4F1F_A151_75EF77465344_.wvu.Cols" localSheetId="0">[1]Groz_NIN_12_2014!#REF!</definedName>
    <definedName name="Z_F1F489B9_0F61_4F1F_A151_75EF77465344_.wvu.Cols">[1]Groz_NIN_12_2014!#REF!</definedName>
    <definedName name="Z_F1F489B9_0F61_4F1F_A151_75EF77465344_.wvu.FilterData" localSheetId="0">[1]Groz_NIN_12_2014!#REF!</definedName>
    <definedName name="Z_F1F489B9_0F61_4F1F_A151_75EF77465344_.wvu.FilterData">[1]Groz_NIN_12_2014!#REF!</definedName>
    <definedName name="Z_F1F489B9_0F61_4F1F_A151_75EF77465344_.wvu.PrintArea" localSheetId="0">[1]Groz_NIN_12_2014!#REF!</definedName>
    <definedName name="Z_F1F489B9_0F61_4F1F_A151_75EF77465344_.wvu.PrintArea">[1]Groz_NIN_12_2014!#REF!</definedName>
    <definedName name="Z_F1F489B9_0F61_4F1F_A151_75EF77465344_.wvu.PrintTitles" localSheetId="0">[1]Groz_NIN_12_2014!#REF!</definedName>
    <definedName name="Z_F1F489B9_0F61_4F1F_A151_75EF77465344_.wvu.PrintTitles">[1]Groz_NIN_12_2014!#REF!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5" i="1" l="1"/>
  <c r="O273" i="1"/>
  <c r="O272" i="1"/>
  <c r="Q271" i="1"/>
  <c r="N271" i="1"/>
  <c r="O271" i="1" s="1"/>
  <c r="N270" i="1"/>
  <c r="O270" i="1" s="1"/>
  <c r="N269" i="1"/>
  <c r="O269" i="1" s="1"/>
  <c r="Q268" i="1"/>
  <c r="N267" i="1"/>
  <c r="O267" i="1" s="1"/>
  <c r="N266" i="1"/>
  <c r="O266" i="1" s="1"/>
  <c r="N265" i="1"/>
  <c r="R265" i="1" s="1"/>
  <c r="N264" i="1"/>
  <c r="R264" i="1" s="1"/>
  <c r="N263" i="1"/>
  <c r="N262" i="1"/>
  <c r="N261" i="1"/>
  <c r="R261" i="1" s="1"/>
  <c r="Q260" i="1"/>
  <c r="Q259" i="1"/>
  <c r="Q257" i="1" s="1"/>
  <c r="N259" i="1"/>
  <c r="O259" i="1" s="1"/>
  <c r="N258" i="1"/>
  <c r="N256" i="1"/>
  <c r="N255" i="1"/>
  <c r="O255" i="1" s="1"/>
  <c r="Q254" i="1"/>
  <c r="N253" i="1"/>
  <c r="O253" i="1" s="1"/>
  <c r="N252" i="1"/>
  <c r="Q251" i="1"/>
  <c r="N251" i="1"/>
  <c r="O251" i="1" s="1"/>
  <c r="N250" i="1"/>
  <c r="O250" i="1" s="1"/>
  <c r="N249" i="1"/>
  <c r="O249" i="1" s="1"/>
  <c r="N248" i="1"/>
  <c r="R248" i="1" s="1"/>
  <c r="Q247" i="1"/>
  <c r="O247" i="1"/>
  <c r="N247" i="1"/>
  <c r="N245" i="1"/>
  <c r="R245" i="1" s="1"/>
  <c r="Q244" i="1"/>
  <c r="N244" i="1"/>
  <c r="O244" i="1" s="1"/>
  <c r="N243" i="1"/>
  <c r="R243" i="1" s="1"/>
  <c r="N242" i="1"/>
  <c r="O242" i="1" s="1"/>
  <c r="R241" i="1"/>
  <c r="N241" i="1"/>
  <c r="O241" i="1" s="1"/>
  <c r="N240" i="1"/>
  <c r="R240" i="1" s="1"/>
  <c r="N239" i="1"/>
  <c r="O239" i="1" s="1"/>
  <c r="Q238" i="1"/>
  <c r="N238" i="1"/>
  <c r="N236" i="1"/>
  <c r="O236" i="1" s="1"/>
  <c r="Q235" i="1"/>
  <c r="Q233" i="1" s="1"/>
  <c r="N235" i="1"/>
  <c r="N234" i="1"/>
  <c r="R234" i="1" s="1"/>
  <c r="N232" i="1"/>
  <c r="N229" i="1" s="1"/>
  <c r="N231" i="1"/>
  <c r="R231" i="1" s="1"/>
  <c r="N230" i="1"/>
  <c r="O230" i="1" s="1"/>
  <c r="Q229" i="1"/>
  <c r="N228" i="1"/>
  <c r="R228" i="1" s="1"/>
  <c r="N227" i="1"/>
  <c r="R227" i="1" s="1"/>
  <c r="N226" i="1"/>
  <c r="R226" i="1" s="1"/>
  <c r="Q225" i="1"/>
  <c r="N224" i="1"/>
  <c r="O224" i="1" s="1"/>
  <c r="N223" i="1"/>
  <c r="O223" i="1" s="1"/>
  <c r="Q222" i="1"/>
  <c r="O221" i="1"/>
  <c r="N221" i="1"/>
  <c r="R221" i="1" s="1"/>
  <c r="N220" i="1"/>
  <c r="Q219" i="1"/>
  <c r="N218" i="1"/>
  <c r="O218" i="1" s="1"/>
  <c r="N216" i="1"/>
  <c r="O216" i="1" s="1"/>
  <c r="N215" i="1"/>
  <c r="R215" i="1" s="1"/>
  <c r="N214" i="1"/>
  <c r="R214" i="1" s="1"/>
  <c r="N213" i="1"/>
  <c r="O213" i="1" s="1"/>
  <c r="N212" i="1"/>
  <c r="N211" i="1"/>
  <c r="O211" i="1" s="1"/>
  <c r="N210" i="1"/>
  <c r="N209" i="1"/>
  <c r="O209" i="1" s="1"/>
  <c r="Q208" i="1"/>
  <c r="Q207" i="1"/>
  <c r="Q205" i="1" s="1"/>
  <c r="O207" i="1"/>
  <c r="N207" i="1"/>
  <c r="N206" i="1"/>
  <c r="N205" i="1" s="1"/>
  <c r="N204" i="1"/>
  <c r="R204" i="1" s="1"/>
  <c r="N203" i="1"/>
  <c r="R203" i="1" s="1"/>
  <c r="N202" i="1"/>
  <c r="N201" i="1"/>
  <c r="R201" i="1" s="1"/>
  <c r="Q200" i="1"/>
  <c r="Q199" i="1" s="1"/>
  <c r="N200" i="1"/>
  <c r="O200" i="1" s="1"/>
  <c r="N197" i="1"/>
  <c r="O197" i="1" s="1"/>
  <c r="N196" i="1"/>
  <c r="N195" i="1"/>
  <c r="O195" i="1" s="1"/>
  <c r="N194" i="1"/>
  <c r="R194" i="1" s="1"/>
  <c r="N193" i="1"/>
  <c r="N192" i="1"/>
  <c r="R192" i="1" s="1"/>
  <c r="N191" i="1"/>
  <c r="R191" i="1" s="1"/>
  <c r="N190" i="1"/>
  <c r="R190" i="1" s="1"/>
  <c r="N189" i="1"/>
  <c r="R189" i="1" s="1"/>
  <c r="N188" i="1"/>
  <c r="R188" i="1" s="1"/>
  <c r="N187" i="1"/>
  <c r="R187" i="1" s="1"/>
  <c r="Q186" i="1"/>
  <c r="Q184" i="1"/>
  <c r="N184" i="1"/>
  <c r="O184" i="1" s="1"/>
  <c r="Q183" i="1"/>
  <c r="N183" i="1"/>
  <c r="Q182" i="1"/>
  <c r="N182" i="1"/>
  <c r="O182" i="1" s="1"/>
  <c r="N181" i="1"/>
  <c r="R181" i="1" s="1"/>
  <c r="Q180" i="1"/>
  <c r="N180" i="1"/>
  <c r="O180" i="1" s="1"/>
  <c r="Q179" i="1"/>
  <c r="N179" i="1"/>
  <c r="Q178" i="1"/>
  <c r="N178" i="1"/>
  <c r="O178" i="1" s="1"/>
  <c r="N177" i="1"/>
  <c r="U176" i="1"/>
  <c r="Q176" i="1"/>
  <c r="N176" i="1"/>
  <c r="O176" i="1" s="1"/>
  <c r="Q175" i="1"/>
  <c r="N175" i="1"/>
  <c r="O175" i="1" s="1"/>
  <c r="Q174" i="1"/>
  <c r="N174" i="1"/>
  <c r="O174" i="1" s="1"/>
  <c r="Q173" i="1"/>
  <c r="Q172" i="1" s="1"/>
  <c r="N173" i="1"/>
  <c r="N171" i="1"/>
  <c r="O171" i="1" s="1"/>
  <c r="N170" i="1"/>
  <c r="R170" i="1" s="1"/>
  <c r="N169" i="1"/>
  <c r="N168" i="1"/>
  <c r="O168" i="1" s="1"/>
  <c r="Q167" i="1"/>
  <c r="N167" i="1"/>
  <c r="O167" i="1" s="1"/>
  <c r="R165" i="1"/>
  <c r="O165" i="1"/>
  <c r="R164" i="1"/>
  <c r="O164" i="1"/>
  <c r="Q163" i="1"/>
  <c r="Q155" i="1" s="1"/>
  <c r="N163" i="1"/>
  <c r="O163" i="1" s="1"/>
  <c r="Q162" i="1"/>
  <c r="N162" i="1"/>
  <c r="N161" i="1"/>
  <c r="O161" i="1" s="1"/>
  <c r="N160" i="1"/>
  <c r="R160" i="1" s="1"/>
  <c r="N159" i="1"/>
  <c r="O159" i="1" s="1"/>
  <c r="N158" i="1"/>
  <c r="N157" i="1"/>
  <c r="O157" i="1" s="1"/>
  <c r="N156" i="1"/>
  <c r="O156" i="1" s="1"/>
  <c r="N154" i="1"/>
  <c r="O154" i="1" s="1"/>
  <c r="N153" i="1"/>
  <c r="Q152" i="1"/>
  <c r="N152" i="1"/>
  <c r="N150" i="1"/>
  <c r="R150" i="1" s="1"/>
  <c r="Q149" i="1"/>
  <c r="N148" i="1"/>
  <c r="R148" i="1" s="1"/>
  <c r="N147" i="1"/>
  <c r="N146" i="1"/>
  <c r="R146" i="1" s="1"/>
  <c r="Q145" i="1"/>
  <c r="Q144" i="1" s="1"/>
  <c r="N143" i="1"/>
  <c r="O143" i="1" s="1"/>
  <c r="N142" i="1"/>
  <c r="O142" i="1" s="1"/>
  <c r="Q141" i="1"/>
  <c r="N141" i="1"/>
  <c r="O141" i="1" s="1"/>
  <c r="N140" i="1"/>
  <c r="R140" i="1" s="1"/>
  <c r="N139" i="1"/>
  <c r="O139" i="1" s="1"/>
  <c r="N138" i="1"/>
  <c r="O138" i="1" s="1"/>
  <c r="N137" i="1"/>
  <c r="O137" i="1" s="1"/>
  <c r="N136" i="1"/>
  <c r="N135" i="1"/>
  <c r="O135" i="1" s="1"/>
  <c r="N134" i="1"/>
  <c r="O134" i="1" s="1"/>
  <c r="N133" i="1"/>
  <c r="O133" i="1" s="1"/>
  <c r="Q132" i="1"/>
  <c r="Q131" i="1" s="1"/>
  <c r="N132" i="1"/>
  <c r="Q124" i="1"/>
  <c r="N124" i="1"/>
  <c r="Q123" i="1"/>
  <c r="N123" i="1"/>
  <c r="Q122" i="1"/>
  <c r="N122" i="1"/>
  <c r="Q121" i="1"/>
  <c r="N121" i="1"/>
  <c r="Q120" i="1"/>
  <c r="N120" i="1"/>
  <c r="Q119" i="1"/>
  <c r="N119" i="1"/>
  <c r="O119" i="1" s="1"/>
  <c r="Q118" i="1"/>
  <c r="N118" i="1"/>
  <c r="O118" i="1" s="1"/>
  <c r="Q117" i="1"/>
  <c r="N117" i="1"/>
  <c r="O117" i="1" s="1"/>
  <c r="Q116" i="1"/>
  <c r="R116" i="1" s="1"/>
  <c r="N116" i="1"/>
  <c r="O116" i="1" s="1"/>
  <c r="Q115" i="1"/>
  <c r="N115" i="1"/>
  <c r="O115" i="1" s="1"/>
  <c r="Q114" i="1"/>
  <c r="N114" i="1"/>
  <c r="O114" i="1" s="1"/>
  <c r="Q113" i="1"/>
  <c r="N113" i="1"/>
  <c r="O113" i="1" s="1"/>
  <c r="N111" i="1"/>
  <c r="O111" i="1" s="1"/>
  <c r="N110" i="1"/>
  <c r="N109" i="1" s="1"/>
  <c r="O109" i="1" s="1"/>
  <c r="Q109" i="1"/>
  <c r="Q107" i="1"/>
  <c r="N107" i="1"/>
  <c r="O107" i="1" s="1"/>
  <c r="Q106" i="1"/>
  <c r="N106" i="1"/>
  <c r="N105" i="1"/>
  <c r="O105" i="1" s="1"/>
  <c r="Q104" i="1"/>
  <c r="N104" i="1"/>
  <c r="O104" i="1" s="1"/>
  <c r="N102" i="1"/>
  <c r="R102" i="1" s="1"/>
  <c r="N101" i="1"/>
  <c r="O101" i="1" s="1"/>
  <c r="Q100" i="1"/>
  <c r="N100" i="1"/>
  <c r="O100" i="1" s="1"/>
  <c r="N98" i="1"/>
  <c r="N96" i="1" s="1"/>
  <c r="O96" i="1" s="1"/>
  <c r="O97" i="1"/>
  <c r="Q96" i="1"/>
  <c r="N95" i="1"/>
  <c r="R95" i="1" s="1"/>
  <c r="Q94" i="1"/>
  <c r="Q93" i="1" s="1"/>
  <c r="N94" i="1"/>
  <c r="N91" i="1"/>
  <c r="O91" i="1" s="1"/>
  <c r="N90" i="1"/>
  <c r="O90" i="1" s="1"/>
  <c r="Q89" i="1"/>
  <c r="Q88" i="1"/>
  <c r="N88" i="1"/>
  <c r="O88" i="1" s="1"/>
  <c r="Q87" i="1"/>
  <c r="N87" i="1"/>
  <c r="O87" i="1" s="1"/>
  <c r="Q86" i="1"/>
  <c r="N86" i="1"/>
  <c r="O86" i="1" s="1"/>
  <c r="Q85" i="1"/>
  <c r="N85" i="1"/>
  <c r="O85" i="1" s="1"/>
  <c r="Q84" i="1"/>
  <c r="N84" i="1"/>
  <c r="O84" i="1" s="1"/>
  <c r="Q83" i="1"/>
  <c r="N83" i="1"/>
  <c r="O83" i="1" s="1"/>
  <c r="N82" i="1"/>
  <c r="O82" i="1" s="1"/>
  <c r="Q81" i="1"/>
  <c r="N81" i="1"/>
  <c r="O81" i="1" s="1"/>
  <c r="Q80" i="1"/>
  <c r="N80" i="1"/>
  <c r="O80" i="1" s="1"/>
  <c r="Q79" i="1"/>
  <c r="N79" i="1"/>
  <c r="O79" i="1" s="1"/>
  <c r="Q78" i="1"/>
  <c r="N78" i="1"/>
  <c r="O78" i="1" s="1"/>
  <c r="Q77" i="1"/>
  <c r="N77" i="1"/>
  <c r="O77" i="1" s="1"/>
  <c r="N76" i="1"/>
  <c r="R76" i="1" s="1"/>
  <c r="N75" i="1"/>
  <c r="N74" i="1"/>
  <c r="R74" i="1" s="1"/>
  <c r="N73" i="1"/>
  <c r="R73" i="1" s="1"/>
  <c r="Q72" i="1"/>
  <c r="N72" i="1"/>
  <c r="O72" i="1" s="1"/>
  <c r="Q71" i="1"/>
  <c r="N71" i="1"/>
  <c r="O71" i="1" s="1"/>
  <c r="Q70" i="1"/>
  <c r="N70" i="1"/>
  <c r="O70" i="1" s="1"/>
  <c r="N69" i="1"/>
  <c r="N68" i="1"/>
  <c r="O68" i="1" s="1"/>
  <c r="N66" i="1"/>
  <c r="O66" i="1" s="1"/>
  <c r="Q65" i="1"/>
  <c r="N65" i="1"/>
  <c r="O65" i="1" s="1"/>
  <c r="N64" i="1"/>
  <c r="R64" i="1" s="1"/>
  <c r="Q63" i="1"/>
  <c r="N63" i="1"/>
  <c r="O63" i="1" s="1"/>
  <c r="N62" i="1"/>
  <c r="O62" i="1" s="1"/>
  <c r="N60" i="1"/>
  <c r="R60" i="1" s="1"/>
  <c r="N59" i="1"/>
  <c r="N58" i="1"/>
  <c r="R58" i="1" s="1"/>
  <c r="N57" i="1"/>
  <c r="O57" i="1" s="1"/>
  <c r="Q56" i="1"/>
  <c r="Q66" i="1" s="1"/>
  <c r="N56" i="1"/>
  <c r="O56" i="1" s="1"/>
  <c r="N55" i="1"/>
  <c r="O55" i="1" s="1"/>
  <c r="Q54" i="1"/>
  <c r="Q52" i="1" s="1"/>
  <c r="N54" i="1"/>
  <c r="N53" i="1"/>
  <c r="O51" i="1"/>
  <c r="O50" i="1"/>
  <c r="Q49" i="1"/>
  <c r="N49" i="1"/>
  <c r="O49" i="1" s="1"/>
  <c r="Q48" i="1"/>
  <c r="N48" i="1"/>
  <c r="O48" i="1" s="1"/>
  <c r="N47" i="1"/>
  <c r="O47" i="1" s="1"/>
  <c r="N46" i="1"/>
  <c r="O46" i="1" s="1"/>
  <c r="Q43" i="1"/>
  <c r="N43" i="1"/>
  <c r="O43" i="1" s="1"/>
  <c r="N42" i="1"/>
  <c r="R42" i="1" s="1"/>
  <c r="N41" i="1"/>
  <c r="R41" i="1" s="1"/>
  <c r="Q40" i="1"/>
  <c r="Q39" i="1" s="1"/>
  <c r="N40" i="1"/>
  <c r="N38" i="1"/>
  <c r="O38" i="1" s="1"/>
  <c r="N37" i="1"/>
  <c r="O37" i="1" s="1"/>
  <c r="Q36" i="1"/>
  <c r="N35" i="1"/>
  <c r="R35" i="1" s="1"/>
  <c r="N34" i="1"/>
  <c r="R34" i="1" s="1"/>
  <c r="N33" i="1"/>
  <c r="R33" i="1" s="1"/>
  <c r="N32" i="1"/>
  <c r="O32" i="1" s="1"/>
  <c r="N31" i="1"/>
  <c r="O31" i="1" s="1"/>
  <c r="N30" i="1"/>
  <c r="O30" i="1" s="1"/>
  <c r="N29" i="1"/>
  <c r="R29" i="1" s="1"/>
  <c r="Q28" i="1"/>
  <c r="Q27" i="1"/>
  <c r="N27" i="1"/>
  <c r="R27" i="1" s="1"/>
  <c r="N26" i="1"/>
  <c r="R26" i="1" s="1"/>
  <c r="Q25" i="1"/>
  <c r="N25" i="1"/>
  <c r="O25" i="1" s="1"/>
  <c r="N22" i="1"/>
  <c r="R22" i="1" s="1"/>
  <c r="Q21" i="1"/>
  <c r="N21" i="1"/>
  <c r="Q20" i="1"/>
  <c r="N19" i="1"/>
  <c r="O19" i="1" s="1"/>
  <c r="N18" i="1"/>
  <c r="R18" i="1" s="1"/>
  <c r="Q17" i="1"/>
  <c r="N16" i="1"/>
  <c r="R16" i="1" s="1"/>
  <c r="N15" i="1"/>
  <c r="Q14" i="1"/>
  <c r="N13" i="1"/>
  <c r="N12" i="1"/>
  <c r="O12" i="1" s="1"/>
  <c r="Q11" i="1"/>
  <c r="Q9" i="1"/>
  <c r="N9" i="1"/>
  <c r="O9" i="1" s="1"/>
  <c r="N8" i="1"/>
  <c r="Q7" i="1"/>
  <c r="R3" i="1"/>
  <c r="O226" i="1" l="1"/>
  <c r="R86" i="1"/>
  <c r="R168" i="1"/>
  <c r="R183" i="1"/>
  <c r="R207" i="1"/>
  <c r="Q24" i="1"/>
  <c r="N36" i="1"/>
  <c r="R36" i="1" s="1"/>
  <c r="R82" i="1"/>
  <c r="O232" i="1"/>
  <c r="R232" i="1"/>
  <c r="O243" i="1"/>
  <c r="R56" i="1"/>
  <c r="R115" i="1"/>
  <c r="N260" i="1"/>
  <c r="R260" i="1" s="1"/>
  <c r="R38" i="1"/>
  <c r="O29" i="1"/>
  <c r="O194" i="1"/>
  <c r="R216" i="1"/>
  <c r="N14" i="1"/>
  <c r="O14" i="1" s="1"/>
  <c r="R173" i="1"/>
  <c r="Q237" i="1"/>
  <c r="N7" i="1"/>
  <c r="R7" i="1" s="1"/>
  <c r="R54" i="1"/>
  <c r="R114" i="1"/>
  <c r="R132" i="1"/>
  <c r="R175" i="1"/>
  <c r="R267" i="1"/>
  <c r="O60" i="1"/>
  <c r="O64" i="1"/>
  <c r="O74" i="1"/>
  <c r="R77" i="1"/>
  <c r="R87" i="1"/>
  <c r="N103" i="1"/>
  <c r="O103" i="1" s="1"/>
  <c r="O132" i="1"/>
  <c r="R143" i="1"/>
  <c r="R156" i="1"/>
  <c r="R159" i="1"/>
  <c r="O170" i="1"/>
  <c r="R184" i="1"/>
  <c r="O206" i="1"/>
  <c r="R218" i="1"/>
  <c r="R230" i="1"/>
  <c r="R249" i="1"/>
  <c r="R262" i="1"/>
  <c r="O41" i="1"/>
  <c r="O95" i="1"/>
  <c r="R134" i="1"/>
  <c r="O192" i="1"/>
  <c r="O214" i="1"/>
  <c r="O245" i="1"/>
  <c r="R105" i="1"/>
  <c r="O189" i="1"/>
  <c r="R14" i="1"/>
  <c r="R57" i="1"/>
  <c r="O106" i="1"/>
  <c r="R135" i="1"/>
  <c r="R167" i="1"/>
  <c r="R200" i="1"/>
  <c r="R206" i="1"/>
  <c r="O22" i="1"/>
  <c r="R178" i="1"/>
  <c r="R138" i="1"/>
  <c r="R25" i="1"/>
  <c r="R46" i="1"/>
  <c r="O203" i="1"/>
  <c r="O26" i="1"/>
  <c r="O35" i="1"/>
  <c r="O42" i="1"/>
  <c r="R47" i="1"/>
  <c r="O98" i="1"/>
  <c r="R100" i="1"/>
  <c r="R106" i="1"/>
  <c r="O160" i="1"/>
  <c r="R182" i="1"/>
  <c r="R197" i="1"/>
  <c r="O215" i="1"/>
  <c r="O228" i="1"/>
  <c r="O240" i="1"/>
  <c r="R80" i="1"/>
  <c r="R78" i="1"/>
  <c r="N93" i="1"/>
  <c r="O93" i="1" s="1"/>
  <c r="R154" i="1"/>
  <c r="R171" i="1"/>
  <c r="R266" i="1"/>
  <c r="O173" i="1"/>
  <c r="R30" i="1"/>
  <c r="O262" i="1"/>
  <c r="N20" i="1"/>
  <c r="R20" i="1" s="1"/>
  <c r="R37" i="1"/>
  <c r="O94" i="1"/>
  <c r="R113" i="1"/>
  <c r="O140" i="1"/>
  <c r="R174" i="1"/>
  <c r="R213" i="1"/>
  <c r="O231" i="1"/>
  <c r="R250" i="1"/>
  <c r="R83" i="1"/>
  <c r="N39" i="1"/>
  <c r="O39" i="1" s="1"/>
  <c r="O58" i="1"/>
  <c r="R62" i="1"/>
  <c r="R65" i="1"/>
  <c r="R85" i="1"/>
  <c r="R94" i="1"/>
  <c r="R111" i="1"/>
  <c r="R133" i="1"/>
  <c r="N172" i="1"/>
  <c r="O172" i="1" s="1"/>
  <c r="O191" i="1"/>
  <c r="R223" i="1"/>
  <c r="R270" i="1"/>
  <c r="O102" i="1"/>
  <c r="O181" i="1"/>
  <c r="O16" i="1"/>
  <c r="O148" i="1"/>
  <c r="R161" i="1"/>
  <c r="R180" i="1"/>
  <c r="O183" i="1"/>
  <c r="O188" i="1"/>
  <c r="R195" i="1"/>
  <c r="O201" i="1"/>
  <c r="N225" i="1"/>
  <c r="O225" i="1" s="1"/>
  <c r="O261" i="1"/>
  <c r="O73" i="1"/>
  <c r="R239" i="1"/>
  <c r="O76" i="1"/>
  <c r="R79" i="1"/>
  <c r="R137" i="1"/>
  <c r="R251" i="1"/>
  <c r="R39" i="1"/>
  <c r="R66" i="1"/>
  <c r="Q45" i="1"/>
  <c r="O40" i="1"/>
  <c r="R68" i="1"/>
  <c r="Q166" i="1"/>
  <c r="Q151" i="1" s="1"/>
  <c r="Q6" i="1"/>
  <c r="R12" i="1"/>
  <c r="R19" i="1"/>
  <c r="R31" i="1"/>
  <c r="O34" i="1"/>
  <c r="Q99" i="1"/>
  <c r="R104" i="1"/>
  <c r="Q103" i="1"/>
  <c r="R103" i="1" s="1"/>
  <c r="O123" i="1"/>
  <c r="R123" i="1"/>
  <c r="O18" i="1"/>
  <c r="R43" i="1"/>
  <c r="Q67" i="1"/>
  <c r="R109" i="1"/>
  <c r="R117" i="1"/>
  <c r="R120" i="1"/>
  <c r="O120" i="1"/>
  <c r="Q198" i="1"/>
  <c r="N17" i="1"/>
  <c r="N28" i="1"/>
  <c r="O28" i="1" s="1"/>
  <c r="Q112" i="1"/>
  <c r="O136" i="1"/>
  <c r="R136" i="1"/>
  <c r="N131" i="1"/>
  <c r="N52" i="1"/>
  <c r="R52" i="1" s="1"/>
  <c r="R53" i="1"/>
  <c r="O53" i="1"/>
  <c r="O69" i="1"/>
  <c r="R69" i="1"/>
  <c r="O110" i="1"/>
  <c r="R110" i="1"/>
  <c r="R124" i="1"/>
  <c r="O124" i="1"/>
  <c r="N112" i="1"/>
  <c r="O112" i="1" s="1"/>
  <c r="O121" i="1"/>
  <c r="R121" i="1"/>
  <c r="R179" i="1"/>
  <c r="O179" i="1"/>
  <c r="O21" i="1"/>
  <c r="O8" i="1"/>
  <c r="R118" i="1"/>
  <c r="O152" i="1"/>
  <c r="R13" i="1"/>
  <c r="O13" i="1"/>
  <c r="O59" i="1"/>
  <c r="R59" i="1"/>
  <c r="R84" i="1"/>
  <c r="R158" i="1"/>
  <c r="O158" i="1"/>
  <c r="O196" i="1"/>
  <c r="R196" i="1"/>
  <c r="O54" i="1"/>
  <c r="R122" i="1"/>
  <c r="O122" i="1"/>
  <c r="R202" i="1"/>
  <c r="O202" i="1"/>
  <c r="N11" i="1"/>
  <c r="Q10" i="1"/>
  <c r="N67" i="1"/>
  <c r="O67" i="1" s="1"/>
  <c r="O15" i="1"/>
  <c r="Q23" i="1"/>
  <c r="R15" i="1"/>
  <c r="N24" i="1"/>
  <c r="O27" i="1"/>
  <c r="R101" i="1"/>
  <c r="N99" i="1"/>
  <c r="O99" i="1" s="1"/>
  <c r="N145" i="1"/>
  <c r="N144" i="1" s="1"/>
  <c r="O144" i="1" s="1"/>
  <c r="R147" i="1"/>
  <c r="O75" i="1"/>
  <c r="R75" i="1"/>
  <c r="R8" i="1"/>
  <c r="O33" i="1"/>
  <c r="R40" i="1"/>
  <c r="R48" i="1"/>
  <c r="R90" i="1"/>
  <c r="N89" i="1"/>
  <c r="O89" i="1" s="1"/>
  <c r="R153" i="1"/>
  <c r="O153" i="1"/>
  <c r="R162" i="1"/>
  <c r="O162" i="1"/>
  <c r="R119" i="1"/>
  <c r="O146" i="1"/>
  <c r="O145" i="1" s="1"/>
  <c r="R157" i="1"/>
  <c r="O205" i="1"/>
  <c r="R209" i="1"/>
  <c r="N208" i="1"/>
  <c r="R208" i="1" s="1"/>
  <c r="R211" i="1"/>
  <c r="R177" i="1"/>
  <c r="O177" i="1"/>
  <c r="O229" i="1"/>
  <c r="R235" i="1"/>
  <c r="R253" i="1"/>
  <c r="R139" i="1"/>
  <c r="O150" i="1"/>
  <c r="R163" i="1"/>
  <c r="O169" i="1"/>
  <c r="N186" i="1"/>
  <c r="N185" i="1" s="1"/>
  <c r="O187" i="1"/>
  <c r="R205" i="1"/>
  <c r="N219" i="1"/>
  <c r="O219" i="1" s="1"/>
  <c r="O220" i="1"/>
  <c r="O227" i="1"/>
  <c r="O235" i="1"/>
  <c r="N254" i="1"/>
  <c r="N246" i="1" s="1"/>
  <c r="O246" i="1" s="1"/>
  <c r="O265" i="1"/>
  <c r="R169" i="1"/>
  <c r="O212" i="1"/>
  <c r="R212" i="1"/>
  <c r="R220" i="1"/>
  <c r="R229" i="1"/>
  <c r="N233" i="1"/>
  <c r="R242" i="1"/>
  <c r="R259" i="1"/>
  <c r="R107" i="1"/>
  <c r="O190" i="1"/>
  <c r="N199" i="1"/>
  <c r="O204" i="1"/>
  <c r="R210" i="1"/>
  <c r="O210" i="1"/>
  <c r="O208" i="1" s="1"/>
  <c r="O275" i="1"/>
  <c r="R275" i="1"/>
  <c r="R152" i="1"/>
  <c r="R256" i="1"/>
  <c r="O256" i="1"/>
  <c r="O254" i="1" s="1"/>
  <c r="N149" i="1"/>
  <c r="N155" i="1"/>
  <c r="R155" i="1" s="1"/>
  <c r="R193" i="1"/>
  <c r="O193" i="1"/>
  <c r="R224" i="1"/>
  <c r="N237" i="1"/>
  <c r="O237" i="1" s="1"/>
  <c r="O238" i="1"/>
  <c r="R247" i="1"/>
  <c r="Q246" i="1"/>
  <c r="N257" i="1"/>
  <c r="R258" i="1"/>
  <c r="O263" i="1"/>
  <c r="R263" i="1"/>
  <c r="R145" i="1"/>
  <c r="R236" i="1"/>
  <c r="O258" i="1"/>
  <c r="R238" i="1"/>
  <c r="O252" i="1"/>
  <c r="R252" i="1"/>
  <c r="Q217" i="1"/>
  <c r="O234" i="1"/>
  <c r="O248" i="1"/>
  <c r="R269" i="1"/>
  <c r="N268" i="1"/>
  <c r="N222" i="1"/>
  <c r="R255" i="1"/>
  <c r="Q185" i="1"/>
  <c r="O7" i="1" l="1"/>
  <c r="R254" i="1"/>
  <c r="O36" i="1"/>
  <c r="R112" i="1"/>
  <c r="N166" i="1"/>
  <c r="O166" i="1" s="1"/>
  <c r="O20" i="1"/>
  <c r="O260" i="1"/>
  <c r="R186" i="1"/>
  <c r="N92" i="1"/>
  <c r="O92" i="1" s="1"/>
  <c r="R225" i="1"/>
  <c r="R93" i="1"/>
  <c r="R67" i="1"/>
  <c r="R166" i="1"/>
  <c r="O199" i="1"/>
  <c r="O198" i="1" s="1"/>
  <c r="R172" i="1"/>
  <c r="O186" i="1"/>
  <c r="R185" i="1"/>
  <c r="O155" i="1"/>
  <c r="O151" i="1" s="1"/>
  <c r="R28" i="1"/>
  <c r="O131" i="1"/>
  <c r="R222" i="1"/>
  <c r="O222" i="1"/>
  <c r="O149" i="1"/>
  <c r="R149" i="1"/>
  <c r="N198" i="1"/>
  <c r="R198" i="1" s="1"/>
  <c r="R199" i="1"/>
  <c r="N6" i="1"/>
  <c r="O6" i="1" s="1"/>
  <c r="O185" i="1"/>
  <c r="R144" i="1"/>
  <c r="N45" i="1"/>
  <c r="R45" i="1" s="1"/>
  <c r="O52" i="1"/>
  <c r="Q44" i="1"/>
  <c r="R99" i="1"/>
  <c r="R268" i="1"/>
  <c r="O268" i="1"/>
  <c r="R131" i="1"/>
  <c r="R89" i="1"/>
  <c r="R237" i="1"/>
  <c r="O233" i="1"/>
  <c r="R233" i="1"/>
  <c r="O257" i="1"/>
  <c r="R257" i="1"/>
  <c r="O11" i="1"/>
  <c r="N10" i="1"/>
  <c r="O10" i="1" s="1"/>
  <c r="O24" i="1"/>
  <c r="N23" i="1"/>
  <c r="O23" i="1" s="1"/>
  <c r="Q274" i="1"/>
  <c r="R219" i="1"/>
  <c r="R246" i="1"/>
  <c r="Q92" i="1"/>
  <c r="R11" i="1"/>
  <c r="N151" i="1"/>
  <c r="R151" i="1" s="1"/>
  <c r="R17" i="1"/>
  <c r="O17" i="1"/>
  <c r="R24" i="1"/>
  <c r="N217" i="1"/>
  <c r="R217" i="1" s="1"/>
  <c r="O217" i="1" l="1"/>
  <c r="R92" i="1"/>
  <c r="N274" i="1"/>
  <c r="O274" i="1" s="1"/>
  <c r="R6" i="1"/>
  <c r="Q108" i="1"/>
  <c r="Q276" i="1"/>
  <c r="R23" i="1"/>
  <c r="R10" i="1"/>
  <c r="N44" i="1"/>
  <c r="O44" i="1" s="1"/>
  <c r="O45" i="1"/>
  <c r="N276" i="1" l="1"/>
  <c r="O276" i="1" s="1"/>
  <c r="R276" i="1"/>
  <c r="R44" i="1"/>
  <c r="R274" i="1"/>
  <c r="Q125" i="1"/>
  <c r="N108" i="1"/>
  <c r="R108" i="1" s="1"/>
  <c r="Q277" i="1" l="1"/>
  <c r="N125" i="1"/>
  <c r="O108" i="1"/>
  <c r="O125" i="1" l="1"/>
  <c r="N277" i="1"/>
  <c r="O277" i="1" s="1"/>
  <c r="R125" i="1"/>
  <c r="R2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</authors>
  <commentList>
    <comment ref="G40" authorId="0" shapeId="0" xr:uid="{99054615-1E8D-43F7-984A-DB29EB7DB59A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Iedzīvotāju līdzfinansējums Rasiņu ielas rekonstrukcijai</t>
        </r>
      </text>
    </comment>
    <comment ref="N43" authorId="0" shapeId="0" xr:uid="{1080092F-3F06-4EDA-B548-24CCDA35EC9A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76'000 mežaudze vai koki; 46'000+73'000 Kadaga.</t>
        </r>
      </text>
    </comment>
    <comment ref="F48" authorId="0" shapeId="0" xr:uid="{87D3546A-953B-4FFD-8532-A75650178C95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33'476 Nod. 0970
49'493 Carnikavas skola
166'307 Ādažu pamatsk</t>
        </r>
      </text>
    </comment>
    <comment ref="E53" authorId="0" shapeId="0" xr:uid="{039DFCFD-3BA5-44D5-BA4C-6377D7EB0F3A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EUR 1843 nodaļa 0901
EUR 540 nodaļa 0902
EUR 60 nodaļa 0910
EUR 4 nodaļa 0920
EUR 8'241 nodaļa 0952</t>
        </r>
      </text>
    </comment>
    <comment ref="E54" authorId="0" shapeId="0" xr:uid="{2B4D46F2-177D-43FE-B7C9-630848A7B1EB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0954 EUR 65'816;
09821 EUR 15'567
</t>
        </r>
      </text>
    </comment>
    <comment ref="E66" authorId="0" shapeId="0" xr:uid="{017B9BBB-CA15-422B-BA79-DD882AB89CEF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Piekrastes apsaimniekošana (0630); Kontakts (0930); EUCF 42'000; 
 </t>
        </r>
      </text>
    </comment>
    <comment ref="F66" authorId="0" shapeId="0" xr:uid="{D1592F41-313C-4EB3-9055-53AD43AFB398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AID Meža dienas; soc. Dienesta pabalsti; 13'800 darbin. Atalgoj. No LM
</t>
        </r>
      </text>
    </comment>
    <comment ref="E72" authorId="0" shapeId="0" xr:uid="{F40163E7-A09B-4C43-AC4D-B54A105D5FA7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23'596,82 ĀND
18'440,43 CND</t>
        </r>
      </text>
    </comment>
    <comment ref="E82" authorId="0" shapeId="0" xr:uid="{101D8A34-9B78-4DE0-A39E-DB10CD574755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239'963,68 ĀVSK</t>
        </r>
      </text>
    </comment>
    <comment ref="E97" authorId="0" shapeId="0" xr:uid="{B97E0ABB-04C5-426E-861A-88AE9010B762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EUR 42'000 zem "Pārējās dotācijas"</t>
        </r>
      </text>
    </comment>
    <comment ref="I107" authorId="0" shapeId="0" xr:uid="{6BA65D5A-5D0B-4A40-B9E1-815CA5760B02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25'000 no saimnieciskās darbības</t>
        </r>
      </text>
    </comment>
    <comment ref="E156" authorId="0" shapeId="0" xr:uid="{1083CB32-04DF-4969-8E13-2CCF0CB868DF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EUR 10'621 Piekrastes apsaimniekošanas projekts
</t>
        </r>
      </text>
    </comment>
    <comment ref="I172" authorId="0" shapeId="0" xr:uid="{FAF85313-9C73-479C-99FD-FF1C3DB391DE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CKS+0649 (Bāze)</t>
        </r>
      </text>
    </comment>
    <comment ref="I173" authorId="0" shapeId="0" xr:uid="{85463EEA-231D-4E02-8CA2-8A3DAEB17439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CKS</t>
        </r>
      </text>
    </comment>
    <comment ref="I174" authorId="0" shapeId="0" xr:uid="{9924F6EB-150F-4770-B233-E14A4B300F81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0649 (Bāze)</t>
        </r>
      </text>
    </comment>
    <comment ref="Q175" authorId="0" shapeId="0" xr:uid="{4C399982-EFF2-44A3-83F0-31B3DEDAABF6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064 izpilde-CKS dotācija 7230- samaksātais no Domes</t>
        </r>
      </text>
    </comment>
    <comment ref="E234" authorId="0" shapeId="0" xr:uid="{CB9D2098-1C90-4E2C-83DE-03A8AA36346B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Ēdināšana</t>
        </r>
      </text>
    </comment>
    <comment ref="F234" authorId="0" shapeId="0" xr:uid="{B5740625-45EC-4EBE-B26E-3518D3815422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Interešu izgl., ēdināšana</t>
        </r>
      </text>
    </comment>
    <comment ref="F238" authorId="0" shapeId="0" xr:uid="{8AE776A8-AD8E-4225-9469-60ED5436ACA6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Interešu; pedagogi</t>
        </r>
      </text>
    </comment>
    <comment ref="F247" authorId="0" shapeId="0" xr:uid="{BD2BC1DA-5002-4231-9FC9-7FBEE7B53C59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Interešu; pedagogi</t>
        </r>
      </text>
    </comment>
    <comment ref="E263" authorId="0" shapeId="0" xr:uid="{AA04DE6F-FD72-4D13-A6CE-B732A62CFBCF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Projekts Kontakts; Jāsaprot NP</t>
        </r>
      </text>
    </comment>
    <comment ref="M267" authorId="0" shapeId="0" xr:uid="{630E3261-A2EA-4BA2-A98D-0E08E0769884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  <comment ref="N267" authorId="0" shapeId="0" xr:uid="{BC1A0F92-08B7-42CC-B0C6-5B5C18C74C59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  <comment ref="Q267" authorId="0" shapeId="0" xr:uid="{7DB6B9F3-6140-4769-B8BF-7C7EBB4C8CBA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</commentList>
</comments>
</file>

<file path=xl/sharedStrings.xml><?xml version="1.0" encoding="utf-8"?>
<sst xmlns="http://schemas.openxmlformats.org/spreadsheetml/2006/main" count="816" uniqueCount="658">
  <si>
    <t>Ādažu pašvaldības apvienotais budžets</t>
  </si>
  <si>
    <t>2023. gads</t>
  </si>
  <si>
    <t xml:space="preserve">Ieņēmumu daļa </t>
  </si>
  <si>
    <t xml:space="preserve">N.p.k. </t>
  </si>
  <si>
    <t>Sadaļa</t>
  </si>
  <si>
    <t>KA 31.12.2022.</t>
  </si>
  <si>
    <t>Valsts finansējums (mērķdotācijas)</t>
  </si>
  <si>
    <t>Projektu finansējums</t>
  </si>
  <si>
    <t>Aizņēmumi</t>
  </si>
  <si>
    <t>CKS</t>
  </si>
  <si>
    <t>2023. ĀND investīcijas</t>
  </si>
  <si>
    <t>2023. ĀND bāze</t>
  </si>
  <si>
    <t>2023. gada budžets</t>
  </si>
  <si>
    <t>23.03.2023. grozījumi</t>
  </si>
  <si>
    <t>Izmaiņa 23.03.2023. - 26.01.2023.</t>
  </si>
  <si>
    <t xml:space="preserve">Komentāri </t>
  </si>
  <si>
    <t>31.03.2023. fakts</t>
  </si>
  <si>
    <t>31.03.2023. fakts (%) pret 2023. plānu</t>
  </si>
  <si>
    <t>Komentāri par izpildi</t>
  </si>
  <si>
    <t>1., 2., 3., 4., 5.1.</t>
  </si>
  <si>
    <t>Nodokļu ieņēmumi</t>
  </si>
  <si>
    <t>1.1.1.0.</t>
  </si>
  <si>
    <t>1.</t>
  </si>
  <si>
    <t>Iedzīvotāju ienākuma nodoklis</t>
  </si>
  <si>
    <t>PB</t>
  </si>
  <si>
    <t>01.1.1.2.</t>
  </si>
  <si>
    <t>1.1.</t>
  </si>
  <si>
    <t>pārskata gada</t>
  </si>
  <si>
    <t>IIN mazāks kā prognozēts, dēļ IIN atmaksām iedzīvotājiem. Valsts kompensēs iztrūkstošo daļu.</t>
  </si>
  <si>
    <t>1.2.</t>
  </si>
  <si>
    <t>saņemts no Valsts kases sadales konta iepriekšējā gada nesadalītais iedzīvotāju ienākuma nodokļa atlikums</t>
  </si>
  <si>
    <t>1., 2., 3., 4.</t>
  </si>
  <si>
    <t>Nekustamā īpašuma nodokļu ieņēmumi</t>
  </si>
  <si>
    <t>4.1.1.0.</t>
  </si>
  <si>
    <t>2.</t>
  </si>
  <si>
    <t>Nekustamā īpašuma nodoklis par zemi</t>
  </si>
  <si>
    <t>04.1.1.1.</t>
  </si>
  <si>
    <t>2.1.</t>
  </si>
  <si>
    <t>04.1.1.2.</t>
  </si>
  <si>
    <t>2.2.</t>
  </si>
  <si>
    <t>iepriekšējo gadu parādi</t>
  </si>
  <si>
    <t>4.1.2.0.</t>
  </si>
  <si>
    <t>3.</t>
  </si>
  <si>
    <t>Nekustamā īpašuma nodoklis par ēkām</t>
  </si>
  <si>
    <t>04.1.2.1.</t>
  </si>
  <si>
    <t>3.1.</t>
  </si>
  <si>
    <t xml:space="preserve">pārskata gada </t>
  </si>
  <si>
    <t>04.1.2.2.</t>
  </si>
  <si>
    <t>3.2.</t>
  </si>
  <si>
    <t>4.1.3.0.</t>
  </si>
  <si>
    <t>4.</t>
  </si>
  <si>
    <t>Nekustamā īpašuma nodoklis par mājokļiem un inženierbūvēm</t>
  </si>
  <si>
    <t>04.1.3.1.</t>
  </si>
  <si>
    <t>4.1.</t>
  </si>
  <si>
    <t>04.1.3.2.</t>
  </si>
  <si>
    <t>4.2.</t>
  </si>
  <si>
    <t>5.</t>
  </si>
  <si>
    <t>Nodokļi un maksājumi par tiesībām lietot atsevišķas preces</t>
  </si>
  <si>
    <t>5.4.1.0.</t>
  </si>
  <si>
    <t>5.1.</t>
  </si>
  <si>
    <t>Azartspēļu nodoklis</t>
  </si>
  <si>
    <t>5.5.3.1.</t>
  </si>
  <si>
    <t>Dabas resursu nodoklis</t>
  </si>
  <si>
    <t>9.0.0.0.</t>
  </si>
  <si>
    <t>6.</t>
  </si>
  <si>
    <t>Valsts (pašvaldību) un kancelejas nodevas</t>
  </si>
  <si>
    <t>9.4.0.0.</t>
  </si>
  <si>
    <t>6.1.</t>
  </si>
  <si>
    <t>valsts nodevas</t>
  </si>
  <si>
    <t>09.4.2.0.</t>
  </si>
  <si>
    <t>6.1.1.</t>
  </si>
  <si>
    <t>t.sk.: - par apliecinājumiem un citu funkciju pildīšanu bāriņtiesā</t>
  </si>
  <si>
    <t>09.4.5.0.</t>
  </si>
  <si>
    <t>6.1.2.</t>
  </si>
  <si>
    <t>t.sk.: - par civilstāvokļa aktu reģistrēšanu, grozīšanu un papildināšanu</t>
  </si>
  <si>
    <t>09.4.9.0.</t>
  </si>
  <si>
    <t>6.1.3.</t>
  </si>
  <si>
    <t>t.sk.: - pārējās valsts nodevas, kuras ieskaita pašvaldību budžetā</t>
  </si>
  <si>
    <t>9.5.0.0.</t>
  </si>
  <si>
    <t>6.2.</t>
  </si>
  <si>
    <t>pašvaldību nodevas</t>
  </si>
  <si>
    <t>09.5.1.1.</t>
  </si>
  <si>
    <t>6.2.1.</t>
  </si>
  <si>
    <t>t.sk.: - nodeva par domes izstrādāto oficiālo dokumentu saņemšanu</t>
  </si>
  <si>
    <t>09.5.1.2.</t>
  </si>
  <si>
    <t>6.2.2.</t>
  </si>
  <si>
    <t>t.sk.: - nodeva par izklaidējoša rakstura pasākumu sarīkošanu publiskās vietās</t>
  </si>
  <si>
    <t>09.5.1.4.</t>
  </si>
  <si>
    <t>6.2.3.</t>
  </si>
  <si>
    <t>t.sk.: - nodeva par tirdzniecību publiskās vietās</t>
  </si>
  <si>
    <t>09.5.1.5.</t>
  </si>
  <si>
    <t>6.2.4.</t>
  </si>
  <si>
    <t>t.sk.: - nodeva par dzīvnieku turēšanu</t>
  </si>
  <si>
    <t>09.5.1.7.</t>
  </si>
  <si>
    <t>6.2.5.</t>
  </si>
  <si>
    <t>t.sk.: - nodeva par reklāmas, afišu un sludinājumu izvietošanu publiskās vietās</t>
  </si>
  <si>
    <t>09.5.2.1.</t>
  </si>
  <si>
    <t>6.2.6.</t>
  </si>
  <si>
    <t>t.sk.: - nodeva par būvatļaujas saņemšanu</t>
  </si>
  <si>
    <t>09.5.2.9.</t>
  </si>
  <si>
    <t>6.2.7.</t>
  </si>
  <si>
    <t>t.sk.: - pārējās nodevas</t>
  </si>
  <si>
    <t>10.0.0.0.</t>
  </si>
  <si>
    <t>7.</t>
  </si>
  <si>
    <t>Naudas sodi un sankcijas</t>
  </si>
  <si>
    <t>10.1.4.0.</t>
  </si>
  <si>
    <t>7.1.</t>
  </si>
  <si>
    <t>10.1.5.0.</t>
  </si>
  <si>
    <t>7.2.</t>
  </si>
  <si>
    <t>Naudas sodi, ko uzliek par pārkāpumiem ceļu satiksmē</t>
  </si>
  <si>
    <t>12.0.0.0.</t>
  </si>
  <si>
    <t>8.</t>
  </si>
  <si>
    <t>Pārējie nenodokļu ieņēmumi</t>
  </si>
  <si>
    <t>12.3.9.9.; 8.3.9.0.</t>
  </si>
  <si>
    <t>8.1.</t>
  </si>
  <si>
    <t>citi nenodokļu ieņēmumi</t>
  </si>
  <si>
    <t>SIA "Ādažu Namsaimnieks" dividendes, novirzīt caur 0950 izdevumi vidussk.apkures sist.pāreja uz atjaunoj.energoresursiem, Domes lēmums Nr.215.</t>
  </si>
  <si>
    <t>ĀN dividendes. Iedzīvotāju līdzfinansējums Rasiņu ielai vēl nav iemaksāts</t>
  </si>
  <si>
    <t>12.3.9.5.</t>
  </si>
  <si>
    <t>8.2.</t>
  </si>
  <si>
    <t>līgumsodi un procentu maksājumi par saistību neizpildi</t>
  </si>
  <si>
    <t>8.3.</t>
  </si>
  <si>
    <t>ieņēmumi no zvejas tiesību nomas</t>
  </si>
  <si>
    <t>13.1.0.0.</t>
  </si>
  <si>
    <t>9.</t>
  </si>
  <si>
    <t>Ieņēmumi no pašvaldības īpašuma pārdošana</t>
  </si>
  <si>
    <t>10.</t>
  </si>
  <si>
    <t>Valsts budžeta transferti un projektu finansējums</t>
  </si>
  <si>
    <t>10.1.</t>
  </si>
  <si>
    <t>Valsts budžeta transferti</t>
  </si>
  <si>
    <t>mērķdotācija</t>
  </si>
  <si>
    <t>18.6.2.3.</t>
  </si>
  <si>
    <t>10.1.1.</t>
  </si>
  <si>
    <t>dotācija mākslas skolas algām</t>
  </si>
  <si>
    <t>Precizēts MD apjoms</t>
  </si>
  <si>
    <t>18.6.2.4.</t>
  </si>
  <si>
    <t>10.1.2.</t>
  </si>
  <si>
    <t>dotācija sporta skolai</t>
  </si>
  <si>
    <t>18.6.2.10.; 18.6.2.11</t>
  </si>
  <si>
    <t>10.1.3.</t>
  </si>
  <si>
    <t>dotācija skolēnu ēdināšanai</t>
  </si>
  <si>
    <t>18.6.2.5.</t>
  </si>
  <si>
    <t>10.1.4.</t>
  </si>
  <si>
    <t>dotācija mācību līdzekļiem</t>
  </si>
  <si>
    <t xml:space="preserve">  10.1.4.1.</t>
  </si>
  <si>
    <t>t.sk.: - dotācija mācību grāmatām</t>
  </si>
  <si>
    <t xml:space="preserve">  10.1.4.2.</t>
  </si>
  <si>
    <t>t.sk.: - dotācija digitālajiem mācību līdzekļiem</t>
  </si>
  <si>
    <t>18.6.2.0.</t>
  </si>
  <si>
    <t>10.1.5.</t>
  </si>
  <si>
    <t>dotācijas pedagogu algām (vsk., PII)</t>
  </si>
  <si>
    <t>18.6.2.2.</t>
  </si>
  <si>
    <t xml:space="preserve">  10.1.5.1.</t>
  </si>
  <si>
    <t>t.sk.: - piecgadīgo bērnu apmācība</t>
  </si>
  <si>
    <t>18.6.2.1.</t>
  </si>
  <si>
    <t xml:space="preserve">  10.1.5.2.</t>
  </si>
  <si>
    <t>t.sk.: - skolotāju algām</t>
  </si>
  <si>
    <t xml:space="preserve">  10.1.5.3.</t>
  </si>
  <si>
    <t>t.sk.: - interešu izglītība</t>
  </si>
  <si>
    <t>18.6.2.9.</t>
  </si>
  <si>
    <t>10.1.6.</t>
  </si>
  <si>
    <t>dotācija māksliniecisko kolektīvu vadītāju atalgojumam</t>
  </si>
  <si>
    <t>18.6.3.1.</t>
  </si>
  <si>
    <t>10.1.7.</t>
  </si>
  <si>
    <t>Projekts "Skolas soma" Ādaži</t>
  </si>
  <si>
    <t>Precizēta summa pēc līguma noslēgšanas</t>
  </si>
  <si>
    <t>10.1.8.</t>
  </si>
  <si>
    <t>Projekts "Skolas soma" Carnikava</t>
  </si>
  <si>
    <t>18.6.2.7.</t>
  </si>
  <si>
    <t>10.1.9.</t>
  </si>
  <si>
    <t>dotācija asistenta pakalpojumu nodrošināšanai</t>
  </si>
  <si>
    <t>10.1.10.</t>
  </si>
  <si>
    <t>dotācija sociālajiem darbiniekiem, kuri strādā ar ģimenēm un bērniem</t>
  </si>
  <si>
    <t>AM līdzfinansējums Mežaparka ceļa izbūvei</t>
  </si>
  <si>
    <t>0420 (18.6.2.9.)</t>
  </si>
  <si>
    <t>10.1.11.</t>
  </si>
  <si>
    <t>valsts dotācija ceļu uzturēšanai</t>
  </si>
  <si>
    <t>Tiek ieskaitīts reizi ceturksnī.</t>
  </si>
  <si>
    <r>
      <t xml:space="preserve">Valsts finansējums projektu konkursā "Atbalsts jaunatnes politikas īstenošanai vietējā līmenī" </t>
    </r>
    <r>
      <rPr>
        <sz val="11"/>
        <color theme="8" tint="-0.249977111117893"/>
        <rFont val="Times New Roman"/>
        <family val="1"/>
        <charset val="186"/>
      </rPr>
      <t>Projekts "Mobilais darbs ar jaunatni Ādažu novadā"</t>
    </r>
  </si>
  <si>
    <t>10.1.12.</t>
  </si>
  <si>
    <t>Dotācijas Ukrainas pilsoņu atbalstam</t>
  </si>
  <si>
    <t>10.1.13.</t>
  </si>
  <si>
    <t>Dotācijas "Energoresursu atbalsts"</t>
  </si>
  <si>
    <t>Kavējas iemaksas, jo 2023.gada budžets pieņemts martā.</t>
  </si>
  <si>
    <t>0630</t>
  </si>
  <si>
    <t>18.6.2.9.;</t>
  </si>
  <si>
    <t>10.1.14.</t>
  </si>
  <si>
    <t>pārējās dotācijas</t>
  </si>
  <si>
    <t>10.2.</t>
  </si>
  <si>
    <t>ES struktūrfondu līdzekļi un aktivitāšu līdzfinansējumi</t>
  </si>
  <si>
    <t>18.6.2.6.1.</t>
  </si>
  <si>
    <t>10.2.1.</t>
  </si>
  <si>
    <t>Dotācija nodarbinātības pasākumiem</t>
  </si>
  <si>
    <t>0634</t>
  </si>
  <si>
    <t>18.6.3.6.</t>
  </si>
  <si>
    <t>10.2.2.</t>
  </si>
  <si>
    <t>Plūdu risku projekts</t>
  </si>
  <si>
    <t>Saskaņā ar projekta NP</t>
  </si>
  <si>
    <t>10.2.3.</t>
  </si>
  <si>
    <t>Apgaismojuma izbūve uz Salas aizsargdamja D-2 posmā, Carnikavas pagastā</t>
  </si>
  <si>
    <t>18.6.3.4</t>
  </si>
  <si>
    <t>10.2.4.</t>
  </si>
  <si>
    <t>Auto stāvlaukuma Lilastē paplašināšanas un atpūtas vietu labiekārtojuma projektēšana un izbūve ©</t>
  </si>
  <si>
    <t xml:space="preserve">18.6.3.13. </t>
  </si>
  <si>
    <t>10.2.5.</t>
  </si>
  <si>
    <t>SAM 9.2.4.2. projekts "Pasākumi vietējās sabiedrības veselības veicināšanai Ādažu novadā"</t>
  </si>
  <si>
    <t xml:space="preserve">18.6.3.14.  </t>
  </si>
  <si>
    <t>10.2.6.</t>
  </si>
  <si>
    <t>VISA projekts "Atbalsts izglītojamo individuālo kompetenču attīstībai"</t>
  </si>
  <si>
    <t>10.2.8.</t>
  </si>
  <si>
    <t>SAM 9311 Deinstitucionalizācija - Dienas centrs - specializētās darbnīcas</t>
  </si>
  <si>
    <t>10.2.9.</t>
  </si>
  <si>
    <t>Dienas centrs - pakalpojumi (Ā)</t>
  </si>
  <si>
    <t>0632.2</t>
  </si>
  <si>
    <t xml:space="preserve">18.6.3.12. </t>
  </si>
  <si>
    <t>10.2.10.</t>
  </si>
  <si>
    <t>LAD projekts "Laivu ielas un tai piegulošā auto stāvlaukuma projektēšana un būvniecība"</t>
  </si>
  <si>
    <t>10.2.11.</t>
  </si>
  <si>
    <t>KF Ūdenssaimniecība 3.kārta Carnikavā</t>
  </si>
  <si>
    <t>10.2.12.</t>
  </si>
  <si>
    <t>ESF projekts Karjeras atbalsts vispārējās un profesionālās izglītības iestādēs ©</t>
  </si>
  <si>
    <t>10.2.13.</t>
  </si>
  <si>
    <t>ESF projekts Atbalsts priekšlaicīgas mācību pārtraukšanas samazināšanai ©</t>
  </si>
  <si>
    <t>10.2.14.</t>
  </si>
  <si>
    <t>SAM 5.5.1. Kultūras objektu būvniecība ©</t>
  </si>
  <si>
    <t>Plānots rudenī.</t>
  </si>
  <si>
    <t>10.2.15.</t>
  </si>
  <si>
    <t>ES projekts Eiropa pilsoņiem (diskriminētām personām) ©</t>
  </si>
  <si>
    <t>10.2.16.</t>
  </si>
  <si>
    <t>ERASMUS + projekti</t>
  </si>
  <si>
    <t>Finansējums vidēja termiņa projektiem.</t>
  </si>
  <si>
    <t>10.2.17.</t>
  </si>
  <si>
    <t xml:space="preserve"> ”Mobilitātes punkta infrastruktūras izveidošana Rīgas metropoles areālā – “Carnikava””</t>
  </si>
  <si>
    <t>10.2.18.</t>
  </si>
  <si>
    <t>Maģistrālā  veloceļa izbūve Rīga-Carnikava</t>
  </si>
  <si>
    <t>10.2.19.</t>
  </si>
  <si>
    <t>Ģimenes ārsta prakses izveide_Garā iela 20 (ERAF, SAM 9.3.2. 4.kārta)</t>
  </si>
  <si>
    <t>10.2.20.</t>
  </si>
  <si>
    <t>EKII projekts</t>
  </si>
  <si>
    <t>10.2.21.</t>
  </si>
  <si>
    <t>Katlu mājas pārbūve Carnikavā, Tulpju iela 5</t>
  </si>
  <si>
    <t>18.6.4.0.</t>
  </si>
  <si>
    <t>10.3.</t>
  </si>
  <si>
    <t>IIN budžeta dotācija</t>
  </si>
  <si>
    <t>11.</t>
  </si>
  <si>
    <t>Pašvaldību budžeta transferti</t>
  </si>
  <si>
    <t>19.2.1.0.</t>
  </si>
  <si>
    <t>11.1.</t>
  </si>
  <si>
    <t>no citām pašvaldībām izglītības funkciju nodrošināšanai</t>
  </si>
  <si>
    <t>Maksājumi tiek veikti par ceturksni.</t>
  </si>
  <si>
    <t>19.2.2.0.</t>
  </si>
  <si>
    <t>11.2.</t>
  </si>
  <si>
    <t>citi ieņēmumi no citām pašvaldībam</t>
  </si>
  <si>
    <t>12.</t>
  </si>
  <si>
    <t>Budžeta iestāžu ieņēmumi</t>
  </si>
  <si>
    <t>21.3.5.0.</t>
  </si>
  <si>
    <t>12.1.</t>
  </si>
  <si>
    <t>maksa par izglītības pakalpojumiem</t>
  </si>
  <si>
    <t>21.3.5.2.</t>
  </si>
  <si>
    <t>12.1.1.</t>
  </si>
  <si>
    <t>ieņēmumi no vecāku maksām (PII)</t>
  </si>
  <si>
    <t>21.3.5.9.</t>
  </si>
  <si>
    <t>12.1.2.</t>
  </si>
  <si>
    <t>ieņēmumi no vecāku maksām (ĀMMS; BJSS)</t>
  </si>
  <si>
    <t>12.2.</t>
  </si>
  <si>
    <t>pārrobežu projektu ieņēmumi ©</t>
  </si>
  <si>
    <t>12.2.1.</t>
  </si>
  <si>
    <t>ES Padomes projekts LIFE COHABIT ©</t>
  </si>
  <si>
    <t>0630.2</t>
  </si>
  <si>
    <t>12.2.2.</t>
  </si>
  <si>
    <t>pārrobežu EST-LAT projekts "Militārais mantojums</t>
  </si>
  <si>
    <t>21.3.8.0.</t>
  </si>
  <si>
    <t>12.3.</t>
  </si>
  <si>
    <t>ieņēmumi par nomu un īri</t>
  </si>
  <si>
    <t>21.3.8.1.</t>
  </si>
  <si>
    <t>12.3.1.</t>
  </si>
  <si>
    <t>ieņēmumi par telpu nomu</t>
  </si>
  <si>
    <t>21.3.8.4.</t>
  </si>
  <si>
    <t>12.3.2.</t>
  </si>
  <si>
    <t>ieņēmumi par zemes nomu</t>
  </si>
  <si>
    <t>12.3.3.</t>
  </si>
  <si>
    <t>pārējie ieņēmumi par nomu ©</t>
  </si>
  <si>
    <t>21.3.9.0.</t>
  </si>
  <si>
    <t>12.4.</t>
  </si>
  <si>
    <t>budžeta iestāžu maksas pakalpojumi</t>
  </si>
  <si>
    <t>0812</t>
  </si>
  <si>
    <t>12.4.1.</t>
  </si>
  <si>
    <t xml:space="preserve">Baseins - EUR 23 575, ĀN  - EUR 5443 (Par īres maksas peļņas daļas un dzīv.mājas īres telpas nolietojuma ieskaitījumu). Bibliotēkas - printēšanas darbi. </t>
  </si>
  <si>
    <t>12.4.2.</t>
  </si>
  <si>
    <t>ieņēmumi no biļešu realizācijas</t>
  </si>
  <si>
    <t>12.4.3.</t>
  </si>
  <si>
    <t>ieņēmumi no dzīvokļu un komunālajiem pakalpojumiem ©</t>
  </si>
  <si>
    <t>21.3.5.9.; 21.4.9.9.</t>
  </si>
  <si>
    <t>12.6.</t>
  </si>
  <si>
    <t>pārējie ieņēmumi/stāvvietu ieņēmumi</t>
  </si>
  <si>
    <t>Stāvvietu ieņēmumiem vēl nav sezona.</t>
  </si>
  <si>
    <t>KOPĀ IEŅĒMUMI:</t>
  </si>
  <si>
    <t>13.</t>
  </si>
  <si>
    <t>Naudas līdzekļu atlikums gada sākumā</t>
  </si>
  <si>
    <t>13.1.</t>
  </si>
  <si>
    <t>Naudas atlikums iezīmētiem mērķiem</t>
  </si>
  <si>
    <t>13.2.</t>
  </si>
  <si>
    <t>Naudas atlikums pašvaldības līdzekļi</t>
  </si>
  <si>
    <t xml:space="preserve">14. </t>
  </si>
  <si>
    <t>Valsts Kases kredīti</t>
  </si>
  <si>
    <t>14.1.</t>
  </si>
  <si>
    <t>14.2.</t>
  </si>
  <si>
    <t>14.3.</t>
  </si>
  <si>
    <t xml:space="preserve"> "Auto stāvlaukuma Lilastē paplašināšana, atpūtas vietu, labiekārtojuma, labierīcību, kempinga iespēju projektēšana un izbūve" ©</t>
  </si>
  <si>
    <t>F40321210</t>
  </si>
  <si>
    <t>14.4.</t>
  </si>
  <si>
    <t>SAM 5.1.1. Pretplūdu pasākumi Ādažu centra polderī, Ādažu novadā</t>
  </si>
  <si>
    <t>14.5.</t>
  </si>
  <si>
    <t>14.6.</t>
  </si>
  <si>
    <t>Carnikavas stadiona rekonstrukcija</t>
  </si>
  <si>
    <t>14.7.</t>
  </si>
  <si>
    <t>Ādažu vidusskolas ēkas B korpusa un savienojuma daļas starp korpusiem (C un B) fasādes atjaunošana</t>
  </si>
  <si>
    <t>14.8.</t>
  </si>
  <si>
    <t>Kalngales NAI pārbūve</t>
  </si>
  <si>
    <t>14.9.</t>
  </si>
  <si>
    <t>14.10.</t>
  </si>
  <si>
    <t>14.11.</t>
  </si>
  <si>
    <t>Ķiršu ielas III kārta no Saules ielas līdz Attekas ielai 0.17km</t>
  </si>
  <si>
    <t>14.12.</t>
  </si>
  <si>
    <t>Draudzības iela posmā no Saules ielai līdz Podnieku ielai ar ietvi 0.35km</t>
  </si>
  <si>
    <t>PAVISAM KOPĀ IEŅĒMUMI:</t>
  </si>
  <si>
    <t xml:space="preserve">Izdevumu daļa </t>
  </si>
  <si>
    <t>Komentāri</t>
  </si>
  <si>
    <t>Vispārējie valdības dienesti</t>
  </si>
  <si>
    <t>0110</t>
  </si>
  <si>
    <t>pārvalde</t>
  </si>
  <si>
    <t>0111</t>
  </si>
  <si>
    <t>deputāti</t>
  </si>
  <si>
    <t>0130</t>
  </si>
  <si>
    <t>1.3.</t>
  </si>
  <si>
    <t>administratīvā komisija</t>
  </si>
  <si>
    <t>0140</t>
  </si>
  <si>
    <t>1.4.</t>
  </si>
  <si>
    <t>iepirkumu komisija</t>
  </si>
  <si>
    <t>0120</t>
  </si>
  <si>
    <t>1.5.</t>
  </si>
  <si>
    <t>vēlēšanu komisija</t>
  </si>
  <si>
    <t>0150</t>
  </si>
  <si>
    <t>1.6.</t>
  </si>
  <si>
    <t>pārējās komisijas</t>
  </si>
  <si>
    <t>1.7.</t>
  </si>
  <si>
    <t>aizņēmumu procentu maksājumi</t>
  </si>
  <si>
    <t>1.8.</t>
  </si>
  <si>
    <t>Iemaksas PFIF</t>
  </si>
  <si>
    <t>0170</t>
  </si>
  <si>
    <t>1.9.</t>
  </si>
  <si>
    <t>Informācijas tehnoloģiju nodaļa, vispārējas nozīmes dienestu darbība un pakalpojumi - datortīkla uzturēšana ©</t>
  </si>
  <si>
    <t>Pārējie vispārēja rakstura transferti</t>
  </si>
  <si>
    <t>0610</t>
  </si>
  <si>
    <t>Izdevumi neparedzētiem gadījumiem</t>
  </si>
  <si>
    <t>0340</t>
  </si>
  <si>
    <t>Sabiedriskā kārtība un drošība</t>
  </si>
  <si>
    <t>Ekonomiskā darbība</t>
  </si>
  <si>
    <t>0490</t>
  </si>
  <si>
    <t>Sabiedriskās attiecības, laikraksts</t>
  </si>
  <si>
    <t>4.1.1.</t>
  </si>
  <si>
    <t>Sabiedrisko attiecību nodaļa</t>
  </si>
  <si>
    <t>Brīva vakance. Kalendāri tiek izgatavoti gada beigās.</t>
  </si>
  <si>
    <t>4.1.2.</t>
  </si>
  <si>
    <t>Ādažu vēstis</t>
  </si>
  <si>
    <t>0420</t>
  </si>
  <si>
    <t>Autoceļu fonds</t>
  </si>
  <si>
    <t>Realizē CKS</t>
  </si>
  <si>
    <t>Vides aizsardzība</t>
  </si>
  <si>
    <t>0510</t>
  </si>
  <si>
    <t>Dabas resursu nodokļa izlietojums</t>
  </si>
  <si>
    <t>Pašvldības DRN maksājums</t>
  </si>
  <si>
    <t>Pašvaldības teritoriju un mājokļu apsaimniekošana</t>
  </si>
  <si>
    <t>0620</t>
  </si>
  <si>
    <t>Būvvalde</t>
  </si>
  <si>
    <t>0660</t>
  </si>
  <si>
    <t>6.3.</t>
  </si>
  <si>
    <t>Teritorijas plānošanas nodaļa</t>
  </si>
  <si>
    <t>2ām lielajām investīcijām šobrīd norisinās iepirkuma procedūra</t>
  </si>
  <si>
    <t>6.4.</t>
  </si>
  <si>
    <t>Attīstības un projektu nodaļa</t>
  </si>
  <si>
    <t>6.4.1.</t>
  </si>
  <si>
    <t>nodaļa</t>
  </si>
  <si>
    <t>Life CoHabit projekts noslēdzies - 2) EUR 5033 Gaujas-Baltezera projekta realizācijai (Lēmums #82)</t>
  </si>
  <si>
    <t>Šajā pozīcijā EUR 550'000 PII zemes pirkšanai un projektēšanai - vēl nav realizēts.</t>
  </si>
  <si>
    <t>0630.1</t>
  </si>
  <si>
    <t>6.4.2.</t>
  </si>
  <si>
    <t>Projekts "Sabiedrība ar dvēseli"</t>
  </si>
  <si>
    <t>Šobrīd pretendenti sniedz iesniegumus.</t>
  </si>
  <si>
    <t>6.4.3.</t>
  </si>
  <si>
    <t>Iedzīvotāju iniciatīvas un konkursi.</t>
  </si>
  <si>
    <t>0632.5</t>
  </si>
  <si>
    <t>6.4.4.</t>
  </si>
  <si>
    <t>TEP “Atjaunojamo energoresursu izmantošana Ādažu novadā” (EUCF)</t>
  </si>
  <si>
    <t>EUR 18'000 no atlikuma uz TEP “Atjaunojamo energoresursu izmantošana Ādažu novadā” (EUCF) projektu priekšfinansējumam. (Lēmums #164)</t>
  </si>
  <si>
    <t>Par projekta gaitu ziņo izpilddirektors.</t>
  </si>
  <si>
    <t>0633.1</t>
  </si>
  <si>
    <t>6.4.5.</t>
  </si>
  <si>
    <t>”Mobilitātes punkta infrastruktūras izveidošana Rīgas metropoles areālā – “Carnikava””</t>
  </si>
  <si>
    <t>0633.2</t>
  </si>
  <si>
    <t>6.4.6.</t>
  </si>
  <si>
    <t>0632.4</t>
  </si>
  <si>
    <t>6.4.7.</t>
  </si>
  <si>
    <t>6.4.8.</t>
  </si>
  <si>
    <t xml:space="preserve">  ES Padomes projekts LIFE COHABIT ©</t>
  </si>
  <si>
    <t>Life CoHabit projekts noslēdzies - 1) EUR 18'000 no atlikuma uz TEP “Atjaunojamo energoresursu izmantošana Ādažu novadā” (EUCF) projektu priekšfinansējumam. (Lēmums #164)
2) EUR 5033 Gaujas-Baltezera projekta realizācijai (Lēmums #82)</t>
  </si>
  <si>
    <t>6.4.9.</t>
  </si>
  <si>
    <t>Pārrobežu EST-LAT projekts "Militārais mantojums ©</t>
  </si>
  <si>
    <t>0633.5</t>
  </si>
  <si>
    <t>6.4.10.</t>
  </si>
  <si>
    <t>6.5.</t>
  </si>
  <si>
    <t>Objektu un teritorijas apsaimniekošana un uzturēšana</t>
  </si>
  <si>
    <t>6.5.1.</t>
  </si>
  <si>
    <t>Nekustamo īpašumu uzturēšana (Ā)</t>
  </si>
  <si>
    <t>0670</t>
  </si>
  <si>
    <t xml:space="preserve">Nekustamā īpašumas nodaļa </t>
  </si>
  <si>
    <t>0649</t>
  </si>
  <si>
    <t>6.5.2.</t>
  </si>
  <si>
    <t>Mežaparka ceļš (Ā)</t>
  </si>
  <si>
    <t>6.5.3.</t>
  </si>
  <si>
    <t>CKS_apsaimniek</t>
  </si>
  <si>
    <t>6.5.4.</t>
  </si>
  <si>
    <t>Pašvaldības aģentūra "Carnikavas Komunālserviss"</t>
  </si>
  <si>
    <t>6.5.5.</t>
  </si>
  <si>
    <t>P/A "Carnikavas komunālserviss" teritorijas un īpašumu apsaimniekošana</t>
  </si>
  <si>
    <t>6.5.5.1</t>
  </si>
  <si>
    <t>Dotācija CKS teritorijas uzturēšanai</t>
  </si>
  <si>
    <t>EUR 23'472 samaksāts no Domes</t>
  </si>
  <si>
    <t>6.5.5.2.</t>
  </si>
  <si>
    <t>Dotācija CKS ceļu uzturēšanai</t>
  </si>
  <si>
    <t>EUR 20'544 samaksāts no Domes</t>
  </si>
  <si>
    <t>6.5.5.3.</t>
  </si>
  <si>
    <t>Teritorijas uzturēšana (Dome)</t>
  </si>
  <si>
    <t>0650_4</t>
  </si>
  <si>
    <t>6.5.6.</t>
  </si>
  <si>
    <t>Ceļu, ielu infrastruktūras attīstības programma  - pašvaldības ieguldījums ©</t>
  </si>
  <si>
    <t>0633.3</t>
  </si>
  <si>
    <t>6.5.7.</t>
  </si>
  <si>
    <t>6.5.8.</t>
  </si>
  <si>
    <t>Rasiņu ielas seguma atjaunošana</t>
  </si>
  <si>
    <t>Par projekta gaitu ziņo CKS.</t>
  </si>
  <si>
    <t>6.5.9.</t>
  </si>
  <si>
    <t>6.5.10.</t>
  </si>
  <si>
    <t>6.5.11.</t>
  </si>
  <si>
    <t>6.5.12.</t>
  </si>
  <si>
    <t>6.5.13.</t>
  </si>
  <si>
    <t>0633.4</t>
  </si>
  <si>
    <t>6.5.14.</t>
  </si>
  <si>
    <t>KF Ūdenssaimniecības projekts Carnikavā, 3.kārta ©</t>
  </si>
  <si>
    <t>Atpūta, kultūra un reliģija</t>
  </si>
  <si>
    <t>Kultūra</t>
  </si>
  <si>
    <t>0841.1</t>
  </si>
  <si>
    <t>7.1.1.</t>
  </si>
  <si>
    <t xml:space="preserve">Ādažu kultūras centrs </t>
  </si>
  <si>
    <t>Lielākās izmaksas maijā - Gaujas svētki, pasākumi siltajā sezonā.</t>
  </si>
  <si>
    <t>0841.2</t>
  </si>
  <si>
    <t>7.1.2.</t>
  </si>
  <si>
    <t>Tautas nams "Ozolaine" ©</t>
  </si>
  <si>
    <t>Lielākās izmaksas - Nēģu svētki, pasākumi siltajā sezonā.</t>
  </si>
  <si>
    <t>0841.3</t>
  </si>
  <si>
    <t>7.1.3.</t>
  </si>
  <si>
    <t>Muzejs un Carnikavas novadpētniecības centrs</t>
  </si>
  <si>
    <t>0841.4</t>
  </si>
  <si>
    <t>Dziesmu svētki 2023</t>
  </si>
  <si>
    <t>0844.1</t>
  </si>
  <si>
    <t>7.3.</t>
  </si>
  <si>
    <t>SAM 5.5.1. Kultūras objektu būvniecība (maksājumi projekta partneriem) ©</t>
  </si>
  <si>
    <t>0844.2</t>
  </si>
  <si>
    <t>7.4.</t>
  </si>
  <si>
    <t>0830</t>
  </si>
  <si>
    <t>7.5.</t>
  </si>
  <si>
    <t xml:space="preserve">Ādažu bibliotēka </t>
  </si>
  <si>
    <t>0831</t>
  </si>
  <si>
    <t>7.6.</t>
  </si>
  <si>
    <t xml:space="preserve">Carnikavas bibliotēka </t>
  </si>
  <si>
    <t>7.8.</t>
  </si>
  <si>
    <t>Sporta daļa</t>
  </si>
  <si>
    <t>Kurināmā izpilde 50% no plānotā.</t>
  </si>
  <si>
    <t>0880</t>
  </si>
  <si>
    <t>7.9.</t>
  </si>
  <si>
    <t>Evaņģēliski luteriskās draudzes</t>
  </si>
  <si>
    <t>0843</t>
  </si>
  <si>
    <t>7.10.</t>
  </si>
  <si>
    <t>Multihalle</t>
  </si>
  <si>
    <t>Sociālā aizsardzība</t>
  </si>
  <si>
    <t>Sociālais dienests</t>
  </si>
  <si>
    <t>8.1.1.</t>
  </si>
  <si>
    <t xml:space="preserve">Sociālās funkcijas nodrošināšana </t>
  </si>
  <si>
    <t>8.1.2.</t>
  </si>
  <si>
    <t>Pabalsti</t>
  </si>
  <si>
    <t>8.1.3.</t>
  </si>
  <si>
    <t>Mērķdotācija</t>
  </si>
  <si>
    <t>8.1.5.</t>
  </si>
  <si>
    <t>Asistentu pakalpojumi</t>
  </si>
  <si>
    <t>8.1.6.</t>
  </si>
  <si>
    <t>Sociālā centra "Kadiķis" uzturēšana</t>
  </si>
  <si>
    <t>Stipendiāti / bezdarbnieki</t>
  </si>
  <si>
    <t>8.2.1.</t>
  </si>
  <si>
    <t>Domes finansējums</t>
  </si>
  <si>
    <t>8.2.2.</t>
  </si>
  <si>
    <t>NVA finansējums</t>
  </si>
  <si>
    <t>SAM 9311 Deinstitucionalizācija - Dienas centrs</t>
  </si>
  <si>
    <t>1014.3</t>
  </si>
  <si>
    <t>8.3.1.</t>
  </si>
  <si>
    <t>DI centra uzturēšanas izdevumi</t>
  </si>
  <si>
    <t>Ekonomija uz neaizpildītajām vakancēm.</t>
  </si>
  <si>
    <t>8.3.2.</t>
  </si>
  <si>
    <t>DI projekts- specializētās darbnīcas</t>
  </si>
  <si>
    <t>1014.1</t>
  </si>
  <si>
    <t>8.3.3.</t>
  </si>
  <si>
    <t>DI centra pakalpojumi (projekts)</t>
  </si>
  <si>
    <t>8.4.</t>
  </si>
  <si>
    <t>Bāriņtiesa</t>
  </si>
  <si>
    <t>8.5.</t>
  </si>
  <si>
    <t>Atbilstoši valsts līdzfinansējumam pēc pašvaldības atskaitēm.</t>
  </si>
  <si>
    <t>8.6.</t>
  </si>
  <si>
    <t>1013.1</t>
  </si>
  <si>
    <t>8.7.</t>
  </si>
  <si>
    <t>SAM 9.2.4.2. projekts "Pasākumi vietējās sabiedrības veselības veicināšanai Ādažu novada pašvaldības Ādažu pagastā"</t>
  </si>
  <si>
    <t>1013.2</t>
  </si>
  <si>
    <t>8.8.</t>
  </si>
  <si>
    <t>SAM 9.2.4.2. projekts "Pasākumi vietējās sabiedrības veselības veicināšanai Ādažu novada pašvaldības Carnikavas pagastā"</t>
  </si>
  <si>
    <t>Izglītība</t>
  </si>
  <si>
    <t>7210 (0940; 0970)</t>
  </si>
  <si>
    <t>9.1.</t>
  </si>
  <si>
    <t>Norēķini ar pašvaldību budžetiem par izglītības iestāžu pakalpojumiem</t>
  </si>
  <si>
    <t>Norēķini notiek reizi 4 mēnešos (par trimestri - līdz 30.04.)</t>
  </si>
  <si>
    <t>9.2.</t>
  </si>
  <si>
    <t>Ādažu Pirmsskolas izglītības iestāde</t>
  </si>
  <si>
    <t>0911</t>
  </si>
  <si>
    <t>9.2.1.</t>
  </si>
  <si>
    <t>pedagogu algas, grāmatas (mērķdotācija)</t>
  </si>
  <si>
    <t>0910</t>
  </si>
  <si>
    <t>9.2.2.</t>
  </si>
  <si>
    <t>pārējās izmaksas</t>
  </si>
  <si>
    <t>Pedagogiem atvaļinājumi vasarā.</t>
  </si>
  <si>
    <t>9.3.</t>
  </si>
  <si>
    <t>Kadagas PII</t>
  </si>
  <si>
    <t>0921</t>
  </si>
  <si>
    <t>9.3.1.</t>
  </si>
  <si>
    <t>0920</t>
  </si>
  <si>
    <t>9.3.2.</t>
  </si>
  <si>
    <t>9.4.</t>
  </si>
  <si>
    <t>Pirmsskolas izglītības iestāde "Riekstiņš"</t>
  </si>
  <si>
    <t>09011</t>
  </si>
  <si>
    <t>9.4.1.</t>
  </si>
  <si>
    <t>0901; 650_0901</t>
  </si>
  <si>
    <t>9.4.2.</t>
  </si>
  <si>
    <t>9.4.3.</t>
  </si>
  <si>
    <t>uzturēšanas izmaksas (CKS)</t>
  </si>
  <si>
    <t>0902; 650_0902</t>
  </si>
  <si>
    <t>9.5.</t>
  </si>
  <si>
    <t>Pirmsskolas izglītības iestādes "Piejūra"</t>
  </si>
  <si>
    <t>09021</t>
  </si>
  <si>
    <t>9.5.1.</t>
  </si>
  <si>
    <t>9.5.2.</t>
  </si>
  <si>
    <t>9.5.3.</t>
  </si>
  <si>
    <t>9.6.</t>
  </si>
  <si>
    <t>Privātās izglītības iestādes</t>
  </si>
  <si>
    <t>0970</t>
  </si>
  <si>
    <t>9.6.1.</t>
  </si>
  <si>
    <t>ĀBVS</t>
  </si>
  <si>
    <t>0940</t>
  </si>
  <si>
    <t>9.6.2.</t>
  </si>
  <si>
    <t>Privātās skolas</t>
  </si>
  <si>
    <t>9.6.3.</t>
  </si>
  <si>
    <t>Pārējās privātās PII</t>
  </si>
  <si>
    <t>9.7.</t>
  </si>
  <si>
    <t>Carnikavas pamatskola</t>
  </si>
  <si>
    <t>09821</t>
  </si>
  <si>
    <t>9.7.1.</t>
  </si>
  <si>
    <t>9.7.2.</t>
  </si>
  <si>
    <t>ēdināšana (mērķdotācija)</t>
  </si>
  <si>
    <t>0982; 0650_0982</t>
  </si>
  <si>
    <t>9.7.3.</t>
  </si>
  <si>
    <t>9.7.4.</t>
  </si>
  <si>
    <t>09822</t>
  </si>
  <si>
    <t>9.7.5.</t>
  </si>
  <si>
    <t>projekts "Skolas soma"</t>
  </si>
  <si>
    <t>09825</t>
  </si>
  <si>
    <t>9.7.6.</t>
  </si>
  <si>
    <t>projekts Erasmus+</t>
  </si>
  <si>
    <t>0982</t>
  </si>
  <si>
    <t>9.7.7.</t>
  </si>
  <si>
    <t>mācību vides labiekārtošana</t>
  </si>
  <si>
    <t>09823</t>
  </si>
  <si>
    <t>9.8.</t>
  </si>
  <si>
    <t>Līdz aprīlim bija tehniskais pārtraukums.</t>
  </si>
  <si>
    <t>9.9.</t>
  </si>
  <si>
    <t>Ādažu vidusskola</t>
  </si>
  <si>
    <t>0954</t>
  </si>
  <si>
    <t>9.9.1.</t>
  </si>
  <si>
    <t>0950</t>
  </si>
  <si>
    <t>9.9.2.</t>
  </si>
  <si>
    <t>1. EUR 7'900 IZM piegādāto ChromeBook (IZM projekts datori 7-9 kl. skolēniem) uzglabāšanas, uzlādes skapji 5 gb. (32 datori vienā skapī). Šos no EKK 5238 uz EKK 5240.
2. EUR 10'864 SIA "Ādažu Namsaimnieks" dividendes, novirzīt caur 0950 izdevumi vidussk.apkures sist.pāreja uz atjaunoj.energoresursiem, Domes lēmums Nr.215.</t>
  </si>
  <si>
    <t>0957</t>
  </si>
  <si>
    <t>9.9.3.</t>
  </si>
  <si>
    <t>0951</t>
  </si>
  <si>
    <t>9.9.4.</t>
  </si>
  <si>
    <t>9.9.5.</t>
  </si>
  <si>
    <t>0981</t>
  </si>
  <si>
    <t>9.9.6.</t>
  </si>
  <si>
    <t>sākumskolas uzturēšanas izmaksas</t>
  </si>
  <si>
    <t>1. EUR 7'000 no apkures izmaksām (EKK 2221) uz EKK 5239 boilera uzstādīšanai, SIA "Namsaimnieks" nenodrošina silto ūdeni ārpus apkures sezonai.
2. EUR 166'307 pusdienu līdzfinansējums 1.-4.kl. (EKK korekcija)</t>
  </si>
  <si>
    <t>9.9.7.</t>
  </si>
  <si>
    <t>sākumskolas ēdināšana (mērķdotācija)</t>
  </si>
  <si>
    <t>9.9.8.</t>
  </si>
  <si>
    <t xml:space="preserve">PII </t>
  </si>
  <si>
    <t>0952.1</t>
  </si>
  <si>
    <t>9.9.8.1.</t>
  </si>
  <si>
    <t>- pedagogu algas (mērķdotācija)</t>
  </si>
  <si>
    <t>0952</t>
  </si>
  <si>
    <t>9.9.8.2.</t>
  </si>
  <si>
    <t>-  uzturēšana</t>
  </si>
  <si>
    <t>9.10.</t>
  </si>
  <si>
    <t>Ādažu novada  Mākslu skola</t>
  </si>
  <si>
    <t>9.10.1.</t>
  </si>
  <si>
    <t>pedagogu algas (mērķdotācija)</t>
  </si>
  <si>
    <t>9.10.2.</t>
  </si>
  <si>
    <t>Pedagogiem atvaļinājumi vasarā.
Pārvākšanās izmaksas būs maijā.</t>
  </si>
  <si>
    <t>9.11.</t>
  </si>
  <si>
    <t>Sporta skola</t>
  </si>
  <si>
    <t>09651</t>
  </si>
  <si>
    <t>9.11.1.</t>
  </si>
  <si>
    <t>0965</t>
  </si>
  <si>
    <t>9.11.2.</t>
  </si>
  <si>
    <t>Pašvaldības finansējums</t>
  </si>
  <si>
    <t>0930</t>
  </si>
  <si>
    <t>9.12.</t>
  </si>
  <si>
    <t xml:space="preserve">Izglītības un jauniešu lietu pārvalde </t>
  </si>
  <si>
    <t>Lielākās plāna pozīcijas bērnu radošās nometnes vasarā un jauniešu apbalvojumi par sasniegumiem rudenī.</t>
  </si>
  <si>
    <t>9.13.</t>
  </si>
  <si>
    <t>Aktivitātes jauniešiem, jauniešu projektu konkurss</t>
  </si>
  <si>
    <t>0931</t>
  </si>
  <si>
    <t>9.14.</t>
  </si>
  <si>
    <t>ESF projekts Atbalsts priekšlaicīgas mācību pārtraukšanas samazināšanai © (Pumpurs)</t>
  </si>
  <si>
    <t>0932</t>
  </si>
  <si>
    <t>9.15.</t>
  </si>
  <si>
    <t>Projkts noslēdzies, konta atlikums.</t>
  </si>
  <si>
    <t>0933</t>
  </si>
  <si>
    <t>9.16.</t>
  </si>
  <si>
    <t>Valsts finansējums projektu konkursā "Atbalsts jaunatnes politikas īstenošanai vietējā līmenī"  projekts "Mobilais darbs ar jaunatni Ādažu novadā"</t>
  </si>
  <si>
    <t>9.17.</t>
  </si>
  <si>
    <t>0956</t>
  </si>
  <si>
    <t>9.17.1.</t>
  </si>
  <si>
    <t>Ādaži</t>
  </si>
  <si>
    <t>09824</t>
  </si>
  <si>
    <t>9.17.2.</t>
  </si>
  <si>
    <t>Carnikava</t>
  </si>
  <si>
    <t>10</t>
  </si>
  <si>
    <t>Ieguldījumi uzņēmumu pamatkapitālā</t>
  </si>
  <si>
    <t>SIA "Ādažu ūdens"</t>
  </si>
  <si>
    <t>SIA "Garkalnes ūdens"</t>
  </si>
  <si>
    <t>KOPĀ IZDEVUMI:</t>
  </si>
  <si>
    <t>Kredītu pamatsummas atmaksa</t>
  </si>
  <si>
    <t>PAVISAM KOPĀ IZDEVUMI:</t>
  </si>
  <si>
    <t>-</t>
  </si>
  <si>
    <t>Naudas līdzekļu atlikums uz gada beigām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</si>
</sst>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9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2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7030A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7030A0"/>
      <name val="Times New Roman"/>
      <family val="1"/>
      <charset val="186"/>
    </font>
    <font>
      <u/>
      <sz val="9"/>
      <color theme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7030A0"/>
      <name val="Times New Roman"/>
      <family val="1"/>
      <charset val="186"/>
    </font>
    <font>
      <sz val="11"/>
      <color theme="8" tint="-0.249977111117893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3"/>
      <name val="Times New Roman"/>
      <family val="1"/>
      <charset val="186"/>
    </font>
    <font>
      <b/>
      <sz val="11"/>
      <color theme="3"/>
      <name val="Times New Roman"/>
      <family val="1"/>
      <charset val="186"/>
    </font>
    <font>
      <b/>
      <sz val="11"/>
      <name val="Times New Roman"/>
      <family val="1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9" fontId="4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3" applyFont="1"/>
    <xf numFmtId="0" fontId="3" fillId="0" borderId="0" xfId="4" applyFont="1"/>
    <xf numFmtId="0" fontId="2" fillId="0" borderId="0" xfId="3" applyFont="1" applyAlignment="1">
      <alignment wrapText="1"/>
    </xf>
    <xf numFmtId="3" fontId="2" fillId="0" borderId="0" xfId="3" applyNumberFormat="1" applyFont="1"/>
    <xf numFmtId="9" fontId="2" fillId="0" borderId="0" xfId="5" applyFont="1" applyAlignment="1">
      <alignment wrapText="1"/>
    </xf>
    <xf numFmtId="0" fontId="5" fillId="0" borderId="0" xfId="3" applyFont="1" applyAlignment="1">
      <alignment wrapText="1"/>
    </xf>
    <xf numFmtId="9" fontId="5" fillId="0" borderId="0" xfId="2" applyFont="1" applyAlignment="1">
      <alignment wrapText="1"/>
    </xf>
    <xf numFmtId="164" fontId="2" fillId="0" borderId="0" xfId="1" applyNumberFormat="1" applyFont="1"/>
    <xf numFmtId="1" fontId="2" fillId="0" borderId="0" xfId="5" applyNumberFormat="1" applyFont="1" applyFill="1"/>
    <xf numFmtId="3" fontId="5" fillId="0" borderId="0" xfId="3" applyNumberFormat="1" applyFont="1"/>
    <xf numFmtId="9" fontId="5" fillId="0" borderId="0" xfId="2" applyFont="1" applyFill="1"/>
    <xf numFmtId="164" fontId="8" fillId="0" borderId="0" xfId="6" applyNumberFormat="1" applyFont="1"/>
    <xf numFmtId="9" fontId="2" fillId="0" borderId="0" xfId="5" applyFont="1"/>
    <xf numFmtId="164" fontId="9" fillId="0" borderId="0" xfId="6" applyNumberFormat="1" applyFont="1"/>
    <xf numFmtId="9" fontId="9" fillId="0" borderId="0" xfId="2" applyFont="1"/>
    <xf numFmtId="9" fontId="2" fillId="0" borderId="0" xfId="3" applyNumberFormat="1" applyFont="1"/>
    <xf numFmtId="0" fontId="10" fillId="0" borderId="0" xfId="7"/>
    <xf numFmtId="164" fontId="8" fillId="0" borderId="0" xfId="1" applyNumberFormat="1" applyFont="1"/>
    <xf numFmtId="164" fontId="9" fillId="0" borderId="0" xfId="1" applyNumberFormat="1" applyFont="1"/>
    <xf numFmtId="164" fontId="5" fillId="0" borderId="0" xfId="1" applyNumberFormat="1" applyFont="1"/>
    <xf numFmtId="9" fontId="5" fillId="0" borderId="0" xfId="5" applyFont="1"/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 wrapText="1"/>
    </xf>
    <xf numFmtId="9" fontId="8" fillId="0" borderId="3" xfId="5" applyFont="1" applyBorder="1" applyAlignment="1">
      <alignment horizontal="center" vertical="center" wrapText="1"/>
    </xf>
    <xf numFmtId="0" fontId="9" fillId="0" borderId="3" xfId="8" applyFont="1" applyBorder="1" applyAlignment="1">
      <alignment horizontal="center" vertical="center" wrapText="1"/>
    </xf>
    <xf numFmtId="9" fontId="9" fillId="0" borderId="3" xfId="2" applyFont="1" applyBorder="1" applyAlignment="1">
      <alignment horizontal="center" vertical="center" wrapText="1"/>
    </xf>
    <xf numFmtId="9" fontId="9" fillId="0" borderId="3" xfId="5" applyFont="1" applyBorder="1" applyAlignment="1">
      <alignment horizontal="center" vertical="center" wrapText="1"/>
    </xf>
    <xf numFmtId="0" fontId="8" fillId="2" borderId="4" xfId="3" applyFont="1" applyFill="1" applyBorder="1"/>
    <xf numFmtId="0" fontId="8" fillId="2" borderId="5" xfId="3" applyFont="1" applyFill="1" applyBorder="1" applyAlignment="1">
      <alignment wrapText="1"/>
    </xf>
    <xf numFmtId="164" fontId="8" fillId="2" borderId="6" xfId="1" applyNumberFormat="1" applyFont="1" applyFill="1" applyBorder="1"/>
    <xf numFmtId="3" fontId="8" fillId="2" borderId="6" xfId="3" applyNumberFormat="1" applyFont="1" applyFill="1" applyBorder="1"/>
    <xf numFmtId="9" fontId="2" fillId="2" borderId="6" xfId="5" applyFont="1" applyFill="1" applyBorder="1" applyAlignment="1">
      <alignment wrapText="1"/>
    </xf>
    <xf numFmtId="164" fontId="9" fillId="2" borderId="6" xfId="1" applyNumberFormat="1" applyFont="1" applyFill="1" applyBorder="1"/>
    <xf numFmtId="9" fontId="9" fillId="2" borderId="6" xfId="2" applyFont="1" applyFill="1" applyBorder="1"/>
    <xf numFmtId="164" fontId="5" fillId="2" borderId="6" xfId="1" applyNumberFormat="1" applyFont="1" applyFill="1" applyBorder="1" applyAlignment="1">
      <alignment wrapText="1"/>
    </xf>
    <xf numFmtId="164" fontId="2" fillId="0" borderId="0" xfId="3" applyNumberFormat="1" applyFont="1"/>
    <xf numFmtId="0" fontId="8" fillId="3" borderId="4" xfId="3" quotePrefix="1" applyFont="1" applyFill="1" applyBorder="1"/>
    <xf numFmtId="0" fontId="8" fillId="3" borderId="5" xfId="3" applyFont="1" applyFill="1" applyBorder="1" applyAlignment="1">
      <alignment wrapText="1"/>
    </xf>
    <xf numFmtId="3" fontId="8" fillId="3" borderId="6" xfId="3" applyNumberFormat="1" applyFont="1" applyFill="1" applyBorder="1"/>
    <xf numFmtId="9" fontId="8" fillId="3" borderId="6" xfId="5" applyFont="1" applyFill="1" applyBorder="1"/>
    <xf numFmtId="3" fontId="9" fillId="3" borderId="6" xfId="3" applyNumberFormat="1" applyFont="1" applyFill="1" applyBorder="1"/>
    <xf numFmtId="9" fontId="9" fillId="3" borderId="6" xfId="2" applyFont="1" applyFill="1" applyBorder="1"/>
    <xf numFmtId="0" fontId="12" fillId="0" borderId="0" xfId="3" applyFont="1"/>
    <xf numFmtId="0" fontId="2" fillId="0" borderId="7" xfId="3" applyFont="1" applyBorder="1" applyAlignment="1">
      <alignment horizontal="left" indent="1"/>
    </xf>
    <xf numFmtId="0" fontId="2" fillId="0" borderId="8" xfId="3" applyFont="1" applyBorder="1" applyAlignment="1">
      <alignment horizontal="left" wrapText="1" indent="2"/>
    </xf>
    <xf numFmtId="3" fontId="2" fillId="0" borderId="9" xfId="3" applyNumberFormat="1" applyFont="1" applyBorder="1"/>
    <xf numFmtId="9" fontId="2" fillId="0" borderId="9" xfId="5" applyFont="1" applyFill="1" applyBorder="1"/>
    <xf numFmtId="3" fontId="5" fillId="0" borderId="9" xfId="3" applyNumberFormat="1" applyFont="1" applyBorder="1"/>
    <xf numFmtId="9" fontId="5" fillId="0" borderId="9" xfId="2" applyFont="1" applyFill="1" applyBorder="1"/>
    <xf numFmtId="0" fontId="8" fillId="3" borderId="7" xfId="3" applyFont="1" applyFill="1" applyBorder="1"/>
    <xf numFmtId="0" fontId="8" fillId="3" borderId="8" xfId="3" applyFont="1" applyFill="1" applyBorder="1" applyAlignment="1">
      <alignment wrapText="1"/>
    </xf>
    <xf numFmtId="3" fontId="8" fillId="3" borderId="9" xfId="3" applyNumberFormat="1" applyFont="1" applyFill="1" applyBorder="1"/>
    <xf numFmtId="9" fontId="8" fillId="3" borderId="9" xfId="5" applyFont="1" applyFill="1" applyBorder="1"/>
    <xf numFmtId="3" fontId="9" fillId="3" borderId="9" xfId="3" applyNumberFormat="1" applyFont="1" applyFill="1" applyBorder="1"/>
    <xf numFmtId="9" fontId="9" fillId="3" borderId="9" xfId="2" applyFont="1" applyFill="1" applyBorder="1"/>
    <xf numFmtId="9" fontId="2" fillId="0" borderId="9" xfId="5" applyFont="1" applyBorder="1"/>
    <xf numFmtId="9" fontId="2" fillId="0" borderId="10" xfId="5" applyFont="1" applyFill="1" applyBorder="1"/>
    <xf numFmtId="0" fontId="1" fillId="0" borderId="0" xfId="3"/>
    <xf numFmtId="9" fontId="2" fillId="0" borderId="10" xfId="5" applyFont="1" applyFill="1" applyBorder="1" applyAlignment="1">
      <alignment wrapText="1"/>
    </xf>
    <xf numFmtId="9" fontId="5" fillId="0" borderId="9" xfId="2" applyFont="1" applyBorder="1"/>
    <xf numFmtId="0" fontId="13" fillId="0" borderId="7" xfId="3" applyFont="1" applyBorder="1" applyAlignment="1">
      <alignment horizontal="left" indent="2"/>
    </xf>
    <xf numFmtId="0" fontId="13" fillId="0" borderId="8" xfId="3" applyFont="1" applyBorder="1" applyAlignment="1">
      <alignment horizontal="left" wrapText="1" indent="3"/>
    </xf>
    <xf numFmtId="0" fontId="12" fillId="0" borderId="0" xfId="3" quotePrefix="1" applyFont="1"/>
    <xf numFmtId="9" fontId="2" fillId="3" borderId="9" xfId="5" applyFont="1" applyFill="1" applyBorder="1" applyAlignment="1">
      <alignment wrapText="1"/>
    </xf>
    <xf numFmtId="0" fontId="2" fillId="4" borderId="8" xfId="3" applyFont="1" applyFill="1" applyBorder="1" applyAlignment="1">
      <alignment horizontal="left" wrapText="1" indent="2"/>
    </xf>
    <xf numFmtId="9" fontId="2" fillId="0" borderId="9" xfId="5" applyFont="1" applyFill="1" applyBorder="1" applyAlignment="1">
      <alignment wrapText="1"/>
    </xf>
    <xf numFmtId="3" fontId="5" fillId="0" borderId="9" xfId="3" applyNumberFormat="1" applyFont="1" applyBorder="1" applyAlignment="1">
      <alignment wrapText="1"/>
    </xf>
    <xf numFmtId="0" fontId="8" fillId="3" borderId="7" xfId="3" quotePrefix="1" applyFont="1" applyFill="1" applyBorder="1"/>
    <xf numFmtId="0" fontId="2" fillId="2" borderId="7" xfId="3" applyFont="1" applyFill="1" applyBorder="1" applyAlignment="1">
      <alignment horizontal="left" indent="1"/>
    </xf>
    <xf numFmtId="0" fontId="2" fillId="2" borderId="8" xfId="3" applyFont="1" applyFill="1" applyBorder="1" applyAlignment="1">
      <alignment horizontal="left" wrapText="1" indent="2"/>
    </xf>
    <xf numFmtId="3" fontId="2" fillId="2" borderId="9" xfId="3" applyNumberFormat="1" applyFont="1" applyFill="1" applyBorder="1"/>
    <xf numFmtId="3" fontId="2" fillId="5" borderId="9" xfId="3" applyNumberFormat="1" applyFont="1" applyFill="1" applyBorder="1"/>
    <xf numFmtId="3" fontId="2" fillId="5" borderId="9" xfId="3" applyNumberFormat="1" applyFont="1" applyFill="1" applyBorder="1" applyAlignment="1">
      <alignment wrapText="1"/>
    </xf>
    <xf numFmtId="3" fontId="5" fillId="5" borderId="9" xfId="3" applyNumberFormat="1" applyFont="1" applyFill="1" applyBorder="1"/>
    <xf numFmtId="9" fontId="5" fillId="5" borderId="9" xfId="2" applyFont="1" applyFill="1" applyBorder="1"/>
    <xf numFmtId="3" fontId="13" fillId="6" borderId="9" xfId="3" applyNumberFormat="1" applyFont="1" applyFill="1" applyBorder="1"/>
    <xf numFmtId="9" fontId="13" fillId="6" borderId="9" xfId="5" applyFont="1" applyFill="1" applyBorder="1" applyAlignment="1">
      <alignment wrapText="1"/>
    </xf>
    <xf numFmtId="3" fontId="14" fillId="6" borderId="9" xfId="3" applyNumberFormat="1" applyFont="1" applyFill="1" applyBorder="1"/>
    <xf numFmtId="9" fontId="14" fillId="6" borderId="9" xfId="2" applyFont="1" applyFill="1" applyBorder="1"/>
    <xf numFmtId="0" fontId="13" fillId="0" borderId="0" xfId="3" applyFont="1"/>
    <xf numFmtId="3" fontId="13" fillId="7" borderId="9" xfId="3" applyNumberFormat="1" applyFont="1" applyFill="1" applyBorder="1"/>
    <xf numFmtId="9" fontId="13" fillId="7" borderId="9" xfId="5" applyFont="1" applyFill="1" applyBorder="1"/>
    <xf numFmtId="0" fontId="2" fillId="0" borderId="0" xfId="3" quotePrefix="1" applyFont="1"/>
    <xf numFmtId="0" fontId="2" fillId="8" borderId="8" xfId="3" applyFont="1" applyFill="1" applyBorder="1" applyAlignment="1">
      <alignment horizontal="left" wrapText="1" indent="2"/>
    </xf>
    <xf numFmtId="164" fontId="2" fillId="0" borderId="9" xfId="1" applyNumberFormat="1" applyFont="1" applyFill="1" applyBorder="1"/>
    <xf numFmtId="3" fontId="2" fillId="9" borderId="9" xfId="3" applyNumberFormat="1" applyFont="1" applyFill="1" applyBorder="1"/>
    <xf numFmtId="9" fontId="2" fillId="2" borderId="9" xfId="5" applyFont="1" applyFill="1" applyBorder="1" applyAlignment="1">
      <alignment wrapText="1"/>
    </xf>
    <xf numFmtId="3" fontId="5" fillId="2" borderId="9" xfId="3" applyNumberFormat="1" applyFont="1" applyFill="1" applyBorder="1"/>
    <xf numFmtId="9" fontId="5" fillId="2" borderId="9" xfId="2" applyFont="1" applyFill="1" applyBorder="1"/>
    <xf numFmtId="0" fontId="2" fillId="0" borderId="8" xfId="3" applyFont="1" applyBorder="1" applyAlignment="1">
      <alignment horizontal="left" wrapText="1" indent="3"/>
    </xf>
    <xf numFmtId="9" fontId="2" fillId="10" borderId="9" xfId="5" applyFont="1" applyFill="1" applyBorder="1" applyAlignment="1">
      <alignment wrapText="1"/>
    </xf>
    <xf numFmtId="0" fontId="16" fillId="0" borderId="0" xfId="3" applyFont="1"/>
    <xf numFmtId="9" fontId="2" fillId="0" borderId="13" xfId="5" applyFont="1" applyFill="1" applyBorder="1"/>
    <xf numFmtId="0" fontId="2" fillId="0" borderId="0" xfId="3" quotePrefix="1" applyFont="1" applyAlignment="1">
      <alignment wrapText="1"/>
    </xf>
    <xf numFmtId="0" fontId="2" fillId="8" borderId="8" xfId="3" applyFont="1" applyFill="1" applyBorder="1" applyAlignment="1">
      <alignment horizontal="left" wrapText="1" indent="3"/>
    </xf>
    <xf numFmtId="3" fontId="2" fillId="11" borderId="9" xfId="3" applyNumberFormat="1" applyFont="1" applyFill="1" applyBorder="1"/>
    <xf numFmtId="3" fontId="2" fillId="12" borderId="9" xfId="3" applyNumberFormat="1" applyFont="1" applyFill="1" applyBorder="1"/>
    <xf numFmtId="0" fontId="2" fillId="0" borderId="5" xfId="3" applyFont="1" applyBorder="1" applyAlignment="1">
      <alignment horizontal="left" wrapText="1" indent="3"/>
    </xf>
    <xf numFmtId="0" fontId="2" fillId="0" borderId="5" xfId="3" applyFont="1" applyBorder="1" applyAlignment="1">
      <alignment horizontal="left" wrapText="1" indent="2"/>
    </xf>
    <xf numFmtId="3" fontId="5" fillId="3" borderId="9" xfId="3" applyNumberFormat="1" applyFont="1" applyFill="1" applyBorder="1" applyAlignment="1">
      <alignment wrapText="1"/>
    </xf>
    <xf numFmtId="0" fontId="2" fillId="4" borderId="7" xfId="3" applyFont="1" applyFill="1" applyBorder="1" applyAlignment="1">
      <alignment horizontal="left" indent="2"/>
    </xf>
    <xf numFmtId="0" fontId="2" fillId="4" borderId="8" xfId="3" applyFont="1" applyFill="1" applyBorder="1" applyAlignment="1">
      <alignment horizontal="left" wrapText="1" indent="3"/>
    </xf>
    <xf numFmtId="1" fontId="2" fillId="0" borderId="9" xfId="5" applyNumberFormat="1" applyFont="1" applyFill="1" applyBorder="1"/>
    <xf numFmtId="3" fontId="2" fillId="13" borderId="9" xfId="3" applyNumberFormat="1" applyFont="1" applyFill="1" applyBorder="1"/>
    <xf numFmtId="0" fontId="8" fillId="0" borderId="14" xfId="3" applyFont="1" applyBorder="1"/>
    <xf numFmtId="0" fontId="8" fillId="0" borderId="15" xfId="3" applyFont="1" applyBorder="1" applyAlignment="1">
      <alignment horizontal="right" wrapText="1"/>
    </xf>
    <xf numFmtId="3" fontId="8" fillId="0" borderId="3" xfId="3" applyNumberFormat="1" applyFont="1" applyBorder="1"/>
    <xf numFmtId="9" fontId="8" fillId="0" borderId="3" xfId="5" applyFont="1" applyBorder="1"/>
    <xf numFmtId="3" fontId="9" fillId="0" borderId="3" xfId="3" applyNumberFormat="1" applyFont="1" applyBorder="1"/>
    <xf numFmtId="9" fontId="9" fillId="0" borderId="3" xfId="2" applyFont="1" applyBorder="1"/>
    <xf numFmtId="3" fontId="5" fillId="0" borderId="3" xfId="3" applyNumberFormat="1" applyFont="1" applyBorder="1" applyAlignment="1">
      <alignment wrapText="1"/>
    </xf>
    <xf numFmtId="0" fontId="8" fillId="0" borderId="16" xfId="3" quotePrefix="1" applyFont="1" applyBorder="1"/>
    <xf numFmtId="0" fontId="8" fillId="0" borderId="17" xfId="3" applyFont="1" applyBorder="1" applyAlignment="1">
      <alignment wrapText="1"/>
    </xf>
    <xf numFmtId="3" fontId="8" fillId="0" borderId="18" xfId="3" applyNumberFormat="1" applyFont="1" applyBorder="1"/>
    <xf numFmtId="9" fontId="8" fillId="0" borderId="18" xfId="5" applyFont="1" applyFill="1" applyBorder="1"/>
    <xf numFmtId="3" fontId="9" fillId="0" borderId="18" xfId="3" applyNumberFormat="1" applyFont="1" applyBorder="1"/>
    <xf numFmtId="9" fontId="9" fillId="0" borderId="18" xfId="2" applyFont="1" applyFill="1" applyBorder="1"/>
    <xf numFmtId="0" fontId="8" fillId="3" borderId="19" xfId="3" applyFont="1" applyFill="1" applyBorder="1" applyAlignment="1">
      <alignment wrapText="1"/>
    </xf>
    <xf numFmtId="3" fontId="8" fillId="3" borderId="13" xfId="3" applyNumberFormat="1" applyFont="1" applyFill="1" applyBorder="1"/>
    <xf numFmtId="3" fontId="9" fillId="3" borderId="13" xfId="3" applyNumberFormat="1" applyFont="1" applyFill="1" applyBorder="1"/>
    <xf numFmtId="9" fontId="9" fillId="3" borderId="13" xfId="2" applyFont="1" applyFill="1" applyBorder="1"/>
    <xf numFmtId="49" fontId="2" fillId="0" borderId="19" xfId="3" applyNumberFormat="1" applyFont="1" applyBorder="1" applyAlignment="1">
      <alignment horizontal="left" wrapText="1" indent="4"/>
    </xf>
    <xf numFmtId="3" fontId="2" fillId="0" borderId="13" xfId="3" applyNumberFormat="1" applyFont="1" applyBorder="1"/>
    <xf numFmtId="43" fontId="2" fillId="0" borderId="13" xfId="1" applyFont="1" applyBorder="1"/>
    <xf numFmtId="3" fontId="2" fillId="0" borderId="19" xfId="3" applyNumberFormat="1" applyFont="1" applyBorder="1"/>
    <xf numFmtId="9" fontId="5" fillId="0" borderId="13" xfId="2" applyFont="1" applyFill="1" applyBorder="1"/>
    <xf numFmtId="3" fontId="5" fillId="0" borderId="13" xfId="3" applyNumberFormat="1" applyFont="1" applyBorder="1" applyAlignment="1">
      <alignment wrapText="1"/>
    </xf>
    <xf numFmtId="3" fontId="5" fillId="0" borderId="13" xfId="3" applyNumberFormat="1" applyFont="1" applyBorder="1"/>
    <xf numFmtId="3" fontId="2" fillId="0" borderId="20" xfId="3" applyNumberFormat="1" applyFont="1" applyBorder="1"/>
    <xf numFmtId="9" fontId="2" fillId="0" borderId="21" xfId="5" applyFont="1" applyFill="1" applyBorder="1"/>
    <xf numFmtId="9" fontId="5" fillId="0" borderId="22" xfId="2" applyFont="1" applyFill="1" applyBorder="1"/>
    <xf numFmtId="3" fontId="5" fillId="0" borderId="22" xfId="3" applyNumberFormat="1" applyFont="1" applyBorder="1"/>
    <xf numFmtId="49" fontId="2" fillId="0" borderId="23" xfId="3" applyNumberFormat="1" applyFont="1" applyBorder="1" applyAlignment="1">
      <alignment horizontal="left" wrapText="1" indent="4"/>
    </xf>
    <xf numFmtId="3" fontId="2" fillId="0" borderId="24" xfId="3" applyNumberFormat="1" applyFont="1" applyBorder="1"/>
    <xf numFmtId="43" fontId="2" fillId="0" borderId="24" xfId="1" applyFont="1" applyBorder="1"/>
    <xf numFmtId="3" fontId="5" fillId="0" borderId="24" xfId="3" applyNumberFormat="1" applyFont="1" applyBorder="1"/>
    <xf numFmtId="9" fontId="5" fillId="0" borderId="25" xfId="2" applyFont="1" applyFill="1" applyBorder="1"/>
    <xf numFmtId="3" fontId="5" fillId="0" borderId="25" xfId="3" applyNumberFormat="1" applyFont="1" applyBorder="1"/>
    <xf numFmtId="49" fontId="2" fillId="0" borderId="8" xfId="3" applyNumberFormat="1" applyFont="1" applyBorder="1" applyAlignment="1">
      <alignment horizontal="left" wrapText="1" indent="4"/>
    </xf>
    <xf numFmtId="3" fontId="2" fillId="0" borderId="8" xfId="3" applyNumberFormat="1" applyFont="1" applyBorder="1"/>
    <xf numFmtId="43" fontId="2" fillId="0" borderId="8" xfId="1" applyFont="1" applyBorder="1"/>
    <xf numFmtId="9" fontId="2" fillId="0" borderId="8" xfId="5" applyFont="1" applyFill="1" applyBorder="1"/>
    <xf numFmtId="3" fontId="5" fillId="0" borderId="8" xfId="3" applyNumberFormat="1" applyFont="1" applyBorder="1"/>
    <xf numFmtId="9" fontId="5" fillId="0" borderId="8" xfId="2" applyFont="1" applyFill="1" applyBorder="1"/>
    <xf numFmtId="0" fontId="2" fillId="4" borderId="26" xfId="3" applyFont="1" applyFill="1" applyBorder="1" applyAlignment="1">
      <alignment horizontal="left" indent="2"/>
    </xf>
    <xf numFmtId="0" fontId="2" fillId="4" borderId="16" xfId="3" applyFont="1" applyFill="1" applyBorder="1" applyAlignment="1">
      <alignment horizontal="left" indent="2"/>
    </xf>
    <xf numFmtId="49" fontId="2" fillId="0" borderId="27" xfId="3" applyNumberFormat="1" applyFont="1" applyBorder="1" applyAlignment="1">
      <alignment horizontal="left" wrapText="1" indent="4"/>
    </xf>
    <xf numFmtId="3" fontId="2" fillId="0" borderId="22" xfId="3" applyNumberFormat="1" applyFont="1" applyBorder="1"/>
    <xf numFmtId="43" fontId="2" fillId="0" borderId="22" xfId="1" applyFont="1" applyBorder="1"/>
    <xf numFmtId="3" fontId="2" fillId="0" borderId="18" xfId="3" applyNumberFormat="1" applyFont="1" applyBorder="1"/>
    <xf numFmtId="9" fontId="2" fillId="0" borderId="18" xfId="5" applyFont="1" applyFill="1" applyBorder="1"/>
    <xf numFmtId="0" fontId="8" fillId="0" borderId="28" xfId="3" applyFont="1" applyBorder="1"/>
    <xf numFmtId="0" fontId="8" fillId="0" borderId="29" xfId="3" applyFont="1" applyBorder="1" applyAlignment="1">
      <alignment horizontal="right" wrapText="1"/>
    </xf>
    <xf numFmtId="9" fontId="8" fillId="0" borderId="18" xfId="5" applyFont="1" applyBorder="1"/>
    <xf numFmtId="9" fontId="9" fillId="0" borderId="18" xfId="2" applyFont="1" applyBorder="1"/>
    <xf numFmtId="0" fontId="8" fillId="0" borderId="0" xfId="3" applyFont="1"/>
    <xf numFmtId="0" fontId="5" fillId="0" borderId="0" xfId="3" applyFont="1"/>
    <xf numFmtId="9" fontId="5" fillId="0" borderId="0" xfId="2" applyFont="1"/>
    <xf numFmtId="10" fontId="2" fillId="0" borderId="0" xfId="9" applyNumberFormat="1" applyFont="1"/>
    <xf numFmtId="10" fontId="5" fillId="0" borderId="0" xfId="9" applyNumberFormat="1" applyFont="1"/>
    <xf numFmtId="49" fontId="8" fillId="3" borderId="30" xfId="3" applyNumberFormat="1" applyFont="1" applyFill="1" applyBorder="1" applyAlignment="1">
      <alignment horizontal="left" indent="2"/>
    </xf>
    <xf numFmtId="49" fontId="8" fillId="3" borderId="31" xfId="3" applyNumberFormat="1" applyFont="1" applyFill="1" applyBorder="1" applyAlignment="1">
      <alignment wrapText="1"/>
    </xf>
    <xf numFmtId="3" fontId="8" fillId="3" borderId="32" xfId="3" applyNumberFormat="1" applyFont="1" applyFill="1" applyBorder="1"/>
    <xf numFmtId="9" fontId="8" fillId="3" borderId="32" xfId="5" applyFont="1" applyFill="1" applyBorder="1"/>
    <xf numFmtId="3" fontId="9" fillId="3" borderId="32" xfId="3" applyNumberFormat="1" applyFont="1" applyFill="1" applyBorder="1"/>
    <xf numFmtId="9" fontId="9" fillId="3" borderId="32" xfId="2" applyFont="1" applyFill="1" applyBorder="1"/>
    <xf numFmtId="49" fontId="2" fillId="2" borderId="7" xfId="3" applyNumberFormat="1" applyFont="1" applyFill="1" applyBorder="1" applyAlignment="1">
      <alignment horizontal="left" indent="1"/>
    </xf>
    <xf numFmtId="49" fontId="2" fillId="2" borderId="8" xfId="3" applyNumberFormat="1" applyFont="1" applyFill="1" applyBorder="1" applyAlignment="1">
      <alignment horizontal="left" wrapText="1" indent="2"/>
    </xf>
    <xf numFmtId="9" fontId="2" fillId="2" borderId="9" xfId="5" applyFont="1" applyFill="1" applyBorder="1"/>
    <xf numFmtId="49" fontId="8" fillId="3" borderId="7" xfId="3" applyNumberFormat="1" applyFont="1" applyFill="1" applyBorder="1"/>
    <xf numFmtId="49" fontId="8" fillId="3" borderId="8" xfId="3" applyNumberFormat="1" applyFont="1" applyFill="1" applyBorder="1" applyAlignment="1">
      <alignment wrapText="1"/>
    </xf>
    <xf numFmtId="3" fontId="5" fillId="2" borderId="9" xfId="3" applyNumberFormat="1" applyFont="1" applyFill="1" applyBorder="1" applyAlignment="1">
      <alignment wrapText="1"/>
    </xf>
    <xf numFmtId="0" fontId="17" fillId="0" borderId="0" xfId="3" applyFont="1"/>
    <xf numFmtId="49" fontId="2" fillId="0" borderId="7" xfId="3" applyNumberFormat="1" applyFont="1" applyBorder="1" applyAlignment="1">
      <alignment horizontal="left" indent="2"/>
    </xf>
    <xf numFmtId="49" fontId="2" fillId="0" borderId="8" xfId="3" applyNumberFormat="1" applyFont="1" applyBorder="1" applyAlignment="1">
      <alignment horizontal="left" wrapText="1" indent="2"/>
    </xf>
    <xf numFmtId="49" fontId="8" fillId="2" borderId="8" xfId="3" applyNumberFormat="1" applyFont="1" applyFill="1" applyBorder="1" applyAlignment="1">
      <alignment horizontal="left" wrapText="1" indent="2"/>
    </xf>
    <xf numFmtId="3" fontId="8" fillId="2" borderId="9" xfId="3" applyNumberFormat="1" applyFont="1" applyFill="1" applyBorder="1"/>
    <xf numFmtId="3" fontId="9" fillId="2" borderId="9" xfId="3" applyNumberFormat="1" applyFont="1" applyFill="1" applyBorder="1"/>
    <xf numFmtId="9" fontId="9" fillId="2" borderId="9" xfId="2" applyFont="1" applyFill="1" applyBorder="1"/>
    <xf numFmtId="9" fontId="2" fillId="0" borderId="9" xfId="5" applyFont="1" applyBorder="1" applyAlignment="1">
      <alignment wrapText="1"/>
    </xf>
    <xf numFmtId="49" fontId="5" fillId="0" borderId="8" xfId="3" applyNumberFormat="1" applyFont="1" applyBorder="1" applyAlignment="1">
      <alignment horizontal="left" wrapText="1" indent="4"/>
    </xf>
    <xf numFmtId="49" fontId="2" fillId="14" borderId="7" xfId="3" applyNumberFormat="1" applyFont="1" applyFill="1" applyBorder="1" applyAlignment="1">
      <alignment horizontal="left" indent="2"/>
    </xf>
    <xf numFmtId="0" fontId="5" fillId="0" borderId="8" xfId="3" applyFont="1" applyBorder="1" applyAlignment="1">
      <alignment horizontal="left" wrapText="1" indent="3"/>
    </xf>
    <xf numFmtId="0" fontId="5" fillId="10" borderId="8" xfId="3" applyFont="1" applyFill="1" applyBorder="1" applyAlignment="1">
      <alignment horizontal="left" wrapText="1" indent="3"/>
    </xf>
    <xf numFmtId="9" fontId="8" fillId="2" borderId="9" xfId="5" applyFont="1" applyFill="1" applyBorder="1"/>
    <xf numFmtId="49" fontId="16" fillId="0" borderId="7" xfId="3" applyNumberFormat="1" applyFont="1" applyBorder="1" applyAlignment="1">
      <alignment horizontal="left" indent="2"/>
    </xf>
    <xf numFmtId="0" fontId="16" fillId="10" borderId="8" xfId="3" applyFont="1" applyFill="1" applyBorder="1" applyAlignment="1">
      <alignment horizontal="left" wrapText="1" indent="3"/>
    </xf>
    <xf numFmtId="9" fontId="2" fillId="0" borderId="10" xfId="5" applyFont="1" applyBorder="1" applyAlignment="1">
      <alignment wrapText="1"/>
    </xf>
    <xf numFmtId="0" fontId="2" fillId="10" borderId="8" xfId="3" applyFont="1" applyFill="1" applyBorder="1" applyAlignment="1">
      <alignment horizontal="left" wrapText="1" indent="3"/>
    </xf>
    <xf numFmtId="9" fontId="2" fillId="0" borderId="12" xfId="5" applyFont="1" applyBorder="1" applyAlignment="1">
      <alignment wrapText="1"/>
    </xf>
    <xf numFmtId="3" fontId="2" fillId="14" borderId="9" xfId="3" applyNumberFormat="1" applyFont="1" applyFill="1" applyBorder="1"/>
    <xf numFmtId="3" fontId="2" fillId="15" borderId="9" xfId="3" applyNumberFormat="1" applyFont="1" applyFill="1" applyBorder="1"/>
    <xf numFmtId="3" fontId="5" fillId="16" borderId="9" xfId="3" applyNumberFormat="1" applyFont="1" applyFill="1" applyBorder="1"/>
    <xf numFmtId="3" fontId="5" fillId="13" borderId="9" xfId="3" applyNumberFormat="1" applyFont="1" applyFill="1" applyBorder="1"/>
    <xf numFmtId="9" fontId="5" fillId="13" borderId="9" xfId="2" applyFont="1" applyFill="1" applyBorder="1"/>
    <xf numFmtId="49" fontId="18" fillId="0" borderId="7" xfId="3" applyNumberFormat="1" applyFont="1" applyBorder="1" applyAlignment="1">
      <alignment horizontal="left" indent="3"/>
    </xf>
    <xf numFmtId="0" fontId="18" fillId="10" borderId="8" xfId="3" applyFont="1" applyFill="1" applyBorder="1" applyAlignment="1">
      <alignment horizontal="left" wrapText="1" indent="6"/>
    </xf>
    <xf numFmtId="3" fontId="18" fillId="9" borderId="9" xfId="3" applyNumberFormat="1" applyFont="1" applyFill="1" applyBorder="1"/>
    <xf numFmtId="3" fontId="18" fillId="0" borderId="9" xfId="3" applyNumberFormat="1" applyFont="1" applyBorder="1"/>
    <xf numFmtId="3" fontId="18" fillId="14" borderId="9" xfId="3" applyNumberFormat="1" applyFont="1" applyFill="1" applyBorder="1"/>
    <xf numFmtId="0" fontId="18" fillId="0" borderId="0" xfId="3" applyFont="1"/>
    <xf numFmtId="3" fontId="2" fillId="10" borderId="9" xfId="3" applyNumberFormat="1" applyFont="1" applyFill="1" applyBorder="1"/>
    <xf numFmtId="3" fontId="5" fillId="17" borderId="9" xfId="3" applyNumberFormat="1" applyFont="1" applyFill="1" applyBorder="1"/>
    <xf numFmtId="3" fontId="5" fillId="8" borderId="9" xfId="3" applyNumberFormat="1" applyFont="1" applyFill="1" applyBorder="1"/>
    <xf numFmtId="49" fontId="2" fillId="14" borderId="7" xfId="3" applyNumberFormat="1" applyFont="1" applyFill="1" applyBorder="1" applyAlignment="1">
      <alignment horizontal="left" indent="1"/>
    </xf>
    <xf numFmtId="9" fontId="18" fillId="2" borderId="9" xfId="5" applyFont="1" applyFill="1" applyBorder="1" applyAlignment="1">
      <alignment wrapText="1"/>
    </xf>
    <xf numFmtId="0" fontId="12" fillId="10" borderId="0" xfId="3" applyFont="1" applyFill="1"/>
    <xf numFmtId="0" fontId="12" fillId="10" borderId="8" xfId="3" applyFont="1" applyFill="1" applyBorder="1" applyAlignment="1">
      <alignment horizontal="left" indent="2"/>
    </xf>
    <xf numFmtId="0" fontId="2" fillId="10" borderId="33" xfId="3" applyFont="1" applyFill="1" applyBorder="1" applyAlignment="1">
      <alignment horizontal="left" indent="3"/>
    </xf>
    <xf numFmtId="9" fontId="2" fillId="10" borderId="9" xfId="5" applyFont="1" applyFill="1" applyBorder="1"/>
    <xf numFmtId="3" fontId="5" fillId="10" borderId="9" xfId="3" applyNumberFormat="1" applyFont="1" applyFill="1" applyBorder="1"/>
    <xf numFmtId="9" fontId="5" fillId="10" borderId="9" xfId="2" applyFont="1" applyFill="1" applyBorder="1"/>
    <xf numFmtId="3" fontId="2" fillId="18" borderId="9" xfId="3" applyNumberFormat="1" applyFont="1" applyFill="1" applyBorder="1"/>
    <xf numFmtId="3" fontId="5" fillId="18" borderId="9" xfId="3" applyNumberFormat="1" applyFont="1" applyFill="1" applyBorder="1"/>
    <xf numFmtId="9" fontId="5" fillId="18" borderId="9" xfId="2" applyFont="1" applyFill="1" applyBorder="1"/>
    <xf numFmtId="0" fontId="12" fillId="0" borderId="8" xfId="3" applyFont="1" applyBorder="1" applyAlignment="1">
      <alignment horizontal="left" indent="2"/>
    </xf>
    <xf numFmtId="0" fontId="2" fillId="0" borderId="33" xfId="3" applyFont="1" applyBorder="1" applyAlignment="1">
      <alignment horizontal="left" indent="3"/>
    </xf>
    <xf numFmtId="0" fontId="12" fillId="14" borderId="8" xfId="3" applyFont="1" applyFill="1" applyBorder="1" applyAlignment="1">
      <alignment horizontal="left" indent="2"/>
    </xf>
    <xf numFmtId="0" fontId="2" fillId="0" borderId="0" xfId="3" applyFont="1" applyAlignment="1">
      <alignment horizontal="right"/>
    </xf>
    <xf numFmtId="3" fontId="2" fillId="19" borderId="9" xfId="3" applyNumberFormat="1" applyFont="1" applyFill="1" applyBorder="1"/>
    <xf numFmtId="3" fontId="2" fillId="4" borderId="9" xfId="3" applyNumberFormat="1" applyFont="1" applyFill="1" applyBorder="1"/>
    <xf numFmtId="3" fontId="5" fillId="4" borderId="9" xfId="3" applyNumberFormat="1" applyFont="1" applyFill="1" applyBorder="1"/>
    <xf numFmtId="9" fontId="5" fillId="4" borderId="9" xfId="2" applyFont="1" applyFill="1" applyBorder="1"/>
    <xf numFmtId="9" fontId="2" fillId="4" borderId="9" xfId="5" applyFont="1" applyFill="1" applyBorder="1" applyAlignment="1">
      <alignment wrapText="1"/>
    </xf>
    <xf numFmtId="49" fontId="8" fillId="2" borderId="7" xfId="3" applyNumberFormat="1" applyFont="1" applyFill="1" applyBorder="1" applyAlignment="1">
      <alignment horizontal="left" indent="1"/>
    </xf>
    <xf numFmtId="0" fontId="2" fillId="4" borderId="0" xfId="3" quotePrefix="1" applyFont="1" applyFill="1"/>
    <xf numFmtId="0" fontId="2" fillId="4" borderId="0" xfId="3" applyFont="1" applyFill="1"/>
    <xf numFmtId="49" fontId="2" fillId="4" borderId="7" xfId="3" applyNumberFormat="1" applyFont="1" applyFill="1" applyBorder="1" applyAlignment="1">
      <alignment horizontal="left" indent="2"/>
    </xf>
    <xf numFmtId="49" fontId="2" fillId="4" borderId="8" xfId="3" applyNumberFormat="1" applyFont="1" applyFill="1" applyBorder="1" applyAlignment="1">
      <alignment horizontal="left" wrapText="1" indent="4"/>
    </xf>
    <xf numFmtId="0" fontId="19" fillId="0" borderId="0" xfId="3" applyFont="1"/>
    <xf numFmtId="0" fontId="19" fillId="0" borderId="0" xfId="3" quotePrefix="1" applyFont="1"/>
    <xf numFmtId="49" fontId="8" fillId="0" borderId="7" xfId="3" applyNumberFormat="1" applyFont="1" applyBorder="1" applyAlignment="1">
      <alignment horizontal="left" indent="2"/>
    </xf>
    <xf numFmtId="49" fontId="8" fillId="0" borderId="8" xfId="3" applyNumberFormat="1" applyFont="1" applyBorder="1" applyAlignment="1">
      <alignment horizontal="left" wrapText="1" indent="4"/>
    </xf>
    <xf numFmtId="3" fontId="8" fillId="0" borderId="9" xfId="3" applyNumberFormat="1" applyFont="1" applyBorder="1"/>
    <xf numFmtId="3" fontId="9" fillId="0" borderId="9" xfId="3" applyNumberFormat="1" applyFont="1" applyBorder="1"/>
    <xf numFmtId="9" fontId="9" fillId="0" borderId="9" xfId="2" applyFont="1" applyFill="1" applyBorder="1"/>
    <xf numFmtId="0" fontId="20" fillId="0" borderId="0" xfId="3" applyFont="1"/>
    <xf numFmtId="49" fontId="2" fillId="0" borderId="7" xfId="3" applyNumberFormat="1" applyFont="1" applyBorder="1" applyAlignment="1">
      <alignment horizontal="left" indent="3"/>
    </xf>
    <xf numFmtId="9" fontId="13" fillId="0" borderId="9" xfId="5" applyFont="1" applyFill="1" applyBorder="1" applyAlignment="1">
      <alignment wrapText="1"/>
    </xf>
    <xf numFmtId="49" fontId="21" fillId="2" borderId="7" xfId="3" applyNumberFormat="1" applyFont="1" applyFill="1" applyBorder="1" applyAlignment="1">
      <alignment horizontal="left" indent="1"/>
    </xf>
    <xf numFmtId="49" fontId="8" fillId="0" borderId="14" xfId="3" applyNumberFormat="1" applyFont="1" applyBorder="1"/>
    <xf numFmtId="49" fontId="8" fillId="0" borderId="15" xfId="3" applyNumberFormat="1" applyFont="1" applyBorder="1" applyAlignment="1">
      <alignment horizontal="right" wrapText="1"/>
    </xf>
    <xf numFmtId="3" fontId="8" fillId="0" borderId="34" xfId="3" applyNumberFormat="1" applyFont="1" applyBorder="1"/>
    <xf numFmtId="9" fontId="8" fillId="0" borderId="34" xfId="5" applyFont="1" applyBorder="1"/>
    <xf numFmtId="3" fontId="9" fillId="0" borderId="34" xfId="3" applyNumberFormat="1" applyFont="1" applyBorder="1"/>
    <xf numFmtId="9" fontId="9" fillId="0" borderId="34" xfId="2" applyFont="1" applyBorder="1"/>
    <xf numFmtId="3" fontId="8" fillId="0" borderId="35" xfId="3" applyNumberFormat="1" applyFont="1" applyBorder="1"/>
    <xf numFmtId="9" fontId="2" fillId="0" borderId="35" xfId="5" applyFont="1" applyBorder="1"/>
    <xf numFmtId="3" fontId="9" fillId="0" borderId="35" xfId="3" applyNumberFormat="1" applyFont="1" applyBorder="1"/>
    <xf numFmtId="9" fontId="9" fillId="0" borderId="35" xfId="2" applyFont="1" applyBorder="1"/>
    <xf numFmtId="49" fontId="8" fillId="3" borderId="36" xfId="3" applyNumberFormat="1" applyFont="1" applyFill="1" applyBorder="1" applyAlignment="1">
      <alignment horizontal="center"/>
    </xf>
    <xf numFmtId="49" fontId="8" fillId="3" borderId="37" xfId="3" applyNumberFormat="1" applyFont="1" applyFill="1" applyBorder="1" applyAlignment="1">
      <alignment wrapText="1"/>
    </xf>
    <xf numFmtId="3" fontId="8" fillId="3" borderId="38" xfId="3" applyNumberFormat="1" applyFont="1" applyFill="1" applyBorder="1"/>
    <xf numFmtId="9" fontId="8" fillId="3" borderId="38" xfId="5" applyFont="1" applyFill="1" applyBorder="1"/>
    <xf numFmtId="3" fontId="9" fillId="3" borderId="38" xfId="3" applyNumberFormat="1" applyFont="1" applyFill="1" applyBorder="1"/>
    <xf numFmtId="9" fontId="9" fillId="3" borderId="38" xfId="2" applyFont="1" applyFill="1" applyBorder="1"/>
    <xf numFmtId="0" fontId="7" fillId="0" borderId="0" xfId="4" applyFont="1"/>
    <xf numFmtId="0" fontId="1" fillId="0" borderId="0" xfId="3"/>
    <xf numFmtId="9" fontId="5" fillId="0" borderId="11" xfId="2" applyFont="1" applyBorder="1" applyAlignment="1">
      <alignment horizontal="right" wrapText="1"/>
    </xf>
    <xf numFmtId="9" fontId="5" fillId="0" borderId="12" xfId="2" applyFont="1" applyBorder="1" applyAlignment="1">
      <alignment horizontal="right" wrapText="1"/>
    </xf>
    <xf numFmtId="3" fontId="5" fillId="0" borderId="11" xfId="3" applyNumberFormat="1" applyFont="1" applyBorder="1" applyAlignment="1">
      <alignment horizontal="right"/>
    </xf>
    <xf numFmtId="3" fontId="5" fillId="0" borderId="12" xfId="3" applyNumberFormat="1" applyFont="1" applyBorder="1" applyAlignment="1">
      <alignment horizontal="right"/>
    </xf>
    <xf numFmtId="9" fontId="5" fillId="0" borderId="11" xfId="2" applyFont="1" applyFill="1" applyBorder="1" applyAlignment="1">
      <alignment horizontal="right"/>
    </xf>
    <xf numFmtId="9" fontId="5" fillId="0" borderId="12" xfId="2" applyFont="1" applyFill="1" applyBorder="1" applyAlignment="1">
      <alignment horizontal="right"/>
    </xf>
    <xf numFmtId="0" fontId="3" fillId="0" borderId="0" xfId="4" applyFont="1"/>
    <xf numFmtId="3" fontId="14" fillId="6" borderId="11" xfId="3" applyNumberFormat="1" applyFont="1" applyFill="1" applyBorder="1" applyAlignment="1">
      <alignment horizontal="right" vertical="center"/>
    </xf>
    <xf numFmtId="3" fontId="14" fillId="6" borderId="12" xfId="3" applyNumberFormat="1" applyFont="1" applyFill="1" applyBorder="1" applyAlignment="1">
      <alignment horizontal="right" vertical="center"/>
    </xf>
    <xf numFmtId="9" fontId="14" fillId="6" borderId="11" xfId="2" applyFont="1" applyFill="1" applyBorder="1" applyAlignment="1">
      <alignment horizontal="right" vertical="center"/>
    </xf>
    <xf numFmtId="9" fontId="14" fillId="6" borderId="12" xfId="2" applyFont="1" applyFill="1" applyBorder="1" applyAlignment="1">
      <alignment horizontal="right" vertical="center"/>
    </xf>
    <xf numFmtId="3" fontId="5" fillId="0" borderId="11" xfId="3" applyNumberFormat="1" applyFont="1" applyBorder="1" applyAlignment="1">
      <alignment horizontal="right" vertical="center"/>
    </xf>
    <xf numFmtId="3" fontId="5" fillId="0" borderId="12" xfId="3" applyNumberFormat="1" applyFont="1" applyBorder="1" applyAlignment="1">
      <alignment horizontal="right" vertical="center"/>
    </xf>
    <xf numFmtId="9" fontId="5" fillId="0" borderId="11" xfId="2" applyFont="1" applyFill="1" applyBorder="1" applyAlignment="1">
      <alignment horizontal="right" vertical="center"/>
    </xf>
    <xf numFmtId="9" fontId="5" fillId="0" borderId="12" xfId="2" applyFont="1" applyFill="1" applyBorder="1" applyAlignment="1">
      <alignment horizontal="right" vertical="center"/>
    </xf>
  </cellXfs>
  <cellStyles count="10">
    <cellStyle name="Comma" xfId="1" builtinId="3"/>
    <cellStyle name="Hyperlink" xfId="7" builtinId="8"/>
    <cellStyle name="Komats 10" xfId="6" xr:uid="{5A28EBFE-4D58-4FD7-A394-B4D71C6C90A4}"/>
    <cellStyle name="Normal" xfId="0" builtinId="0"/>
    <cellStyle name="Normal 2 2" xfId="8" xr:uid="{C7C6A2CA-C439-495C-BC5D-694401E156D0}"/>
    <cellStyle name="Parasts 2 2 5" xfId="3" xr:uid="{041D1537-139B-4481-9A4F-28B655D442EC}"/>
    <cellStyle name="Parasts 2 2 5 2" xfId="4" xr:uid="{E30819AE-D542-4532-86B1-1559E12FCBD3}"/>
    <cellStyle name="Percent" xfId="2" builtinId="5"/>
    <cellStyle name="Percent 4" xfId="9" xr:uid="{F5DF8659-3180-4228-B25D-FD6AD3731033}"/>
    <cellStyle name="Procenti 2 3" xfId="5" xr:uid="{08A0C6C5-F379-4549-9CD2-BB36947DD61F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armite\Desktop\2010\2014\22.12.2014\Budzeta_projekts%202014_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RNIS\formas\dok_registrs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NIS\formas\dok_registrs201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mite.Muze\Nextcloud\Finansu%20nodala%20kopmape\03_2023\1_Budzets_2023_actual_03_2023.xlsx" TargetMode="External"/><Relationship Id="rId1" Type="http://schemas.openxmlformats.org/officeDocument/2006/relationships/externalLinkPath" Target="/Users/Sarmite.Muze/Nextcloud/Finansu%20nodala%20kopmape/03_2023/1_Budzets_2023_actual_03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>
        <row r="36">
          <cell r="C36">
            <v>5078304.9348664423</v>
          </cell>
        </row>
      </sheetData>
      <sheetData sheetId="8">
        <row r="14">
          <cell r="Q14">
            <v>430025</v>
          </cell>
        </row>
      </sheetData>
      <sheetData sheetId="9"/>
      <sheetData sheetId="10">
        <row r="2130">
          <cell r="I2130">
            <v>90500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>
            <v>0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>
            <v>0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>
            <v>0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zvērināta advokāte 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ibai"/>
      <sheetName val="Jautajumi"/>
      <sheetName val="Budžeta faila apraksts"/>
      <sheetName val="check"/>
      <sheetName val="Grafiki_2023"/>
      <sheetName val="Skaidrojumi"/>
      <sheetName val="Kopsavilkums"/>
      <sheetName val="PIVOT_2023"/>
      <sheetName val="Investīcijas_2023"/>
      <sheetName val="Pivot_invest_2023"/>
      <sheetName val="2023.gada budzeta plans_apvieno"/>
      <sheetName val="Grafiki"/>
      <sheetName val="INPUT"/>
      <sheetName val="Filtri"/>
      <sheetName val="31122022_final"/>
      <sheetName val="Pivot_Saraksts"/>
      <sheetName val="0841"/>
      <sheetName val="0841.1_Gaujas svetki"/>
      <sheetName val="0841.4_Dziesmu svētki"/>
      <sheetName val="0812_Sport"/>
      <sheetName val="0812 _Trenažieri"/>
      <sheetName val="0630_dekori"/>
      <sheetName val="Priekšlikumi ārtelpas projekt"/>
      <sheetName val="EKK"/>
      <sheetName val="Ieņēmumi"/>
      <sheetName val="KA_31122022"/>
      <sheetName val="Algas_2023"/>
      <sheetName val="4.piel_Saistibas"/>
      <sheetName val="Saistibas_VK_prognoze"/>
      <sheetName val="5.piel.EKK"/>
      <sheetName val="2022_2027"/>
      <sheetName val="Deputāti"/>
      <sheetName val="Velesanu_komis_loc"/>
      <sheetName val="Adm_komisija"/>
      <sheetName val="Iepirk_komisija"/>
      <sheetName val="Komisijas"/>
      <sheetName val="1_Budzets_2023_actual_03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02DE-3C53-4D3F-9C54-905F13E0E7FC}">
  <sheetPr>
    <tabColor rgb="FF92D050"/>
    <pageSetUpPr fitToPage="1"/>
  </sheetPr>
  <dimension ref="A1:V277"/>
  <sheetViews>
    <sheetView tabSelected="1" zoomScaleNormal="100" zoomScaleSheetLayoutView="80" workbookViewId="0">
      <pane xSplit="4" ySplit="5" topLeftCell="E216" activePane="bottomRight" state="frozen"/>
      <selection activeCell="C1" sqref="C1"/>
      <selection pane="topRight" activeCell="E1" sqref="E1"/>
      <selection pane="bottomLeft" activeCell="C6" sqref="C6"/>
      <selection pane="bottomRight" activeCell="R57" sqref="R57:S65"/>
    </sheetView>
  </sheetViews>
  <sheetFormatPr defaultRowHeight="15" outlineLevelRow="1" outlineLevelCol="2" x14ac:dyDescent="0.25"/>
  <cols>
    <col min="1" max="1" width="7.85546875" style="1" hidden="1" customWidth="1" outlineLevel="2"/>
    <col min="2" max="2" width="11.42578125" style="1" hidden="1" customWidth="1" outlineLevel="2"/>
    <col min="3" max="3" width="15" style="157" customWidth="1" collapsed="1"/>
    <col min="4" max="4" width="48.5703125" style="3" customWidth="1"/>
    <col min="5" max="5" width="14.85546875" style="1" hidden="1" customWidth="1" outlineLevel="2"/>
    <col min="6" max="6" width="16.5703125" style="1" hidden="1" customWidth="1" outlineLevel="2"/>
    <col min="7" max="11" width="14.85546875" style="1" hidden="1" customWidth="1" outlineLevel="2"/>
    <col min="12" max="12" width="14.85546875" style="1" hidden="1" customWidth="1" outlineLevel="1"/>
    <col min="13" max="14" width="14.85546875" style="1" customWidth="1" collapsed="1"/>
    <col min="15" max="15" width="14.85546875" style="1" hidden="1" customWidth="1" outlineLevel="1"/>
    <col min="16" max="16" width="54" style="13" hidden="1" customWidth="1" outlineLevel="1" collapsed="1"/>
    <col min="17" max="17" width="14.85546875" style="158" customWidth="1" collapsed="1"/>
    <col min="18" max="18" width="14.85546875" style="159" customWidth="1" outlineLevel="1" collapsed="1"/>
    <col min="19" max="19" width="91.140625" style="158" customWidth="1" outlineLevel="1" collapsed="1"/>
    <col min="20" max="20" width="17.7109375" style="1" customWidth="1"/>
    <col min="21" max="21" width="19.140625" style="1" customWidth="1"/>
    <col min="22" max="22" width="13.7109375" style="1" customWidth="1"/>
    <col min="23" max="25" width="9" style="1" customWidth="1"/>
    <col min="26" max="190" width="9" style="1"/>
    <col min="191" max="192" width="0" style="1" hidden="1" customWidth="1"/>
    <col min="193" max="193" width="13.7109375" style="1" customWidth="1"/>
    <col min="194" max="194" width="52.85546875" style="1" customWidth="1"/>
    <col min="195" max="234" width="0" style="1" hidden="1" customWidth="1"/>
    <col min="235" max="236" width="14.85546875" style="1" customWidth="1"/>
    <col min="237" max="238" width="0" style="1" hidden="1" customWidth="1"/>
    <col min="239" max="239" width="14.85546875" style="1" customWidth="1"/>
    <col min="240" max="241" width="0" style="1" hidden="1" customWidth="1"/>
    <col min="242" max="242" width="14.85546875" style="1" customWidth="1"/>
    <col min="243" max="244" width="0" style="1" hidden="1" customWidth="1"/>
    <col min="245" max="245" width="14.85546875" style="1" customWidth="1"/>
    <col min="246" max="247" width="0" style="1" hidden="1" customWidth="1"/>
    <col min="248" max="248" width="14.85546875" style="1" customWidth="1"/>
    <col min="249" max="250" width="0" style="1" hidden="1" customWidth="1"/>
    <col min="251" max="252" width="14.85546875" style="1" customWidth="1"/>
    <col min="253" max="253" width="44.42578125" style="1" customWidth="1"/>
    <col min="254" max="258" width="14.85546875" style="1" customWidth="1"/>
    <col min="259" max="259" width="63.85546875" style="1" customWidth="1"/>
    <col min="260" max="260" width="13.28515625" style="1" customWidth="1"/>
    <col min="261" max="446" width="9" style="1"/>
    <col min="447" max="448" width="0" style="1" hidden="1" customWidth="1"/>
    <col min="449" max="449" width="13.7109375" style="1" customWidth="1"/>
    <col min="450" max="450" width="52.85546875" style="1" customWidth="1"/>
    <col min="451" max="490" width="0" style="1" hidden="1" customWidth="1"/>
    <col min="491" max="492" width="14.85546875" style="1" customWidth="1"/>
    <col min="493" max="494" width="0" style="1" hidden="1" customWidth="1"/>
    <col min="495" max="495" width="14.85546875" style="1" customWidth="1"/>
    <col min="496" max="497" width="0" style="1" hidden="1" customWidth="1"/>
    <col min="498" max="498" width="14.85546875" style="1" customWidth="1"/>
    <col min="499" max="500" width="0" style="1" hidden="1" customWidth="1"/>
    <col min="501" max="501" width="14.85546875" style="1" customWidth="1"/>
    <col min="502" max="503" width="0" style="1" hidden="1" customWidth="1"/>
    <col min="504" max="504" width="14.85546875" style="1" customWidth="1"/>
    <col min="505" max="506" width="0" style="1" hidden="1" customWidth="1"/>
    <col min="507" max="508" width="14.85546875" style="1" customWidth="1"/>
    <col min="509" max="509" width="44.42578125" style="1" customWidth="1"/>
    <col min="510" max="514" width="14.85546875" style="1" customWidth="1"/>
    <col min="515" max="515" width="63.85546875" style="1" customWidth="1"/>
    <col min="516" max="516" width="13.28515625" style="1" customWidth="1"/>
    <col min="517" max="702" width="9" style="1"/>
    <col min="703" max="704" width="0" style="1" hidden="1" customWidth="1"/>
    <col min="705" max="705" width="13.7109375" style="1" customWidth="1"/>
    <col min="706" max="706" width="52.85546875" style="1" customWidth="1"/>
    <col min="707" max="746" width="0" style="1" hidden="1" customWidth="1"/>
    <col min="747" max="748" width="14.85546875" style="1" customWidth="1"/>
    <col min="749" max="750" width="0" style="1" hidden="1" customWidth="1"/>
    <col min="751" max="751" width="14.85546875" style="1" customWidth="1"/>
    <col min="752" max="753" width="0" style="1" hidden="1" customWidth="1"/>
    <col min="754" max="754" width="14.85546875" style="1" customWidth="1"/>
    <col min="755" max="756" width="0" style="1" hidden="1" customWidth="1"/>
    <col min="757" max="757" width="14.85546875" style="1" customWidth="1"/>
    <col min="758" max="759" width="0" style="1" hidden="1" customWidth="1"/>
    <col min="760" max="760" width="14.85546875" style="1" customWidth="1"/>
    <col min="761" max="762" width="0" style="1" hidden="1" customWidth="1"/>
    <col min="763" max="764" width="14.85546875" style="1" customWidth="1"/>
    <col min="765" max="765" width="44.42578125" style="1" customWidth="1"/>
    <col min="766" max="770" width="14.85546875" style="1" customWidth="1"/>
    <col min="771" max="771" width="63.85546875" style="1" customWidth="1"/>
    <col min="772" max="772" width="13.28515625" style="1" customWidth="1"/>
    <col min="773" max="958" width="9" style="1"/>
    <col min="959" max="960" width="0" style="1" hidden="1" customWidth="1"/>
    <col min="961" max="961" width="13.7109375" style="1" customWidth="1"/>
    <col min="962" max="962" width="52.85546875" style="1" customWidth="1"/>
    <col min="963" max="1002" width="0" style="1" hidden="1" customWidth="1"/>
    <col min="1003" max="1004" width="14.85546875" style="1" customWidth="1"/>
    <col min="1005" max="1006" width="0" style="1" hidden="1" customWidth="1"/>
    <col min="1007" max="1007" width="14.85546875" style="1" customWidth="1"/>
    <col min="1008" max="1009" width="0" style="1" hidden="1" customWidth="1"/>
    <col min="1010" max="1010" width="14.85546875" style="1" customWidth="1"/>
    <col min="1011" max="1012" width="0" style="1" hidden="1" customWidth="1"/>
    <col min="1013" max="1013" width="14.85546875" style="1" customWidth="1"/>
    <col min="1014" max="1015" width="0" style="1" hidden="1" customWidth="1"/>
    <col min="1016" max="1016" width="14.85546875" style="1" customWidth="1"/>
    <col min="1017" max="1018" width="0" style="1" hidden="1" customWidth="1"/>
    <col min="1019" max="1020" width="14.85546875" style="1" customWidth="1"/>
    <col min="1021" max="1021" width="44.42578125" style="1" customWidth="1"/>
    <col min="1022" max="1026" width="14.85546875" style="1" customWidth="1"/>
    <col min="1027" max="1027" width="63.85546875" style="1" customWidth="1"/>
    <col min="1028" max="1028" width="13.28515625" style="1" customWidth="1"/>
    <col min="1029" max="1214" width="9" style="1"/>
    <col min="1215" max="1216" width="0" style="1" hidden="1" customWidth="1"/>
    <col min="1217" max="1217" width="13.7109375" style="1" customWidth="1"/>
    <col min="1218" max="1218" width="52.85546875" style="1" customWidth="1"/>
    <col min="1219" max="1258" width="0" style="1" hidden="1" customWidth="1"/>
    <col min="1259" max="1260" width="14.85546875" style="1" customWidth="1"/>
    <col min="1261" max="1262" width="0" style="1" hidden="1" customWidth="1"/>
    <col min="1263" max="1263" width="14.85546875" style="1" customWidth="1"/>
    <col min="1264" max="1265" width="0" style="1" hidden="1" customWidth="1"/>
    <col min="1266" max="1266" width="14.85546875" style="1" customWidth="1"/>
    <col min="1267" max="1268" width="0" style="1" hidden="1" customWidth="1"/>
    <col min="1269" max="1269" width="14.85546875" style="1" customWidth="1"/>
    <col min="1270" max="1271" width="0" style="1" hidden="1" customWidth="1"/>
    <col min="1272" max="1272" width="14.85546875" style="1" customWidth="1"/>
    <col min="1273" max="1274" width="0" style="1" hidden="1" customWidth="1"/>
    <col min="1275" max="1276" width="14.85546875" style="1" customWidth="1"/>
    <col min="1277" max="1277" width="44.42578125" style="1" customWidth="1"/>
    <col min="1278" max="1282" width="14.85546875" style="1" customWidth="1"/>
    <col min="1283" max="1283" width="63.85546875" style="1" customWidth="1"/>
    <col min="1284" max="1284" width="13.28515625" style="1" customWidth="1"/>
    <col min="1285" max="1470" width="9" style="1"/>
    <col min="1471" max="1472" width="0" style="1" hidden="1" customWidth="1"/>
    <col min="1473" max="1473" width="13.7109375" style="1" customWidth="1"/>
    <col min="1474" max="1474" width="52.85546875" style="1" customWidth="1"/>
    <col min="1475" max="1514" width="0" style="1" hidden="1" customWidth="1"/>
    <col min="1515" max="1516" width="14.85546875" style="1" customWidth="1"/>
    <col min="1517" max="1518" width="0" style="1" hidden="1" customWidth="1"/>
    <col min="1519" max="1519" width="14.85546875" style="1" customWidth="1"/>
    <col min="1520" max="1521" width="0" style="1" hidden="1" customWidth="1"/>
    <col min="1522" max="1522" width="14.85546875" style="1" customWidth="1"/>
    <col min="1523" max="1524" width="0" style="1" hidden="1" customWidth="1"/>
    <col min="1525" max="1525" width="14.85546875" style="1" customWidth="1"/>
    <col min="1526" max="1527" width="0" style="1" hidden="1" customWidth="1"/>
    <col min="1528" max="1528" width="14.85546875" style="1" customWidth="1"/>
    <col min="1529" max="1530" width="0" style="1" hidden="1" customWidth="1"/>
    <col min="1531" max="1532" width="14.85546875" style="1" customWidth="1"/>
    <col min="1533" max="1533" width="44.42578125" style="1" customWidth="1"/>
    <col min="1534" max="1538" width="14.85546875" style="1" customWidth="1"/>
    <col min="1539" max="1539" width="63.85546875" style="1" customWidth="1"/>
    <col min="1540" max="1540" width="13.28515625" style="1" customWidth="1"/>
    <col min="1541" max="1726" width="9" style="1"/>
    <col min="1727" max="1728" width="0" style="1" hidden="1" customWidth="1"/>
    <col min="1729" max="1729" width="13.7109375" style="1" customWidth="1"/>
    <col min="1730" max="1730" width="52.85546875" style="1" customWidth="1"/>
    <col min="1731" max="1770" width="0" style="1" hidden="1" customWidth="1"/>
    <col min="1771" max="1772" width="14.85546875" style="1" customWidth="1"/>
    <col min="1773" max="1774" width="0" style="1" hidden="1" customWidth="1"/>
    <col min="1775" max="1775" width="14.85546875" style="1" customWidth="1"/>
    <col min="1776" max="1777" width="0" style="1" hidden="1" customWidth="1"/>
    <col min="1778" max="1778" width="14.85546875" style="1" customWidth="1"/>
    <col min="1779" max="1780" width="0" style="1" hidden="1" customWidth="1"/>
    <col min="1781" max="1781" width="14.85546875" style="1" customWidth="1"/>
    <col min="1782" max="1783" width="0" style="1" hidden="1" customWidth="1"/>
    <col min="1784" max="1784" width="14.85546875" style="1" customWidth="1"/>
    <col min="1785" max="1786" width="0" style="1" hidden="1" customWidth="1"/>
    <col min="1787" max="1788" width="14.85546875" style="1" customWidth="1"/>
    <col min="1789" max="1789" width="44.42578125" style="1" customWidth="1"/>
    <col min="1790" max="1794" width="14.85546875" style="1" customWidth="1"/>
    <col min="1795" max="1795" width="63.85546875" style="1" customWidth="1"/>
    <col min="1796" max="1796" width="13.28515625" style="1" customWidth="1"/>
    <col min="1797" max="1982" width="9" style="1"/>
    <col min="1983" max="1984" width="0" style="1" hidden="1" customWidth="1"/>
    <col min="1985" max="1985" width="13.7109375" style="1" customWidth="1"/>
    <col min="1986" max="1986" width="52.85546875" style="1" customWidth="1"/>
    <col min="1987" max="2026" width="0" style="1" hidden="1" customWidth="1"/>
    <col min="2027" max="2028" width="14.85546875" style="1" customWidth="1"/>
    <col min="2029" max="2030" width="0" style="1" hidden="1" customWidth="1"/>
    <col min="2031" max="2031" width="14.85546875" style="1" customWidth="1"/>
    <col min="2032" max="2033" width="0" style="1" hidden="1" customWidth="1"/>
    <col min="2034" max="2034" width="14.85546875" style="1" customWidth="1"/>
    <col min="2035" max="2036" width="0" style="1" hidden="1" customWidth="1"/>
    <col min="2037" max="2037" width="14.85546875" style="1" customWidth="1"/>
    <col min="2038" max="2039" width="0" style="1" hidden="1" customWidth="1"/>
    <col min="2040" max="2040" width="14.85546875" style="1" customWidth="1"/>
    <col min="2041" max="2042" width="0" style="1" hidden="1" customWidth="1"/>
    <col min="2043" max="2044" width="14.85546875" style="1" customWidth="1"/>
    <col min="2045" max="2045" width="44.42578125" style="1" customWidth="1"/>
    <col min="2046" max="2050" width="14.85546875" style="1" customWidth="1"/>
    <col min="2051" max="2051" width="63.85546875" style="1" customWidth="1"/>
    <col min="2052" max="2052" width="13.28515625" style="1" customWidth="1"/>
    <col min="2053" max="2238" width="9" style="1"/>
    <col min="2239" max="2240" width="0" style="1" hidden="1" customWidth="1"/>
    <col min="2241" max="2241" width="13.7109375" style="1" customWidth="1"/>
    <col min="2242" max="2242" width="52.85546875" style="1" customWidth="1"/>
    <col min="2243" max="2282" width="0" style="1" hidden="1" customWidth="1"/>
    <col min="2283" max="2284" width="14.85546875" style="1" customWidth="1"/>
    <col min="2285" max="2286" width="0" style="1" hidden="1" customWidth="1"/>
    <col min="2287" max="2287" width="14.85546875" style="1" customWidth="1"/>
    <col min="2288" max="2289" width="0" style="1" hidden="1" customWidth="1"/>
    <col min="2290" max="2290" width="14.85546875" style="1" customWidth="1"/>
    <col min="2291" max="2292" width="0" style="1" hidden="1" customWidth="1"/>
    <col min="2293" max="2293" width="14.85546875" style="1" customWidth="1"/>
    <col min="2294" max="2295" width="0" style="1" hidden="1" customWidth="1"/>
    <col min="2296" max="2296" width="14.85546875" style="1" customWidth="1"/>
    <col min="2297" max="2298" width="0" style="1" hidden="1" customWidth="1"/>
    <col min="2299" max="2300" width="14.85546875" style="1" customWidth="1"/>
    <col min="2301" max="2301" width="44.42578125" style="1" customWidth="1"/>
    <col min="2302" max="2306" width="14.85546875" style="1" customWidth="1"/>
    <col min="2307" max="2307" width="63.85546875" style="1" customWidth="1"/>
    <col min="2308" max="2308" width="13.28515625" style="1" customWidth="1"/>
    <col min="2309" max="2494" width="9" style="1"/>
    <col min="2495" max="2496" width="0" style="1" hidden="1" customWidth="1"/>
    <col min="2497" max="2497" width="13.7109375" style="1" customWidth="1"/>
    <col min="2498" max="2498" width="52.85546875" style="1" customWidth="1"/>
    <col min="2499" max="2538" width="0" style="1" hidden="1" customWidth="1"/>
    <col min="2539" max="2540" width="14.85546875" style="1" customWidth="1"/>
    <col min="2541" max="2542" width="0" style="1" hidden="1" customWidth="1"/>
    <col min="2543" max="2543" width="14.85546875" style="1" customWidth="1"/>
    <col min="2544" max="2545" width="0" style="1" hidden="1" customWidth="1"/>
    <col min="2546" max="2546" width="14.85546875" style="1" customWidth="1"/>
    <col min="2547" max="2548" width="0" style="1" hidden="1" customWidth="1"/>
    <col min="2549" max="2549" width="14.85546875" style="1" customWidth="1"/>
    <col min="2550" max="2551" width="0" style="1" hidden="1" customWidth="1"/>
    <col min="2552" max="2552" width="14.85546875" style="1" customWidth="1"/>
    <col min="2553" max="2554" width="0" style="1" hidden="1" customWidth="1"/>
    <col min="2555" max="2556" width="14.85546875" style="1" customWidth="1"/>
    <col min="2557" max="2557" width="44.42578125" style="1" customWidth="1"/>
    <col min="2558" max="2562" width="14.85546875" style="1" customWidth="1"/>
    <col min="2563" max="2563" width="63.85546875" style="1" customWidth="1"/>
    <col min="2564" max="2564" width="13.28515625" style="1" customWidth="1"/>
    <col min="2565" max="2750" width="9" style="1"/>
    <col min="2751" max="2752" width="0" style="1" hidden="1" customWidth="1"/>
    <col min="2753" max="2753" width="13.7109375" style="1" customWidth="1"/>
    <col min="2754" max="2754" width="52.85546875" style="1" customWidth="1"/>
    <col min="2755" max="2794" width="0" style="1" hidden="1" customWidth="1"/>
    <col min="2795" max="2796" width="14.85546875" style="1" customWidth="1"/>
    <col min="2797" max="2798" width="0" style="1" hidden="1" customWidth="1"/>
    <col min="2799" max="2799" width="14.85546875" style="1" customWidth="1"/>
    <col min="2800" max="2801" width="0" style="1" hidden="1" customWidth="1"/>
    <col min="2802" max="2802" width="14.85546875" style="1" customWidth="1"/>
    <col min="2803" max="2804" width="0" style="1" hidden="1" customWidth="1"/>
    <col min="2805" max="2805" width="14.85546875" style="1" customWidth="1"/>
    <col min="2806" max="2807" width="0" style="1" hidden="1" customWidth="1"/>
    <col min="2808" max="2808" width="14.85546875" style="1" customWidth="1"/>
    <col min="2809" max="2810" width="0" style="1" hidden="1" customWidth="1"/>
    <col min="2811" max="2812" width="14.85546875" style="1" customWidth="1"/>
    <col min="2813" max="2813" width="44.42578125" style="1" customWidth="1"/>
    <col min="2814" max="2818" width="14.85546875" style="1" customWidth="1"/>
    <col min="2819" max="2819" width="63.85546875" style="1" customWidth="1"/>
    <col min="2820" max="2820" width="13.28515625" style="1" customWidth="1"/>
    <col min="2821" max="3006" width="9" style="1"/>
    <col min="3007" max="3008" width="0" style="1" hidden="1" customWidth="1"/>
    <col min="3009" max="3009" width="13.7109375" style="1" customWidth="1"/>
    <col min="3010" max="3010" width="52.85546875" style="1" customWidth="1"/>
    <col min="3011" max="3050" width="0" style="1" hidden="1" customWidth="1"/>
    <col min="3051" max="3052" width="14.85546875" style="1" customWidth="1"/>
    <col min="3053" max="3054" width="0" style="1" hidden="1" customWidth="1"/>
    <col min="3055" max="3055" width="14.85546875" style="1" customWidth="1"/>
    <col min="3056" max="3057" width="0" style="1" hidden="1" customWidth="1"/>
    <col min="3058" max="3058" width="14.85546875" style="1" customWidth="1"/>
    <col min="3059" max="3060" width="0" style="1" hidden="1" customWidth="1"/>
    <col min="3061" max="3061" width="14.85546875" style="1" customWidth="1"/>
    <col min="3062" max="3063" width="0" style="1" hidden="1" customWidth="1"/>
    <col min="3064" max="3064" width="14.85546875" style="1" customWidth="1"/>
    <col min="3065" max="3066" width="0" style="1" hidden="1" customWidth="1"/>
    <col min="3067" max="3068" width="14.85546875" style="1" customWidth="1"/>
    <col min="3069" max="3069" width="44.42578125" style="1" customWidth="1"/>
    <col min="3070" max="3074" width="14.85546875" style="1" customWidth="1"/>
    <col min="3075" max="3075" width="63.85546875" style="1" customWidth="1"/>
    <col min="3076" max="3076" width="13.28515625" style="1" customWidth="1"/>
    <col min="3077" max="3262" width="9" style="1"/>
    <col min="3263" max="3264" width="0" style="1" hidden="1" customWidth="1"/>
    <col min="3265" max="3265" width="13.7109375" style="1" customWidth="1"/>
    <col min="3266" max="3266" width="52.85546875" style="1" customWidth="1"/>
    <col min="3267" max="3306" width="0" style="1" hidden="1" customWidth="1"/>
    <col min="3307" max="3308" width="14.85546875" style="1" customWidth="1"/>
    <col min="3309" max="3310" width="0" style="1" hidden="1" customWidth="1"/>
    <col min="3311" max="3311" width="14.85546875" style="1" customWidth="1"/>
    <col min="3312" max="3313" width="0" style="1" hidden="1" customWidth="1"/>
    <col min="3314" max="3314" width="14.85546875" style="1" customWidth="1"/>
    <col min="3315" max="3316" width="0" style="1" hidden="1" customWidth="1"/>
    <col min="3317" max="3317" width="14.85546875" style="1" customWidth="1"/>
    <col min="3318" max="3319" width="0" style="1" hidden="1" customWidth="1"/>
    <col min="3320" max="3320" width="14.85546875" style="1" customWidth="1"/>
    <col min="3321" max="3322" width="0" style="1" hidden="1" customWidth="1"/>
    <col min="3323" max="3324" width="14.85546875" style="1" customWidth="1"/>
    <col min="3325" max="3325" width="44.42578125" style="1" customWidth="1"/>
    <col min="3326" max="3330" width="14.85546875" style="1" customWidth="1"/>
    <col min="3331" max="3331" width="63.85546875" style="1" customWidth="1"/>
    <col min="3332" max="3332" width="13.28515625" style="1" customWidth="1"/>
    <col min="3333" max="3518" width="9" style="1"/>
    <col min="3519" max="3520" width="0" style="1" hidden="1" customWidth="1"/>
    <col min="3521" max="3521" width="13.7109375" style="1" customWidth="1"/>
    <col min="3522" max="3522" width="52.85546875" style="1" customWidth="1"/>
    <col min="3523" max="3562" width="0" style="1" hidden="1" customWidth="1"/>
    <col min="3563" max="3564" width="14.85546875" style="1" customWidth="1"/>
    <col min="3565" max="3566" width="0" style="1" hidden="1" customWidth="1"/>
    <col min="3567" max="3567" width="14.85546875" style="1" customWidth="1"/>
    <col min="3568" max="3569" width="0" style="1" hidden="1" customWidth="1"/>
    <col min="3570" max="3570" width="14.85546875" style="1" customWidth="1"/>
    <col min="3571" max="3572" width="0" style="1" hidden="1" customWidth="1"/>
    <col min="3573" max="3573" width="14.85546875" style="1" customWidth="1"/>
    <col min="3574" max="3575" width="0" style="1" hidden="1" customWidth="1"/>
    <col min="3576" max="3576" width="14.85546875" style="1" customWidth="1"/>
    <col min="3577" max="3578" width="0" style="1" hidden="1" customWidth="1"/>
    <col min="3579" max="3580" width="14.85546875" style="1" customWidth="1"/>
    <col min="3581" max="3581" width="44.42578125" style="1" customWidth="1"/>
    <col min="3582" max="3586" width="14.85546875" style="1" customWidth="1"/>
    <col min="3587" max="3587" width="63.85546875" style="1" customWidth="1"/>
    <col min="3588" max="3588" width="13.28515625" style="1" customWidth="1"/>
    <col min="3589" max="3774" width="9" style="1"/>
    <col min="3775" max="3776" width="0" style="1" hidden="1" customWidth="1"/>
    <col min="3777" max="3777" width="13.7109375" style="1" customWidth="1"/>
    <col min="3778" max="3778" width="52.85546875" style="1" customWidth="1"/>
    <col min="3779" max="3818" width="0" style="1" hidden="1" customWidth="1"/>
    <col min="3819" max="3820" width="14.85546875" style="1" customWidth="1"/>
    <col min="3821" max="3822" width="0" style="1" hidden="1" customWidth="1"/>
    <col min="3823" max="3823" width="14.85546875" style="1" customWidth="1"/>
    <col min="3824" max="3825" width="0" style="1" hidden="1" customWidth="1"/>
    <col min="3826" max="3826" width="14.85546875" style="1" customWidth="1"/>
    <col min="3827" max="3828" width="0" style="1" hidden="1" customWidth="1"/>
    <col min="3829" max="3829" width="14.85546875" style="1" customWidth="1"/>
    <col min="3830" max="3831" width="0" style="1" hidden="1" customWidth="1"/>
    <col min="3832" max="3832" width="14.85546875" style="1" customWidth="1"/>
    <col min="3833" max="3834" width="0" style="1" hidden="1" customWidth="1"/>
    <col min="3835" max="3836" width="14.85546875" style="1" customWidth="1"/>
    <col min="3837" max="3837" width="44.42578125" style="1" customWidth="1"/>
    <col min="3838" max="3842" width="14.85546875" style="1" customWidth="1"/>
    <col min="3843" max="3843" width="63.85546875" style="1" customWidth="1"/>
    <col min="3844" max="3844" width="13.28515625" style="1" customWidth="1"/>
    <col min="3845" max="4030" width="9" style="1"/>
    <col min="4031" max="4032" width="0" style="1" hidden="1" customWidth="1"/>
    <col min="4033" max="4033" width="13.7109375" style="1" customWidth="1"/>
    <col min="4034" max="4034" width="52.85546875" style="1" customWidth="1"/>
    <col min="4035" max="4074" width="0" style="1" hidden="1" customWidth="1"/>
    <col min="4075" max="4076" width="14.85546875" style="1" customWidth="1"/>
    <col min="4077" max="4078" width="0" style="1" hidden="1" customWidth="1"/>
    <col min="4079" max="4079" width="14.85546875" style="1" customWidth="1"/>
    <col min="4080" max="4081" width="0" style="1" hidden="1" customWidth="1"/>
    <col min="4082" max="4082" width="14.85546875" style="1" customWidth="1"/>
    <col min="4083" max="4084" width="0" style="1" hidden="1" customWidth="1"/>
    <col min="4085" max="4085" width="14.85546875" style="1" customWidth="1"/>
    <col min="4086" max="4087" width="0" style="1" hidden="1" customWidth="1"/>
    <col min="4088" max="4088" width="14.85546875" style="1" customWidth="1"/>
    <col min="4089" max="4090" width="0" style="1" hidden="1" customWidth="1"/>
    <col min="4091" max="4092" width="14.85546875" style="1" customWidth="1"/>
    <col min="4093" max="4093" width="44.42578125" style="1" customWidth="1"/>
    <col min="4094" max="4098" width="14.85546875" style="1" customWidth="1"/>
    <col min="4099" max="4099" width="63.85546875" style="1" customWidth="1"/>
    <col min="4100" max="4100" width="13.28515625" style="1" customWidth="1"/>
    <col min="4101" max="4286" width="9" style="1"/>
    <col min="4287" max="4288" width="0" style="1" hidden="1" customWidth="1"/>
    <col min="4289" max="4289" width="13.7109375" style="1" customWidth="1"/>
    <col min="4290" max="4290" width="52.85546875" style="1" customWidth="1"/>
    <col min="4291" max="4330" width="0" style="1" hidden="1" customWidth="1"/>
    <col min="4331" max="4332" width="14.85546875" style="1" customWidth="1"/>
    <col min="4333" max="4334" width="0" style="1" hidden="1" customWidth="1"/>
    <col min="4335" max="4335" width="14.85546875" style="1" customWidth="1"/>
    <col min="4336" max="4337" width="0" style="1" hidden="1" customWidth="1"/>
    <col min="4338" max="4338" width="14.85546875" style="1" customWidth="1"/>
    <col min="4339" max="4340" width="0" style="1" hidden="1" customWidth="1"/>
    <col min="4341" max="4341" width="14.85546875" style="1" customWidth="1"/>
    <col min="4342" max="4343" width="0" style="1" hidden="1" customWidth="1"/>
    <col min="4344" max="4344" width="14.85546875" style="1" customWidth="1"/>
    <col min="4345" max="4346" width="0" style="1" hidden="1" customWidth="1"/>
    <col min="4347" max="4348" width="14.85546875" style="1" customWidth="1"/>
    <col min="4349" max="4349" width="44.42578125" style="1" customWidth="1"/>
    <col min="4350" max="4354" width="14.85546875" style="1" customWidth="1"/>
    <col min="4355" max="4355" width="63.85546875" style="1" customWidth="1"/>
    <col min="4356" max="4356" width="13.28515625" style="1" customWidth="1"/>
    <col min="4357" max="4542" width="9" style="1"/>
    <col min="4543" max="4544" width="0" style="1" hidden="1" customWidth="1"/>
    <col min="4545" max="4545" width="13.7109375" style="1" customWidth="1"/>
    <col min="4546" max="4546" width="52.85546875" style="1" customWidth="1"/>
    <col min="4547" max="4586" width="0" style="1" hidden="1" customWidth="1"/>
    <col min="4587" max="4588" width="14.85546875" style="1" customWidth="1"/>
    <col min="4589" max="4590" width="0" style="1" hidden="1" customWidth="1"/>
    <col min="4591" max="4591" width="14.85546875" style="1" customWidth="1"/>
    <col min="4592" max="4593" width="0" style="1" hidden="1" customWidth="1"/>
    <col min="4594" max="4594" width="14.85546875" style="1" customWidth="1"/>
    <col min="4595" max="4596" width="0" style="1" hidden="1" customWidth="1"/>
    <col min="4597" max="4597" width="14.85546875" style="1" customWidth="1"/>
    <col min="4598" max="4599" width="0" style="1" hidden="1" customWidth="1"/>
    <col min="4600" max="4600" width="14.85546875" style="1" customWidth="1"/>
    <col min="4601" max="4602" width="0" style="1" hidden="1" customWidth="1"/>
    <col min="4603" max="4604" width="14.85546875" style="1" customWidth="1"/>
    <col min="4605" max="4605" width="44.42578125" style="1" customWidth="1"/>
    <col min="4606" max="4610" width="14.85546875" style="1" customWidth="1"/>
    <col min="4611" max="4611" width="63.85546875" style="1" customWidth="1"/>
    <col min="4612" max="4612" width="13.28515625" style="1" customWidth="1"/>
    <col min="4613" max="4798" width="9" style="1"/>
    <col min="4799" max="4800" width="0" style="1" hidden="1" customWidth="1"/>
    <col min="4801" max="4801" width="13.7109375" style="1" customWidth="1"/>
    <col min="4802" max="4802" width="52.85546875" style="1" customWidth="1"/>
    <col min="4803" max="4842" width="0" style="1" hidden="1" customWidth="1"/>
    <col min="4843" max="4844" width="14.85546875" style="1" customWidth="1"/>
    <col min="4845" max="4846" width="0" style="1" hidden="1" customWidth="1"/>
    <col min="4847" max="4847" width="14.85546875" style="1" customWidth="1"/>
    <col min="4848" max="4849" width="0" style="1" hidden="1" customWidth="1"/>
    <col min="4850" max="4850" width="14.85546875" style="1" customWidth="1"/>
    <col min="4851" max="4852" width="0" style="1" hidden="1" customWidth="1"/>
    <col min="4853" max="4853" width="14.85546875" style="1" customWidth="1"/>
    <col min="4854" max="4855" width="0" style="1" hidden="1" customWidth="1"/>
    <col min="4856" max="4856" width="14.85546875" style="1" customWidth="1"/>
    <col min="4857" max="4858" width="0" style="1" hidden="1" customWidth="1"/>
    <col min="4859" max="4860" width="14.85546875" style="1" customWidth="1"/>
    <col min="4861" max="4861" width="44.42578125" style="1" customWidth="1"/>
    <col min="4862" max="4866" width="14.85546875" style="1" customWidth="1"/>
    <col min="4867" max="4867" width="63.85546875" style="1" customWidth="1"/>
    <col min="4868" max="4868" width="13.28515625" style="1" customWidth="1"/>
    <col min="4869" max="5054" width="9" style="1"/>
    <col min="5055" max="5056" width="0" style="1" hidden="1" customWidth="1"/>
    <col min="5057" max="5057" width="13.7109375" style="1" customWidth="1"/>
    <col min="5058" max="5058" width="52.85546875" style="1" customWidth="1"/>
    <col min="5059" max="5098" width="0" style="1" hidden="1" customWidth="1"/>
    <col min="5099" max="5100" width="14.85546875" style="1" customWidth="1"/>
    <col min="5101" max="5102" width="0" style="1" hidden="1" customWidth="1"/>
    <col min="5103" max="5103" width="14.85546875" style="1" customWidth="1"/>
    <col min="5104" max="5105" width="0" style="1" hidden="1" customWidth="1"/>
    <col min="5106" max="5106" width="14.85546875" style="1" customWidth="1"/>
    <col min="5107" max="5108" width="0" style="1" hidden="1" customWidth="1"/>
    <col min="5109" max="5109" width="14.85546875" style="1" customWidth="1"/>
    <col min="5110" max="5111" width="0" style="1" hidden="1" customWidth="1"/>
    <col min="5112" max="5112" width="14.85546875" style="1" customWidth="1"/>
    <col min="5113" max="5114" width="0" style="1" hidden="1" customWidth="1"/>
    <col min="5115" max="5116" width="14.85546875" style="1" customWidth="1"/>
    <col min="5117" max="5117" width="44.42578125" style="1" customWidth="1"/>
    <col min="5118" max="5122" width="14.85546875" style="1" customWidth="1"/>
    <col min="5123" max="5123" width="63.85546875" style="1" customWidth="1"/>
    <col min="5124" max="5124" width="13.28515625" style="1" customWidth="1"/>
    <col min="5125" max="5310" width="9" style="1"/>
    <col min="5311" max="5312" width="0" style="1" hidden="1" customWidth="1"/>
    <col min="5313" max="5313" width="13.7109375" style="1" customWidth="1"/>
    <col min="5314" max="5314" width="52.85546875" style="1" customWidth="1"/>
    <col min="5315" max="5354" width="0" style="1" hidden="1" customWidth="1"/>
    <col min="5355" max="5356" width="14.85546875" style="1" customWidth="1"/>
    <col min="5357" max="5358" width="0" style="1" hidden="1" customWidth="1"/>
    <col min="5359" max="5359" width="14.85546875" style="1" customWidth="1"/>
    <col min="5360" max="5361" width="0" style="1" hidden="1" customWidth="1"/>
    <col min="5362" max="5362" width="14.85546875" style="1" customWidth="1"/>
    <col min="5363" max="5364" width="0" style="1" hidden="1" customWidth="1"/>
    <col min="5365" max="5365" width="14.85546875" style="1" customWidth="1"/>
    <col min="5366" max="5367" width="0" style="1" hidden="1" customWidth="1"/>
    <col min="5368" max="5368" width="14.85546875" style="1" customWidth="1"/>
    <col min="5369" max="5370" width="0" style="1" hidden="1" customWidth="1"/>
    <col min="5371" max="5372" width="14.85546875" style="1" customWidth="1"/>
    <col min="5373" max="5373" width="44.42578125" style="1" customWidth="1"/>
    <col min="5374" max="5378" width="14.85546875" style="1" customWidth="1"/>
    <col min="5379" max="5379" width="63.85546875" style="1" customWidth="1"/>
    <col min="5380" max="5380" width="13.28515625" style="1" customWidth="1"/>
    <col min="5381" max="5566" width="9" style="1"/>
    <col min="5567" max="5568" width="0" style="1" hidden="1" customWidth="1"/>
    <col min="5569" max="5569" width="13.7109375" style="1" customWidth="1"/>
    <col min="5570" max="5570" width="52.85546875" style="1" customWidth="1"/>
    <col min="5571" max="5610" width="0" style="1" hidden="1" customWidth="1"/>
    <col min="5611" max="5612" width="14.85546875" style="1" customWidth="1"/>
    <col min="5613" max="5614" width="0" style="1" hidden="1" customWidth="1"/>
    <col min="5615" max="5615" width="14.85546875" style="1" customWidth="1"/>
    <col min="5616" max="5617" width="0" style="1" hidden="1" customWidth="1"/>
    <col min="5618" max="5618" width="14.85546875" style="1" customWidth="1"/>
    <col min="5619" max="5620" width="0" style="1" hidden="1" customWidth="1"/>
    <col min="5621" max="5621" width="14.85546875" style="1" customWidth="1"/>
    <col min="5622" max="5623" width="0" style="1" hidden="1" customWidth="1"/>
    <col min="5624" max="5624" width="14.85546875" style="1" customWidth="1"/>
    <col min="5625" max="5626" width="0" style="1" hidden="1" customWidth="1"/>
    <col min="5627" max="5628" width="14.85546875" style="1" customWidth="1"/>
    <col min="5629" max="5629" width="44.42578125" style="1" customWidth="1"/>
    <col min="5630" max="5634" width="14.85546875" style="1" customWidth="1"/>
    <col min="5635" max="5635" width="63.85546875" style="1" customWidth="1"/>
    <col min="5636" max="5636" width="13.28515625" style="1" customWidth="1"/>
    <col min="5637" max="5822" width="9" style="1"/>
    <col min="5823" max="5824" width="0" style="1" hidden="1" customWidth="1"/>
    <col min="5825" max="5825" width="13.7109375" style="1" customWidth="1"/>
    <col min="5826" max="5826" width="52.85546875" style="1" customWidth="1"/>
    <col min="5827" max="5866" width="0" style="1" hidden="1" customWidth="1"/>
    <col min="5867" max="5868" width="14.85546875" style="1" customWidth="1"/>
    <col min="5869" max="5870" width="0" style="1" hidden="1" customWidth="1"/>
    <col min="5871" max="5871" width="14.85546875" style="1" customWidth="1"/>
    <col min="5872" max="5873" width="0" style="1" hidden="1" customWidth="1"/>
    <col min="5874" max="5874" width="14.85546875" style="1" customWidth="1"/>
    <col min="5875" max="5876" width="0" style="1" hidden="1" customWidth="1"/>
    <col min="5877" max="5877" width="14.85546875" style="1" customWidth="1"/>
    <col min="5878" max="5879" width="0" style="1" hidden="1" customWidth="1"/>
    <col min="5880" max="5880" width="14.85546875" style="1" customWidth="1"/>
    <col min="5881" max="5882" width="0" style="1" hidden="1" customWidth="1"/>
    <col min="5883" max="5884" width="14.85546875" style="1" customWidth="1"/>
    <col min="5885" max="5885" width="44.42578125" style="1" customWidth="1"/>
    <col min="5886" max="5890" width="14.85546875" style="1" customWidth="1"/>
    <col min="5891" max="5891" width="63.85546875" style="1" customWidth="1"/>
    <col min="5892" max="5892" width="13.28515625" style="1" customWidth="1"/>
    <col min="5893" max="6078" width="9" style="1"/>
    <col min="6079" max="6080" width="0" style="1" hidden="1" customWidth="1"/>
    <col min="6081" max="6081" width="13.7109375" style="1" customWidth="1"/>
    <col min="6082" max="6082" width="52.85546875" style="1" customWidth="1"/>
    <col min="6083" max="6122" width="0" style="1" hidden="1" customWidth="1"/>
    <col min="6123" max="6124" width="14.85546875" style="1" customWidth="1"/>
    <col min="6125" max="6126" width="0" style="1" hidden="1" customWidth="1"/>
    <col min="6127" max="6127" width="14.85546875" style="1" customWidth="1"/>
    <col min="6128" max="6129" width="0" style="1" hidden="1" customWidth="1"/>
    <col min="6130" max="6130" width="14.85546875" style="1" customWidth="1"/>
    <col min="6131" max="6132" width="0" style="1" hidden="1" customWidth="1"/>
    <col min="6133" max="6133" width="14.85546875" style="1" customWidth="1"/>
    <col min="6134" max="6135" width="0" style="1" hidden="1" customWidth="1"/>
    <col min="6136" max="6136" width="14.85546875" style="1" customWidth="1"/>
    <col min="6137" max="6138" width="0" style="1" hidden="1" customWidth="1"/>
    <col min="6139" max="6140" width="14.85546875" style="1" customWidth="1"/>
    <col min="6141" max="6141" width="44.42578125" style="1" customWidth="1"/>
    <col min="6142" max="6146" width="14.85546875" style="1" customWidth="1"/>
    <col min="6147" max="6147" width="63.85546875" style="1" customWidth="1"/>
    <col min="6148" max="6148" width="13.28515625" style="1" customWidth="1"/>
    <col min="6149" max="6334" width="9" style="1"/>
    <col min="6335" max="6336" width="0" style="1" hidden="1" customWidth="1"/>
    <col min="6337" max="6337" width="13.7109375" style="1" customWidth="1"/>
    <col min="6338" max="6338" width="52.85546875" style="1" customWidth="1"/>
    <col min="6339" max="6378" width="0" style="1" hidden="1" customWidth="1"/>
    <col min="6379" max="6380" width="14.85546875" style="1" customWidth="1"/>
    <col min="6381" max="6382" width="0" style="1" hidden="1" customWidth="1"/>
    <col min="6383" max="6383" width="14.85546875" style="1" customWidth="1"/>
    <col min="6384" max="6385" width="0" style="1" hidden="1" customWidth="1"/>
    <col min="6386" max="6386" width="14.85546875" style="1" customWidth="1"/>
    <col min="6387" max="6388" width="0" style="1" hidden="1" customWidth="1"/>
    <col min="6389" max="6389" width="14.85546875" style="1" customWidth="1"/>
    <col min="6390" max="6391" width="0" style="1" hidden="1" customWidth="1"/>
    <col min="6392" max="6392" width="14.85546875" style="1" customWidth="1"/>
    <col min="6393" max="6394" width="0" style="1" hidden="1" customWidth="1"/>
    <col min="6395" max="6396" width="14.85546875" style="1" customWidth="1"/>
    <col min="6397" max="6397" width="44.42578125" style="1" customWidth="1"/>
    <col min="6398" max="6402" width="14.85546875" style="1" customWidth="1"/>
    <col min="6403" max="6403" width="63.85546875" style="1" customWidth="1"/>
    <col min="6404" max="6404" width="13.28515625" style="1" customWidth="1"/>
    <col min="6405" max="6590" width="9" style="1"/>
    <col min="6591" max="6592" width="0" style="1" hidden="1" customWidth="1"/>
    <col min="6593" max="6593" width="13.7109375" style="1" customWidth="1"/>
    <col min="6594" max="6594" width="52.85546875" style="1" customWidth="1"/>
    <col min="6595" max="6634" width="0" style="1" hidden="1" customWidth="1"/>
    <col min="6635" max="6636" width="14.85546875" style="1" customWidth="1"/>
    <col min="6637" max="6638" width="0" style="1" hidden="1" customWidth="1"/>
    <col min="6639" max="6639" width="14.85546875" style="1" customWidth="1"/>
    <col min="6640" max="6641" width="0" style="1" hidden="1" customWidth="1"/>
    <col min="6642" max="6642" width="14.85546875" style="1" customWidth="1"/>
    <col min="6643" max="6644" width="0" style="1" hidden="1" customWidth="1"/>
    <col min="6645" max="6645" width="14.85546875" style="1" customWidth="1"/>
    <col min="6646" max="6647" width="0" style="1" hidden="1" customWidth="1"/>
    <col min="6648" max="6648" width="14.85546875" style="1" customWidth="1"/>
    <col min="6649" max="6650" width="0" style="1" hidden="1" customWidth="1"/>
    <col min="6651" max="6652" width="14.85546875" style="1" customWidth="1"/>
    <col min="6653" max="6653" width="44.42578125" style="1" customWidth="1"/>
    <col min="6654" max="6658" width="14.85546875" style="1" customWidth="1"/>
    <col min="6659" max="6659" width="63.85546875" style="1" customWidth="1"/>
    <col min="6660" max="6660" width="13.28515625" style="1" customWidth="1"/>
    <col min="6661" max="6846" width="9" style="1"/>
    <col min="6847" max="6848" width="0" style="1" hidden="1" customWidth="1"/>
    <col min="6849" max="6849" width="13.7109375" style="1" customWidth="1"/>
    <col min="6850" max="6850" width="52.85546875" style="1" customWidth="1"/>
    <col min="6851" max="6890" width="0" style="1" hidden="1" customWidth="1"/>
    <col min="6891" max="6892" width="14.85546875" style="1" customWidth="1"/>
    <col min="6893" max="6894" width="0" style="1" hidden="1" customWidth="1"/>
    <col min="6895" max="6895" width="14.85546875" style="1" customWidth="1"/>
    <col min="6896" max="6897" width="0" style="1" hidden="1" customWidth="1"/>
    <col min="6898" max="6898" width="14.85546875" style="1" customWidth="1"/>
    <col min="6899" max="6900" width="0" style="1" hidden="1" customWidth="1"/>
    <col min="6901" max="6901" width="14.85546875" style="1" customWidth="1"/>
    <col min="6902" max="6903" width="0" style="1" hidden="1" customWidth="1"/>
    <col min="6904" max="6904" width="14.85546875" style="1" customWidth="1"/>
    <col min="6905" max="6906" width="0" style="1" hidden="1" customWidth="1"/>
    <col min="6907" max="6908" width="14.85546875" style="1" customWidth="1"/>
    <col min="6909" max="6909" width="44.42578125" style="1" customWidth="1"/>
    <col min="6910" max="6914" width="14.85546875" style="1" customWidth="1"/>
    <col min="6915" max="6915" width="63.85546875" style="1" customWidth="1"/>
    <col min="6916" max="6916" width="13.28515625" style="1" customWidth="1"/>
    <col min="6917" max="7102" width="9" style="1"/>
    <col min="7103" max="7104" width="0" style="1" hidden="1" customWidth="1"/>
    <col min="7105" max="7105" width="13.7109375" style="1" customWidth="1"/>
    <col min="7106" max="7106" width="52.85546875" style="1" customWidth="1"/>
    <col min="7107" max="7146" width="0" style="1" hidden="1" customWidth="1"/>
    <col min="7147" max="7148" width="14.85546875" style="1" customWidth="1"/>
    <col min="7149" max="7150" width="0" style="1" hidden="1" customWidth="1"/>
    <col min="7151" max="7151" width="14.85546875" style="1" customWidth="1"/>
    <col min="7152" max="7153" width="0" style="1" hidden="1" customWidth="1"/>
    <col min="7154" max="7154" width="14.85546875" style="1" customWidth="1"/>
    <col min="7155" max="7156" width="0" style="1" hidden="1" customWidth="1"/>
    <col min="7157" max="7157" width="14.85546875" style="1" customWidth="1"/>
    <col min="7158" max="7159" width="0" style="1" hidden="1" customWidth="1"/>
    <col min="7160" max="7160" width="14.85546875" style="1" customWidth="1"/>
    <col min="7161" max="7162" width="0" style="1" hidden="1" customWidth="1"/>
    <col min="7163" max="7164" width="14.85546875" style="1" customWidth="1"/>
    <col min="7165" max="7165" width="44.42578125" style="1" customWidth="1"/>
    <col min="7166" max="7170" width="14.85546875" style="1" customWidth="1"/>
    <col min="7171" max="7171" width="63.85546875" style="1" customWidth="1"/>
    <col min="7172" max="7172" width="13.28515625" style="1" customWidth="1"/>
    <col min="7173" max="7358" width="9" style="1"/>
    <col min="7359" max="7360" width="0" style="1" hidden="1" customWidth="1"/>
    <col min="7361" max="7361" width="13.7109375" style="1" customWidth="1"/>
    <col min="7362" max="7362" width="52.85546875" style="1" customWidth="1"/>
    <col min="7363" max="7402" width="0" style="1" hidden="1" customWidth="1"/>
    <col min="7403" max="7404" width="14.85546875" style="1" customWidth="1"/>
    <col min="7405" max="7406" width="0" style="1" hidden="1" customWidth="1"/>
    <col min="7407" max="7407" width="14.85546875" style="1" customWidth="1"/>
    <col min="7408" max="7409" width="0" style="1" hidden="1" customWidth="1"/>
    <col min="7410" max="7410" width="14.85546875" style="1" customWidth="1"/>
    <col min="7411" max="7412" width="0" style="1" hidden="1" customWidth="1"/>
    <col min="7413" max="7413" width="14.85546875" style="1" customWidth="1"/>
    <col min="7414" max="7415" width="0" style="1" hidden="1" customWidth="1"/>
    <col min="7416" max="7416" width="14.85546875" style="1" customWidth="1"/>
    <col min="7417" max="7418" width="0" style="1" hidden="1" customWidth="1"/>
    <col min="7419" max="7420" width="14.85546875" style="1" customWidth="1"/>
    <col min="7421" max="7421" width="44.42578125" style="1" customWidth="1"/>
    <col min="7422" max="7426" width="14.85546875" style="1" customWidth="1"/>
    <col min="7427" max="7427" width="63.85546875" style="1" customWidth="1"/>
    <col min="7428" max="7428" width="13.28515625" style="1" customWidth="1"/>
    <col min="7429" max="7614" width="9" style="1"/>
    <col min="7615" max="7616" width="0" style="1" hidden="1" customWidth="1"/>
    <col min="7617" max="7617" width="13.7109375" style="1" customWidth="1"/>
    <col min="7618" max="7618" width="52.85546875" style="1" customWidth="1"/>
    <col min="7619" max="7658" width="0" style="1" hidden="1" customWidth="1"/>
    <col min="7659" max="7660" width="14.85546875" style="1" customWidth="1"/>
    <col min="7661" max="7662" width="0" style="1" hidden="1" customWidth="1"/>
    <col min="7663" max="7663" width="14.85546875" style="1" customWidth="1"/>
    <col min="7664" max="7665" width="0" style="1" hidden="1" customWidth="1"/>
    <col min="7666" max="7666" width="14.85546875" style="1" customWidth="1"/>
    <col min="7667" max="7668" width="0" style="1" hidden="1" customWidth="1"/>
    <col min="7669" max="7669" width="14.85546875" style="1" customWidth="1"/>
    <col min="7670" max="7671" width="0" style="1" hidden="1" customWidth="1"/>
    <col min="7672" max="7672" width="14.85546875" style="1" customWidth="1"/>
    <col min="7673" max="7674" width="0" style="1" hidden="1" customWidth="1"/>
    <col min="7675" max="7676" width="14.85546875" style="1" customWidth="1"/>
    <col min="7677" max="7677" width="44.42578125" style="1" customWidth="1"/>
    <col min="7678" max="7682" width="14.85546875" style="1" customWidth="1"/>
    <col min="7683" max="7683" width="63.85546875" style="1" customWidth="1"/>
    <col min="7684" max="7684" width="13.28515625" style="1" customWidth="1"/>
    <col min="7685" max="7870" width="9" style="1"/>
    <col min="7871" max="7872" width="0" style="1" hidden="1" customWidth="1"/>
    <col min="7873" max="7873" width="13.7109375" style="1" customWidth="1"/>
    <col min="7874" max="7874" width="52.85546875" style="1" customWidth="1"/>
    <col min="7875" max="7914" width="0" style="1" hidden="1" customWidth="1"/>
    <col min="7915" max="7916" width="14.85546875" style="1" customWidth="1"/>
    <col min="7917" max="7918" width="0" style="1" hidden="1" customWidth="1"/>
    <col min="7919" max="7919" width="14.85546875" style="1" customWidth="1"/>
    <col min="7920" max="7921" width="0" style="1" hidden="1" customWidth="1"/>
    <col min="7922" max="7922" width="14.85546875" style="1" customWidth="1"/>
    <col min="7923" max="7924" width="0" style="1" hidden="1" customWidth="1"/>
    <col min="7925" max="7925" width="14.85546875" style="1" customWidth="1"/>
    <col min="7926" max="7927" width="0" style="1" hidden="1" customWidth="1"/>
    <col min="7928" max="7928" width="14.85546875" style="1" customWidth="1"/>
    <col min="7929" max="7930" width="0" style="1" hidden="1" customWidth="1"/>
    <col min="7931" max="7932" width="14.85546875" style="1" customWidth="1"/>
    <col min="7933" max="7933" width="44.42578125" style="1" customWidth="1"/>
    <col min="7934" max="7938" width="14.85546875" style="1" customWidth="1"/>
    <col min="7939" max="7939" width="63.85546875" style="1" customWidth="1"/>
    <col min="7940" max="7940" width="13.28515625" style="1" customWidth="1"/>
    <col min="7941" max="8126" width="9" style="1"/>
    <col min="8127" max="8128" width="0" style="1" hidden="1" customWidth="1"/>
    <col min="8129" max="8129" width="13.7109375" style="1" customWidth="1"/>
    <col min="8130" max="8130" width="52.85546875" style="1" customWidth="1"/>
    <col min="8131" max="8170" width="0" style="1" hidden="1" customWidth="1"/>
    <col min="8171" max="8172" width="14.85546875" style="1" customWidth="1"/>
    <col min="8173" max="8174" width="0" style="1" hidden="1" customWidth="1"/>
    <col min="8175" max="8175" width="14.85546875" style="1" customWidth="1"/>
    <col min="8176" max="8177" width="0" style="1" hidden="1" customWidth="1"/>
    <col min="8178" max="8178" width="14.85546875" style="1" customWidth="1"/>
    <col min="8179" max="8180" width="0" style="1" hidden="1" customWidth="1"/>
    <col min="8181" max="8181" width="14.85546875" style="1" customWidth="1"/>
    <col min="8182" max="8183" width="0" style="1" hidden="1" customWidth="1"/>
    <col min="8184" max="8184" width="14.85546875" style="1" customWidth="1"/>
    <col min="8185" max="8186" width="0" style="1" hidden="1" customWidth="1"/>
    <col min="8187" max="8188" width="14.85546875" style="1" customWidth="1"/>
    <col min="8189" max="8189" width="44.42578125" style="1" customWidth="1"/>
    <col min="8190" max="8194" width="14.85546875" style="1" customWidth="1"/>
    <col min="8195" max="8195" width="63.85546875" style="1" customWidth="1"/>
    <col min="8196" max="8196" width="13.28515625" style="1" customWidth="1"/>
    <col min="8197" max="8382" width="9" style="1"/>
    <col min="8383" max="8384" width="0" style="1" hidden="1" customWidth="1"/>
    <col min="8385" max="8385" width="13.7109375" style="1" customWidth="1"/>
    <col min="8386" max="8386" width="52.85546875" style="1" customWidth="1"/>
    <col min="8387" max="8426" width="0" style="1" hidden="1" customWidth="1"/>
    <col min="8427" max="8428" width="14.85546875" style="1" customWidth="1"/>
    <col min="8429" max="8430" width="0" style="1" hidden="1" customWidth="1"/>
    <col min="8431" max="8431" width="14.85546875" style="1" customWidth="1"/>
    <col min="8432" max="8433" width="0" style="1" hidden="1" customWidth="1"/>
    <col min="8434" max="8434" width="14.85546875" style="1" customWidth="1"/>
    <col min="8435" max="8436" width="0" style="1" hidden="1" customWidth="1"/>
    <col min="8437" max="8437" width="14.85546875" style="1" customWidth="1"/>
    <col min="8438" max="8439" width="0" style="1" hidden="1" customWidth="1"/>
    <col min="8440" max="8440" width="14.85546875" style="1" customWidth="1"/>
    <col min="8441" max="8442" width="0" style="1" hidden="1" customWidth="1"/>
    <col min="8443" max="8444" width="14.85546875" style="1" customWidth="1"/>
    <col min="8445" max="8445" width="44.42578125" style="1" customWidth="1"/>
    <col min="8446" max="8450" width="14.85546875" style="1" customWidth="1"/>
    <col min="8451" max="8451" width="63.85546875" style="1" customWidth="1"/>
    <col min="8452" max="8452" width="13.28515625" style="1" customWidth="1"/>
    <col min="8453" max="8638" width="9" style="1"/>
    <col min="8639" max="8640" width="0" style="1" hidden="1" customWidth="1"/>
    <col min="8641" max="8641" width="13.7109375" style="1" customWidth="1"/>
    <col min="8642" max="8642" width="52.85546875" style="1" customWidth="1"/>
    <col min="8643" max="8682" width="0" style="1" hidden="1" customWidth="1"/>
    <col min="8683" max="8684" width="14.85546875" style="1" customWidth="1"/>
    <col min="8685" max="8686" width="0" style="1" hidden="1" customWidth="1"/>
    <col min="8687" max="8687" width="14.85546875" style="1" customWidth="1"/>
    <col min="8688" max="8689" width="0" style="1" hidden="1" customWidth="1"/>
    <col min="8690" max="8690" width="14.85546875" style="1" customWidth="1"/>
    <col min="8691" max="8692" width="0" style="1" hidden="1" customWidth="1"/>
    <col min="8693" max="8693" width="14.85546875" style="1" customWidth="1"/>
    <col min="8694" max="8695" width="0" style="1" hidden="1" customWidth="1"/>
    <col min="8696" max="8696" width="14.85546875" style="1" customWidth="1"/>
    <col min="8697" max="8698" width="0" style="1" hidden="1" customWidth="1"/>
    <col min="8699" max="8700" width="14.85546875" style="1" customWidth="1"/>
    <col min="8701" max="8701" width="44.42578125" style="1" customWidth="1"/>
    <col min="8702" max="8706" width="14.85546875" style="1" customWidth="1"/>
    <col min="8707" max="8707" width="63.85546875" style="1" customWidth="1"/>
    <col min="8708" max="8708" width="13.28515625" style="1" customWidth="1"/>
    <col min="8709" max="8894" width="9" style="1"/>
    <col min="8895" max="8896" width="0" style="1" hidden="1" customWidth="1"/>
    <col min="8897" max="8897" width="13.7109375" style="1" customWidth="1"/>
    <col min="8898" max="8898" width="52.85546875" style="1" customWidth="1"/>
    <col min="8899" max="8938" width="0" style="1" hidden="1" customWidth="1"/>
    <col min="8939" max="8940" width="14.85546875" style="1" customWidth="1"/>
    <col min="8941" max="8942" width="0" style="1" hidden="1" customWidth="1"/>
    <col min="8943" max="8943" width="14.85546875" style="1" customWidth="1"/>
    <col min="8944" max="8945" width="0" style="1" hidden="1" customWidth="1"/>
    <col min="8946" max="8946" width="14.85546875" style="1" customWidth="1"/>
    <col min="8947" max="8948" width="0" style="1" hidden="1" customWidth="1"/>
    <col min="8949" max="8949" width="14.85546875" style="1" customWidth="1"/>
    <col min="8950" max="8951" width="0" style="1" hidden="1" customWidth="1"/>
    <col min="8952" max="8952" width="14.85546875" style="1" customWidth="1"/>
    <col min="8953" max="8954" width="0" style="1" hidden="1" customWidth="1"/>
    <col min="8955" max="8956" width="14.85546875" style="1" customWidth="1"/>
    <col min="8957" max="8957" width="44.42578125" style="1" customWidth="1"/>
    <col min="8958" max="8962" width="14.85546875" style="1" customWidth="1"/>
    <col min="8963" max="8963" width="63.85546875" style="1" customWidth="1"/>
    <col min="8964" max="8964" width="13.28515625" style="1" customWidth="1"/>
    <col min="8965" max="9150" width="9" style="1"/>
    <col min="9151" max="9152" width="0" style="1" hidden="1" customWidth="1"/>
    <col min="9153" max="9153" width="13.7109375" style="1" customWidth="1"/>
    <col min="9154" max="9154" width="52.85546875" style="1" customWidth="1"/>
    <col min="9155" max="9194" width="0" style="1" hidden="1" customWidth="1"/>
    <col min="9195" max="9196" width="14.85546875" style="1" customWidth="1"/>
    <col min="9197" max="9198" width="0" style="1" hidden="1" customWidth="1"/>
    <col min="9199" max="9199" width="14.85546875" style="1" customWidth="1"/>
    <col min="9200" max="9201" width="0" style="1" hidden="1" customWidth="1"/>
    <col min="9202" max="9202" width="14.85546875" style="1" customWidth="1"/>
    <col min="9203" max="9204" width="0" style="1" hidden="1" customWidth="1"/>
    <col min="9205" max="9205" width="14.85546875" style="1" customWidth="1"/>
    <col min="9206" max="9207" width="0" style="1" hidden="1" customWidth="1"/>
    <col min="9208" max="9208" width="14.85546875" style="1" customWidth="1"/>
    <col min="9209" max="9210" width="0" style="1" hidden="1" customWidth="1"/>
    <col min="9211" max="9212" width="14.85546875" style="1" customWidth="1"/>
    <col min="9213" max="9213" width="44.42578125" style="1" customWidth="1"/>
    <col min="9214" max="9218" width="14.85546875" style="1" customWidth="1"/>
    <col min="9219" max="9219" width="63.85546875" style="1" customWidth="1"/>
    <col min="9220" max="9220" width="13.28515625" style="1" customWidth="1"/>
    <col min="9221" max="9406" width="9" style="1"/>
    <col min="9407" max="9408" width="0" style="1" hidden="1" customWidth="1"/>
    <col min="9409" max="9409" width="13.7109375" style="1" customWidth="1"/>
    <col min="9410" max="9410" width="52.85546875" style="1" customWidth="1"/>
    <col min="9411" max="9450" width="0" style="1" hidden="1" customWidth="1"/>
    <col min="9451" max="9452" width="14.85546875" style="1" customWidth="1"/>
    <col min="9453" max="9454" width="0" style="1" hidden="1" customWidth="1"/>
    <col min="9455" max="9455" width="14.85546875" style="1" customWidth="1"/>
    <col min="9456" max="9457" width="0" style="1" hidden="1" customWidth="1"/>
    <col min="9458" max="9458" width="14.85546875" style="1" customWidth="1"/>
    <col min="9459" max="9460" width="0" style="1" hidden="1" customWidth="1"/>
    <col min="9461" max="9461" width="14.85546875" style="1" customWidth="1"/>
    <col min="9462" max="9463" width="0" style="1" hidden="1" customWidth="1"/>
    <col min="9464" max="9464" width="14.85546875" style="1" customWidth="1"/>
    <col min="9465" max="9466" width="0" style="1" hidden="1" customWidth="1"/>
    <col min="9467" max="9468" width="14.85546875" style="1" customWidth="1"/>
    <col min="9469" max="9469" width="44.42578125" style="1" customWidth="1"/>
    <col min="9470" max="9474" width="14.85546875" style="1" customWidth="1"/>
    <col min="9475" max="9475" width="63.85546875" style="1" customWidth="1"/>
    <col min="9476" max="9476" width="13.28515625" style="1" customWidth="1"/>
    <col min="9477" max="9662" width="9" style="1"/>
    <col min="9663" max="9664" width="0" style="1" hidden="1" customWidth="1"/>
    <col min="9665" max="9665" width="13.7109375" style="1" customWidth="1"/>
    <col min="9666" max="9666" width="52.85546875" style="1" customWidth="1"/>
    <col min="9667" max="9706" width="0" style="1" hidden="1" customWidth="1"/>
    <col min="9707" max="9708" width="14.85546875" style="1" customWidth="1"/>
    <col min="9709" max="9710" width="0" style="1" hidden="1" customWidth="1"/>
    <col min="9711" max="9711" width="14.85546875" style="1" customWidth="1"/>
    <col min="9712" max="9713" width="0" style="1" hidden="1" customWidth="1"/>
    <col min="9714" max="9714" width="14.85546875" style="1" customWidth="1"/>
    <col min="9715" max="9716" width="0" style="1" hidden="1" customWidth="1"/>
    <col min="9717" max="9717" width="14.85546875" style="1" customWidth="1"/>
    <col min="9718" max="9719" width="0" style="1" hidden="1" customWidth="1"/>
    <col min="9720" max="9720" width="14.85546875" style="1" customWidth="1"/>
    <col min="9721" max="9722" width="0" style="1" hidden="1" customWidth="1"/>
    <col min="9723" max="9724" width="14.85546875" style="1" customWidth="1"/>
    <col min="9725" max="9725" width="44.42578125" style="1" customWidth="1"/>
    <col min="9726" max="9730" width="14.85546875" style="1" customWidth="1"/>
    <col min="9731" max="9731" width="63.85546875" style="1" customWidth="1"/>
    <col min="9732" max="9732" width="13.28515625" style="1" customWidth="1"/>
    <col min="9733" max="9918" width="9" style="1"/>
    <col min="9919" max="9920" width="0" style="1" hidden="1" customWidth="1"/>
    <col min="9921" max="9921" width="13.7109375" style="1" customWidth="1"/>
    <col min="9922" max="9922" width="52.85546875" style="1" customWidth="1"/>
    <col min="9923" max="9962" width="0" style="1" hidden="1" customWidth="1"/>
    <col min="9963" max="9964" width="14.85546875" style="1" customWidth="1"/>
    <col min="9965" max="9966" width="0" style="1" hidden="1" customWidth="1"/>
    <col min="9967" max="9967" width="14.85546875" style="1" customWidth="1"/>
    <col min="9968" max="9969" width="0" style="1" hidden="1" customWidth="1"/>
    <col min="9970" max="9970" width="14.85546875" style="1" customWidth="1"/>
    <col min="9971" max="9972" width="0" style="1" hidden="1" customWidth="1"/>
    <col min="9973" max="9973" width="14.85546875" style="1" customWidth="1"/>
    <col min="9974" max="9975" width="0" style="1" hidden="1" customWidth="1"/>
    <col min="9976" max="9976" width="14.85546875" style="1" customWidth="1"/>
    <col min="9977" max="9978" width="0" style="1" hidden="1" customWidth="1"/>
    <col min="9979" max="9980" width="14.85546875" style="1" customWidth="1"/>
    <col min="9981" max="9981" width="44.42578125" style="1" customWidth="1"/>
    <col min="9982" max="9986" width="14.85546875" style="1" customWidth="1"/>
    <col min="9987" max="9987" width="63.85546875" style="1" customWidth="1"/>
    <col min="9988" max="9988" width="13.28515625" style="1" customWidth="1"/>
    <col min="9989" max="10174" width="9" style="1"/>
    <col min="10175" max="10176" width="0" style="1" hidden="1" customWidth="1"/>
    <col min="10177" max="10177" width="13.7109375" style="1" customWidth="1"/>
    <col min="10178" max="10178" width="52.85546875" style="1" customWidth="1"/>
    <col min="10179" max="10218" width="0" style="1" hidden="1" customWidth="1"/>
    <col min="10219" max="10220" width="14.85546875" style="1" customWidth="1"/>
    <col min="10221" max="10222" width="0" style="1" hidden="1" customWidth="1"/>
    <col min="10223" max="10223" width="14.85546875" style="1" customWidth="1"/>
    <col min="10224" max="10225" width="0" style="1" hidden="1" customWidth="1"/>
    <col min="10226" max="10226" width="14.85546875" style="1" customWidth="1"/>
    <col min="10227" max="10228" width="0" style="1" hidden="1" customWidth="1"/>
    <col min="10229" max="10229" width="14.85546875" style="1" customWidth="1"/>
    <col min="10230" max="10231" width="0" style="1" hidden="1" customWidth="1"/>
    <col min="10232" max="10232" width="14.85546875" style="1" customWidth="1"/>
    <col min="10233" max="10234" width="0" style="1" hidden="1" customWidth="1"/>
    <col min="10235" max="10236" width="14.85546875" style="1" customWidth="1"/>
    <col min="10237" max="10237" width="44.42578125" style="1" customWidth="1"/>
    <col min="10238" max="10242" width="14.85546875" style="1" customWidth="1"/>
    <col min="10243" max="10243" width="63.85546875" style="1" customWidth="1"/>
    <col min="10244" max="10244" width="13.28515625" style="1" customWidth="1"/>
    <col min="10245" max="10430" width="9" style="1"/>
    <col min="10431" max="10432" width="0" style="1" hidden="1" customWidth="1"/>
    <col min="10433" max="10433" width="13.7109375" style="1" customWidth="1"/>
    <col min="10434" max="10434" width="52.85546875" style="1" customWidth="1"/>
    <col min="10435" max="10474" width="0" style="1" hidden="1" customWidth="1"/>
    <col min="10475" max="10476" width="14.85546875" style="1" customWidth="1"/>
    <col min="10477" max="10478" width="0" style="1" hidden="1" customWidth="1"/>
    <col min="10479" max="10479" width="14.85546875" style="1" customWidth="1"/>
    <col min="10480" max="10481" width="0" style="1" hidden="1" customWidth="1"/>
    <col min="10482" max="10482" width="14.85546875" style="1" customWidth="1"/>
    <col min="10483" max="10484" width="0" style="1" hidden="1" customWidth="1"/>
    <col min="10485" max="10485" width="14.85546875" style="1" customWidth="1"/>
    <col min="10486" max="10487" width="0" style="1" hidden="1" customWidth="1"/>
    <col min="10488" max="10488" width="14.85546875" style="1" customWidth="1"/>
    <col min="10489" max="10490" width="0" style="1" hidden="1" customWidth="1"/>
    <col min="10491" max="10492" width="14.85546875" style="1" customWidth="1"/>
    <col min="10493" max="10493" width="44.42578125" style="1" customWidth="1"/>
    <col min="10494" max="10498" width="14.85546875" style="1" customWidth="1"/>
    <col min="10499" max="10499" width="63.85546875" style="1" customWidth="1"/>
    <col min="10500" max="10500" width="13.28515625" style="1" customWidth="1"/>
    <col min="10501" max="10686" width="9" style="1"/>
    <col min="10687" max="10688" width="0" style="1" hidden="1" customWidth="1"/>
    <col min="10689" max="10689" width="13.7109375" style="1" customWidth="1"/>
    <col min="10690" max="10690" width="52.85546875" style="1" customWidth="1"/>
    <col min="10691" max="10730" width="0" style="1" hidden="1" customWidth="1"/>
    <col min="10731" max="10732" width="14.85546875" style="1" customWidth="1"/>
    <col min="10733" max="10734" width="0" style="1" hidden="1" customWidth="1"/>
    <col min="10735" max="10735" width="14.85546875" style="1" customWidth="1"/>
    <col min="10736" max="10737" width="0" style="1" hidden="1" customWidth="1"/>
    <col min="10738" max="10738" width="14.85546875" style="1" customWidth="1"/>
    <col min="10739" max="10740" width="0" style="1" hidden="1" customWidth="1"/>
    <col min="10741" max="10741" width="14.85546875" style="1" customWidth="1"/>
    <col min="10742" max="10743" width="0" style="1" hidden="1" customWidth="1"/>
    <col min="10744" max="10744" width="14.85546875" style="1" customWidth="1"/>
    <col min="10745" max="10746" width="0" style="1" hidden="1" customWidth="1"/>
    <col min="10747" max="10748" width="14.85546875" style="1" customWidth="1"/>
    <col min="10749" max="10749" width="44.42578125" style="1" customWidth="1"/>
    <col min="10750" max="10754" width="14.85546875" style="1" customWidth="1"/>
    <col min="10755" max="10755" width="63.85546875" style="1" customWidth="1"/>
    <col min="10756" max="10756" width="13.28515625" style="1" customWidth="1"/>
    <col min="10757" max="10942" width="9" style="1"/>
    <col min="10943" max="10944" width="0" style="1" hidden="1" customWidth="1"/>
    <col min="10945" max="10945" width="13.7109375" style="1" customWidth="1"/>
    <col min="10946" max="10946" width="52.85546875" style="1" customWidth="1"/>
    <col min="10947" max="10986" width="0" style="1" hidden="1" customWidth="1"/>
    <col min="10987" max="10988" width="14.85546875" style="1" customWidth="1"/>
    <col min="10989" max="10990" width="0" style="1" hidden="1" customWidth="1"/>
    <col min="10991" max="10991" width="14.85546875" style="1" customWidth="1"/>
    <col min="10992" max="10993" width="0" style="1" hidden="1" customWidth="1"/>
    <col min="10994" max="10994" width="14.85546875" style="1" customWidth="1"/>
    <col min="10995" max="10996" width="0" style="1" hidden="1" customWidth="1"/>
    <col min="10997" max="10997" width="14.85546875" style="1" customWidth="1"/>
    <col min="10998" max="10999" width="0" style="1" hidden="1" customWidth="1"/>
    <col min="11000" max="11000" width="14.85546875" style="1" customWidth="1"/>
    <col min="11001" max="11002" width="0" style="1" hidden="1" customWidth="1"/>
    <col min="11003" max="11004" width="14.85546875" style="1" customWidth="1"/>
    <col min="11005" max="11005" width="44.42578125" style="1" customWidth="1"/>
    <col min="11006" max="11010" width="14.85546875" style="1" customWidth="1"/>
    <col min="11011" max="11011" width="63.85546875" style="1" customWidth="1"/>
    <col min="11012" max="11012" width="13.28515625" style="1" customWidth="1"/>
    <col min="11013" max="11198" width="9" style="1"/>
    <col min="11199" max="11200" width="0" style="1" hidden="1" customWidth="1"/>
    <col min="11201" max="11201" width="13.7109375" style="1" customWidth="1"/>
    <col min="11202" max="11202" width="52.85546875" style="1" customWidth="1"/>
    <col min="11203" max="11242" width="0" style="1" hidden="1" customWidth="1"/>
    <col min="11243" max="11244" width="14.85546875" style="1" customWidth="1"/>
    <col min="11245" max="11246" width="0" style="1" hidden="1" customWidth="1"/>
    <col min="11247" max="11247" width="14.85546875" style="1" customWidth="1"/>
    <col min="11248" max="11249" width="0" style="1" hidden="1" customWidth="1"/>
    <col min="11250" max="11250" width="14.85546875" style="1" customWidth="1"/>
    <col min="11251" max="11252" width="0" style="1" hidden="1" customWidth="1"/>
    <col min="11253" max="11253" width="14.85546875" style="1" customWidth="1"/>
    <col min="11254" max="11255" width="0" style="1" hidden="1" customWidth="1"/>
    <col min="11256" max="11256" width="14.85546875" style="1" customWidth="1"/>
    <col min="11257" max="11258" width="0" style="1" hidden="1" customWidth="1"/>
    <col min="11259" max="11260" width="14.85546875" style="1" customWidth="1"/>
    <col min="11261" max="11261" width="44.42578125" style="1" customWidth="1"/>
    <col min="11262" max="11266" width="14.85546875" style="1" customWidth="1"/>
    <col min="11267" max="11267" width="63.85546875" style="1" customWidth="1"/>
    <col min="11268" max="11268" width="13.28515625" style="1" customWidth="1"/>
    <col min="11269" max="11454" width="9" style="1"/>
    <col min="11455" max="11456" width="0" style="1" hidden="1" customWidth="1"/>
    <col min="11457" max="11457" width="13.7109375" style="1" customWidth="1"/>
    <col min="11458" max="11458" width="52.85546875" style="1" customWidth="1"/>
    <col min="11459" max="11498" width="0" style="1" hidden="1" customWidth="1"/>
    <col min="11499" max="11500" width="14.85546875" style="1" customWidth="1"/>
    <col min="11501" max="11502" width="0" style="1" hidden="1" customWidth="1"/>
    <col min="11503" max="11503" width="14.85546875" style="1" customWidth="1"/>
    <col min="11504" max="11505" width="0" style="1" hidden="1" customWidth="1"/>
    <col min="11506" max="11506" width="14.85546875" style="1" customWidth="1"/>
    <col min="11507" max="11508" width="0" style="1" hidden="1" customWidth="1"/>
    <col min="11509" max="11509" width="14.85546875" style="1" customWidth="1"/>
    <col min="11510" max="11511" width="0" style="1" hidden="1" customWidth="1"/>
    <col min="11512" max="11512" width="14.85546875" style="1" customWidth="1"/>
    <col min="11513" max="11514" width="0" style="1" hidden="1" customWidth="1"/>
    <col min="11515" max="11516" width="14.85546875" style="1" customWidth="1"/>
    <col min="11517" max="11517" width="44.42578125" style="1" customWidth="1"/>
    <col min="11518" max="11522" width="14.85546875" style="1" customWidth="1"/>
    <col min="11523" max="11523" width="63.85546875" style="1" customWidth="1"/>
    <col min="11524" max="11524" width="13.28515625" style="1" customWidth="1"/>
    <col min="11525" max="11710" width="9" style="1"/>
    <col min="11711" max="11712" width="0" style="1" hidden="1" customWidth="1"/>
    <col min="11713" max="11713" width="13.7109375" style="1" customWidth="1"/>
    <col min="11714" max="11714" width="52.85546875" style="1" customWidth="1"/>
    <col min="11715" max="11754" width="0" style="1" hidden="1" customWidth="1"/>
    <col min="11755" max="11756" width="14.85546875" style="1" customWidth="1"/>
    <col min="11757" max="11758" width="0" style="1" hidden="1" customWidth="1"/>
    <col min="11759" max="11759" width="14.85546875" style="1" customWidth="1"/>
    <col min="11760" max="11761" width="0" style="1" hidden="1" customWidth="1"/>
    <col min="11762" max="11762" width="14.85546875" style="1" customWidth="1"/>
    <col min="11763" max="11764" width="0" style="1" hidden="1" customWidth="1"/>
    <col min="11765" max="11765" width="14.85546875" style="1" customWidth="1"/>
    <col min="11766" max="11767" width="0" style="1" hidden="1" customWidth="1"/>
    <col min="11768" max="11768" width="14.85546875" style="1" customWidth="1"/>
    <col min="11769" max="11770" width="0" style="1" hidden="1" customWidth="1"/>
    <col min="11771" max="11772" width="14.85546875" style="1" customWidth="1"/>
    <col min="11773" max="11773" width="44.42578125" style="1" customWidth="1"/>
    <col min="11774" max="11778" width="14.85546875" style="1" customWidth="1"/>
    <col min="11779" max="11779" width="63.85546875" style="1" customWidth="1"/>
    <col min="11780" max="11780" width="13.28515625" style="1" customWidth="1"/>
    <col min="11781" max="11966" width="9" style="1"/>
    <col min="11967" max="11968" width="0" style="1" hidden="1" customWidth="1"/>
    <col min="11969" max="11969" width="13.7109375" style="1" customWidth="1"/>
    <col min="11970" max="11970" width="52.85546875" style="1" customWidth="1"/>
    <col min="11971" max="12010" width="0" style="1" hidden="1" customWidth="1"/>
    <col min="12011" max="12012" width="14.85546875" style="1" customWidth="1"/>
    <col min="12013" max="12014" width="0" style="1" hidden="1" customWidth="1"/>
    <col min="12015" max="12015" width="14.85546875" style="1" customWidth="1"/>
    <col min="12016" max="12017" width="0" style="1" hidden="1" customWidth="1"/>
    <col min="12018" max="12018" width="14.85546875" style="1" customWidth="1"/>
    <col min="12019" max="12020" width="0" style="1" hidden="1" customWidth="1"/>
    <col min="12021" max="12021" width="14.85546875" style="1" customWidth="1"/>
    <col min="12022" max="12023" width="0" style="1" hidden="1" customWidth="1"/>
    <col min="12024" max="12024" width="14.85546875" style="1" customWidth="1"/>
    <col min="12025" max="12026" width="0" style="1" hidden="1" customWidth="1"/>
    <col min="12027" max="12028" width="14.85546875" style="1" customWidth="1"/>
    <col min="12029" max="12029" width="44.42578125" style="1" customWidth="1"/>
    <col min="12030" max="12034" width="14.85546875" style="1" customWidth="1"/>
    <col min="12035" max="12035" width="63.85546875" style="1" customWidth="1"/>
    <col min="12036" max="12036" width="13.28515625" style="1" customWidth="1"/>
    <col min="12037" max="12222" width="9" style="1"/>
    <col min="12223" max="12224" width="0" style="1" hidden="1" customWidth="1"/>
    <col min="12225" max="12225" width="13.7109375" style="1" customWidth="1"/>
    <col min="12226" max="12226" width="52.85546875" style="1" customWidth="1"/>
    <col min="12227" max="12266" width="0" style="1" hidden="1" customWidth="1"/>
    <col min="12267" max="12268" width="14.85546875" style="1" customWidth="1"/>
    <col min="12269" max="12270" width="0" style="1" hidden="1" customWidth="1"/>
    <col min="12271" max="12271" width="14.85546875" style="1" customWidth="1"/>
    <col min="12272" max="12273" width="0" style="1" hidden="1" customWidth="1"/>
    <col min="12274" max="12274" width="14.85546875" style="1" customWidth="1"/>
    <col min="12275" max="12276" width="0" style="1" hidden="1" customWidth="1"/>
    <col min="12277" max="12277" width="14.85546875" style="1" customWidth="1"/>
    <col min="12278" max="12279" width="0" style="1" hidden="1" customWidth="1"/>
    <col min="12280" max="12280" width="14.85546875" style="1" customWidth="1"/>
    <col min="12281" max="12282" width="0" style="1" hidden="1" customWidth="1"/>
    <col min="12283" max="12284" width="14.85546875" style="1" customWidth="1"/>
    <col min="12285" max="12285" width="44.42578125" style="1" customWidth="1"/>
    <col min="12286" max="12290" width="14.85546875" style="1" customWidth="1"/>
    <col min="12291" max="12291" width="63.85546875" style="1" customWidth="1"/>
    <col min="12292" max="12292" width="13.28515625" style="1" customWidth="1"/>
    <col min="12293" max="12478" width="9" style="1"/>
    <col min="12479" max="12480" width="0" style="1" hidden="1" customWidth="1"/>
    <col min="12481" max="12481" width="13.7109375" style="1" customWidth="1"/>
    <col min="12482" max="12482" width="52.85546875" style="1" customWidth="1"/>
    <col min="12483" max="12522" width="0" style="1" hidden="1" customWidth="1"/>
    <col min="12523" max="12524" width="14.85546875" style="1" customWidth="1"/>
    <col min="12525" max="12526" width="0" style="1" hidden="1" customWidth="1"/>
    <col min="12527" max="12527" width="14.85546875" style="1" customWidth="1"/>
    <col min="12528" max="12529" width="0" style="1" hidden="1" customWidth="1"/>
    <col min="12530" max="12530" width="14.85546875" style="1" customWidth="1"/>
    <col min="12531" max="12532" width="0" style="1" hidden="1" customWidth="1"/>
    <col min="12533" max="12533" width="14.85546875" style="1" customWidth="1"/>
    <col min="12534" max="12535" width="0" style="1" hidden="1" customWidth="1"/>
    <col min="12536" max="12536" width="14.85546875" style="1" customWidth="1"/>
    <col min="12537" max="12538" width="0" style="1" hidden="1" customWidth="1"/>
    <col min="12539" max="12540" width="14.85546875" style="1" customWidth="1"/>
    <col min="12541" max="12541" width="44.42578125" style="1" customWidth="1"/>
    <col min="12542" max="12546" width="14.85546875" style="1" customWidth="1"/>
    <col min="12547" max="12547" width="63.85546875" style="1" customWidth="1"/>
    <col min="12548" max="12548" width="13.28515625" style="1" customWidth="1"/>
    <col min="12549" max="12734" width="9" style="1"/>
    <col min="12735" max="12736" width="0" style="1" hidden="1" customWidth="1"/>
    <col min="12737" max="12737" width="13.7109375" style="1" customWidth="1"/>
    <col min="12738" max="12738" width="52.85546875" style="1" customWidth="1"/>
    <col min="12739" max="12778" width="0" style="1" hidden="1" customWidth="1"/>
    <col min="12779" max="12780" width="14.85546875" style="1" customWidth="1"/>
    <col min="12781" max="12782" width="0" style="1" hidden="1" customWidth="1"/>
    <col min="12783" max="12783" width="14.85546875" style="1" customWidth="1"/>
    <col min="12784" max="12785" width="0" style="1" hidden="1" customWidth="1"/>
    <col min="12786" max="12786" width="14.85546875" style="1" customWidth="1"/>
    <col min="12787" max="12788" width="0" style="1" hidden="1" customWidth="1"/>
    <col min="12789" max="12789" width="14.85546875" style="1" customWidth="1"/>
    <col min="12790" max="12791" width="0" style="1" hidden="1" customWidth="1"/>
    <col min="12792" max="12792" width="14.85546875" style="1" customWidth="1"/>
    <col min="12793" max="12794" width="0" style="1" hidden="1" customWidth="1"/>
    <col min="12795" max="12796" width="14.85546875" style="1" customWidth="1"/>
    <col min="12797" max="12797" width="44.42578125" style="1" customWidth="1"/>
    <col min="12798" max="12802" width="14.85546875" style="1" customWidth="1"/>
    <col min="12803" max="12803" width="63.85546875" style="1" customWidth="1"/>
    <col min="12804" max="12804" width="13.28515625" style="1" customWidth="1"/>
    <col min="12805" max="12990" width="9" style="1"/>
    <col min="12991" max="12992" width="0" style="1" hidden="1" customWidth="1"/>
    <col min="12993" max="12993" width="13.7109375" style="1" customWidth="1"/>
    <col min="12994" max="12994" width="52.85546875" style="1" customWidth="1"/>
    <col min="12995" max="13034" width="0" style="1" hidden="1" customWidth="1"/>
    <col min="13035" max="13036" width="14.85546875" style="1" customWidth="1"/>
    <col min="13037" max="13038" width="0" style="1" hidden="1" customWidth="1"/>
    <col min="13039" max="13039" width="14.85546875" style="1" customWidth="1"/>
    <col min="13040" max="13041" width="0" style="1" hidden="1" customWidth="1"/>
    <col min="13042" max="13042" width="14.85546875" style="1" customWidth="1"/>
    <col min="13043" max="13044" width="0" style="1" hidden="1" customWidth="1"/>
    <col min="13045" max="13045" width="14.85546875" style="1" customWidth="1"/>
    <col min="13046" max="13047" width="0" style="1" hidden="1" customWidth="1"/>
    <col min="13048" max="13048" width="14.85546875" style="1" customWidth="1"/>
    <col min="13049" max="13050" width="0" style="1" hidden="1" customWidth="1"/>
    <col min="13051" max="13052" width="14.85546875" style="1" customWidth="1"/>
    <col min="13053" max="13053" width="44.42578125" style="1" customWidth="1"/>
    <col min="13054" max="13058" width="14.85546875" style="1" customWidth="1"/>
    <col min="13059" max="13059" width="63.85546875" style="1" customWidth="1"/>
    <col min="13060" max="13060" width="13.28515625" style="1" customWidth="1"/>
    <col min="13061" max="13246" width="9" style="1"/>
    <col min="13247" max="13248" width="0" style="1" hidden="1" customWidth="1"/>
    <col min="13249" max="13249" width="13.7109375" style="1" customWidth="1"/>
    <col min="13250" max="13250" width="52.85546875" style="1" customWidth="1"/>
    <col min="13251" max="13290" width="0" style="1" hidden="1" customWidth="1"/>
    <col min="13291" max="13292" width="14.85546875" style="1" customWidth="1"/>
    <col min="13293" max="13294" width="0" style="1" hidden="1" customWidth="1"/>
    <col min="13295" max="13295" width="14.85546875" style="1" customWidth="1"/>
    <col min="13296" max="13297" width="0" style="1" hidden="1" customWidth="1"/>
    <col min="13298" max="13298" width="14.85546875" style="1" customWidth="1"/>
    <col min="13299" max="13300" width="0" style="1" hidden="1" customWidth="1"/>
    <col min="13301" max="13301" width="14.85546875" style="1" customWidth="1"/>
    <col min="13302" max="13303" width="0" style="1" hidden="1" customWidth="1"/>
    <col min="13304" max="13304" width="14.85546875" style="1" customWidth="1"/>
    <col min="13305" max="13306" width="0" style="1" hidden="1" customWidth="1"/>
    <col min="13307" max="13308" width="14.85546875" style="1" customWidth="1"/>
    <col min="13309" max="13309" width="44.42578125" style="1" customWidth="1"/>
    <col min="13310" max="13314" width="14.85546875" style="1" customWidth="1"/>
    <col min="13315" max="13315" width="63.85546875" style="1" customWidth="1"/>
    <col min="13316" max="13316" width="13.28515625" style="1" customWidth="1"/>
    <col min="13317" max="13502" width="9" style="1"/>
    <col min="13503" max="13504" width="0" style="1" hidden="1" customWidth="1"/>
    <col min="13505" max="13505" width="13.7109375" style="1" customWidth="1"/>
    <col min="13506" max="13506" width="52.85546875" style="1" customWidth="1"/>
    <col min="13507" max="13546" width="0" style="1" hidden="1" customWidth="1"/>
    <col min="13547" max="13548" width="14.85546875" style="1" customWidth="1"/>
    <col min="13549" max="13550" width="0" style="1" hidden="1" customWidth="1"/>
    <col min="13551" max="13551" width="14.85546875" style="1" customWidth="1"/>
    <col min="13552" max="13553" width="0" style="1" hidden="1" customWidth="1"/>
    <col min="13554" max="13554" width="14.85546875" style="1" customWidth="1"/>
    <col min="13555" max="13556" width="0" style="1" hidden="1" customWidth="1"/>
    <col min="13557" max="13557" width="14.85546875" style="1" customWidth="1"/>
    <col min="13558" max="13559" width="0" style="1" hidden="1" customWidth="1"/>
    <col min="13560" max="13560" width="14.85546875" style="1" customWidth="1"/>
    <col min="13561" max="13562" width="0" style="1" hidden="1" customWidth="1"/>
    <col min="13563" max="13564" width="14.85546875" style="1" customWidth="1"/>
    <col min="13565" max="13565" width="44.42578125" style="1" customWidth="1"/>
    <col min="13566" max="13570" width="14.85546875" style="1" customWidth="1"/>
    <col min="13571" max="13571" width="63.85546875" style="1" customWidth="1"/>
    <col min="13572" max="13572" width="13.28515625" style="1" customWidth="1"/>
    <col min="13573" max="13758" width="9" style="1"/>
    <col min="13759" max="13760" width="0" style="1" hidden="1" customWidth="1"/>
    <col min="13761" max="13761" width="13.7109375" style="1" customWidth="1"/>
    <col min="13762" max="13762" width="52.85546875" style="1" customWidth="1"/>
    <col min="13763" max="13802" width="0" style="1" hidden="1" customWidth="1"/>
    <col min="13803" max="13804" width="14.85546875" style="1" customWidth="1"/>
    <col min="13805" max="13806" width="0" style="1" hidden="1" customWidth="1"/>
    <col min="13807" max="13807" width="14.85546875" style="1" customWidth="1"/>
    <col min="13808" max="13809" width="0" style="1" hidden="1" customWidth="1"/>
    <col min="13810" max="13810" width="14.85546875" style="1" customWidth="1"/>
    <col min="13811" max="13812" width="0" style="1" hidden="1" customWidth="1"/>
    <col min="13813" max="13813" width="14.85546875" style="1" customWidth="1"/>
    <col min="13814" max="13815" width="0" style="1" hidden="1" customWidth="1"/>
    <col min="13816" max="13816" width="14.85546875" style="1" customWidth="1"/>
    <col min="13817" max="13818" width="0" style="1" hidden="1" customWidth="1"/>
    <col min="13819" max="13820" width="14.85546875" style="1" customWidth="1"/>
    <col min="13821" max="13821" width="44.42578125" style="1" customWidth="1"/>
    <col min="13822" max="13826" width="14.85546875" style="1" customWidth="1"/>
    <col min="13827" max="13827" width="63.85546875" style="1" customWidth="1"/>
    <col min="13828" max="13828" width="13.28515625" style="1" customWidth="1"/>
    <col min="13829" max="14014" width="9" style="1"/>
    <col min="14015" max="14016" width="0" style="1" hidden="1" customWidth="1"/>
    <col min="14017" max="14017" width="13.7109375" style="1" customWidth="1"/>
    <col min="14018" max="14018" width="52.85546875" style="1" customWidth="1"/>
    <col min="14019" max="14058" width="0" style="1" hidden="1" customWidth="1"/>
    <col min="14059" max="14060" width="14.85546875" style="1" customWidth="1"/>
    <col min="14061" max="14062" width="0" style="1" hidden="1" customWidth="1"/>
    <col min="14063" max="14063" width="14.85546875" style="1" customWidth="1"/>
    <col min="14064" max="14065" width="0" style="1" hidden="1" customWidth="1"/>
    <col min="14066" max="14066" width="14.85546875" style="1" customWidth="1"/>
    <col min="14067" max="14068" width="0" style="1" hidden="1" customWidth="1"/>
    <col min="14069" max="14069" width="14.85546875" style="1" customWidth="1"/>
    <col min="14070" max="14071" width="0" style="1" hidden="1" customWidth="1"/>
    <col min="14072" max="14072" width="14.85546875" style="1" customWidth="1"/>
    <col min="14073" max="14074" width="0" style="1" hidden="1" customWidth="1"/>
    <col min="14075" max="14076" width="14.85546875" style="1" customWidth="1"/>
    <col min="14077" max="14077" width="44.42578125" style="1" customWidth="1"/>
    <col min="14078" max="14082" width="14.85546875" style="1" customWidth="1"/>
    <col min="14083" max="14083" width="63.85546875" style="1" customWidth="1"/>
    <col min="14084" max="14084" width="13.28515625" style="1" customWidth="1"/>
    <col min="14085" max="14270" width="9" style="1"/>
    <col min="14271" max="14272" width="0" style="1" hidden="1" customWidth="1"/>
    <col min="14273" max="14273" width="13.7109375" style="1" customWidth="1"/>
    <col min="14274" max="14274" width="52.85546875" style="1" customWidth="1"/>
    <col min="14275" max="14314" width="0" style="1" hidden="1" customWidth="1"/>
    <col min="14315" max="14316" width="14.85546875" style="1" customWidth="1"/>
    <col min="14317" max="14318" width="0" style="1" hidden="1" customWidth="1"/>
    <col min="14319" max="14319" width="14.85546875" style="1" customWidth="1"/>
    <col min="14320" max="14321" width="0" style="1" hidden="1" customWidth="1"/>
    <col min="14322" max="14322" width="14.85546875" style="1" customWidth="1"/>
    <col min="14323" max="14324" width="0" style="1" hidden="1" customWidth="1"/>
    <col min="14325" max="14325" width="14.85546875" style="1" customWidth="1"/>
    <col min="14326" max="14327" width="0" style="1" hidden="1" customWidth="1"/>
    <col min="14328" max="14328" width="14.85546875" style="1" customWidth="1"/>
    <col min="14329" max="14330" width="0" style="1" hidden="1" customWidth="1"/>
    <col min="14331" max="14332" width="14.85546875" style="1" customWidth="1"/>
    <col min="14333" max="14333" width="44.42578125" style="1" customWidth="1"/>
    <col min="14334" max="14338" width="14.85546875" style="1" customWidth="1"/>
    <col min="14339" max="14339" width="63.85546875" style="1" customWidth="1"/>
    <col min="14340" max="14340" width="13.28515625" style="1" customWidth="1"/>
    <col min="14341" max="14526" width="9" style="1"/>
    <col min="14527" max="14528" width="0" style="1" hidden="1" customWidth="1"/>
    <col min="14529" max="14529" width="13.7109375" style="1" customWidth="1"/>
    <col min="14530" max="14530" width="52.85546875" style="1" customWidth="1"/>
    <col min="14531" max="14570" width="0" style="1" hidden="1" customWidth="1"/>
    <col min="14571" max="14572" width="14.85546875" style="1" customWidth="1"/>
    <col min="14573" max="14574" width="0" style="1" hidden="1" customWidth="1"/>
    <col min="14575" max="14575" width="14.85546875" style="1" customWidth="1"/>
    <col min="14576" max="14577" width="0" style="1" hidden="1" customWidth="1"/>
    <col min="14578" max="14578" width="14.85546875" style="1" customWidth="1"/>
    <col min="14579" max="14580" width="0" style="1" hidden="1" customWidth="1"/>
    <col min="14581" max="14581" width="14.85546875" style="1" customWidth="1"/>
    <col min="14582" max="14583" width="0" style="1" hidden="1" customWidth="1"/>
    <col min="14584" max="14584" width="14.85546875" style="1" customWidth="1"/>
    <col min="14585" max="14586" width="0" style="1" hidden="1" customWidth="1"/>
    <col min="14587" max="14588" width="14.85546875" style="1" customWidth="1"/>
    <col min="14589" max="14589" width="44.42578125" style="1" customWidth="1"/>
    <col min="14590" max="14594" width="14.85546875" style="1" customWidth="1"/>
    <col min="14595" max="14595" width="63.85546875" style="1" customWidth="1"/>
    <col min="14596" max="14596" width="13.28515625" style="1" customWidth="1"/>
    <col min="14597" max="14782" width="9" style="1"/>
    <col min="14783" max="14784" width="0" style="1" hidden="1" customWidth="1"/>
    <col min="14785" max="14785" width="13.7109375" style="1" customWidth="1"/>
    <col min="14786" max="14786" width="52.85546875" style="1" customWidth="1"/>
    <col min="14787" max="14826" width="0" style="1" hidden="1" customWidth="1"/>
    <col min="14827" max="14828" width="14.85546875" style="1" customWidth="1"/>
    <col min="14829" max="14830" width="0" style="1" hidden="1" customWidth="1"/>
    <col min="14831" max="14831" width="14.85546875" style="1" customWidth="1"/>
    <col min="14832" max="14833" width="0" style="1" hidden="1" customWidth="1"/>
    <col min="14834" max="14834" width="14.85546875" style="1" customWidth="1"/>
    <col min="14835" max="14836" width="0" style="1" hidden="1" customWidth="1"/>
    <col min="14837" max="14837" width="14.85546875" style="1" customWidth="1"/>
    <col min="14838" max="14839" width="0" style="1" hidden="1" customWidth="1"/>
    <col min="14840" max="14840" width="14.85546875" style="1" customWidth="1"/>
    <col min="14841" max="14842" width="0" style="1" hidden="1" customWidth="1"/>
    <col min="14843" max="14844" width="14.85546875" style="1" customWidth="1"/>
    <col min="14845" max="14845" width="44.42578125" style="1" customWidth="1"/>
    <col min="14846" max="14850" width="14.85546875" style="1" customWidth="1"/>
    <col min="14851" max="14851" width="63.85546875" style="1" customWidth="1"/>
    <col min="14852" max="14852" width="13.28515625" style="1" customWidth="1"/>
    <col min="14853" max="15038" width="9" style="1"/>
    <col min="15039" max="15040" width="0" style="1" hidden="1" customWidth="1"/>
    <col min="15041" max="15041" width="13.7109375" style="1" customWidth="1"/>
    <col min="15042" max="15042" width="52.85546875" style="1" customWidth="1"/>
    <col min="15043" max="15082" width="0" style="1" hidden="1" customWidth="1"/>
    <col min="15083" max="15084" width="14.85546875" style="1" customWidth="1"/>
    <col min="15085" max="15086" width="0" style="1" hidden="1" customWidth="1"/>
    <col min="15087" max="15087" width="14.85546875" style="1" customWidth="1"/>
    <col min="15088" max="15089" width="0" style="1" hidden="1" customWidth="1"/>
    <col min="15090" max="15090" width="14.85546875" style="1" customWidth="1"/>
    <col min="15091" max="15092" width="0" style="1" hidden="1" customWidth="1"/>
    <col min="15093" max="15093" width="14.85546875" style="1" customWidth="1"/>
    <col min="15094" max="15095" width="0" style="1" hidden="1" customWidth="1"/>
    <col min="15096" max="15096" width="14.85546875" style="1" customWidth="1"/>
    <col min="15097" max="15098" width="0" style="1" hidden="1" customWidth="1"/>
    <col min="15099" max="15100" width="14.85546875" style="1" customWidth="1"/>
    <col min="15101" max="15101" width="44.42578125" style="1" customWidth="1"/>
    <col min="15102" max="15106" width="14.85546875" style="1" customWidth="1"/>
    <col min="15107" max="15107" width="63.85546875" style="1" customWidth="1"/>
    <col min="15108" max="15108" width="13.28515625" style="1" customWidth="1"/>
    <col min="15109" max="15294" width="9" style="1"/>
    <col min="15295" max="15296" width="0" style="1" hidden="1" customWidth="1"/>
    <col min="15297" max="15297" width="13.7109375" style="1" customWidth="1"/>
    <col min="15298" max="15298" width="52.85546875" style="1" customWidth="1"/>
    <col min="15299" max="15338" width="0" style="1" hidden="1" customWidth="1"/>
    <col min="15339" max="15340" width="14.85546875" style="1" customWidth="1"/>
    <col min="15341" max="15342" width="0" style="1" hidden="1" customWidth="1"/>
    <col min="15343" max="15343" width="14.85546875" style="1" customWidth="1"/>
    <col min="15344" max="15345" width="0" style="1" hidden="1" customWidth="1"/>
    <col min="15346" max="15346" width="14.85546875" style="1" customWidth="1"/>
    <col min="15347" max="15348" width="0" style="1" hidden="1" customWidth="1"/>
    <col min="15349" max="15349" width="14.85546875" style="1" customWidth="1"/>
    <col min="15350" max="15351" width="0" style="1" hidden="1" customWidth="1"/>
    <col min="15352" max="15352" width="14.85546875" style="1" customWidth="1"/>
    <col min="15353" max="15354" width="0" style="1" hidden="1" customWidth="1"/>
    <col min="15355" max="15356" width="14.85546875" style="1" customWidth="1"/>
    <col min="15357" max="15357" width="44.42578125" style="1" customWidth="1"/>
    <col min="15358" max="15362" width="14.85546875" style="1" customWidth="1"/>
    <col min="15363" max="15363" width="63.85546875" style="1" customWidth="1"/>
    <col min="15364" max="15364" width="13.28515625" style="1" customWidth="1"/>
    <col min="15365" max="15550" width="9" style="1"/>
    <col min="15551" max="15552" width="0" style="1" hidden="1" customWidth="1"/>
    <col min="15553" max="15553" width="13.7109375" style="1" customWidth="1"/>
    <col min="15554" max="15554" width="52.85546875" style="1" customWidth="1"/>
    <col min="15555" max="15594" width="0" style="1" hidden="1" customWidth="1"/>
    <col min="15595" max="15596" width="14.85546875" style="1" customWidth="1"/>
    <col min="15597" max="15598" width="0" style="1" hidden="1" customWidth="1"/>
    <col min="15599" max="15599" width="14.85546875" style="1" customWidth="1"/>
    <col min="15600" max="15601" width="0" style="1" hidden="1" customWidth="1"/>
    <col min="15602" max="15602" width="14.85546875" style="1" customWidth="1"/>
    <col min="15603" max="15604" width="0" style="1" hidden="1" customWidth="1"/>
    <col min="15605" max="15605" width="14.85546875" style="1" customWidth="1"/>
    <col min="15606" max="15607" width="0" style="1" hidden="1" customWidth="1"/>
    <col min="15608" max="15608" width="14.85546875" style="1" customWidth="1"/>
    <col min="15609" max="15610" width="0" style="1" hidden="1" customWidth="1"/>
    <col min="15611" max="15612" width="14.85546875" style="1" customWidth="1"/>
    <col min="15613" max="15613" width="44.42578125" style="1" customWidth="1"/>
    <col min="15614" max="15618" width="14.85546875" style="1" customWidth="1"/>
    <col min="15619" max="15619" width="63.85546875" style="1" customWidth="1"/>
    <col min="15620" max="15620" width="13.28515625" style="1" customWidth="1"/>
    <col min="15621" max="15806" width="9" style="1"/>
    <col min="15807" max="15808" width="0" style="1" hidden="1" customWidth="1"/>
    <col min="15809" max="15809" width="13.7109375" style="1" customWidth="1"/>
    <col min="15810" max="15810" width="52.85546875" style="1" customWidth="1"/>
    <col min="15811" max="15850" width="0" style="1" hidden="1" customWidth="1"/>
    <col min="15851" max="15852" width="14.85546875" style="1" customWidth="1"/>
    <col min="15853" max="15854" width="0" style="1" hidden="1" customWidth="1"/>
    <col min="15855" max="15855" width="14.85546875" style="1" customWidth="1"/>
    <col min="15856" max="15857" width="0" style="1" hidden="1" customWidth="1"/>
    <col min="15858" max="15858" width="14.85546875" style="1" customWidth="1"/>
    <col min="15859" max="15860" width="0" style="1" hidden="1" customWidth="1"/>
    <col min="15861" max="15861" width="14.85546875" style="1" customWidth="1"/>
    <col min="15862" max="15863" width="0" style="1" hidden="1" customWidth="1"/>
    <col min="15864" max="15864" width="14.85546875" style="1" customWidth="1"/>
    <col min="15865" max="15866" width="0" style="1" hidden="1" customWidth="1"/>
    <col min="15867" max="15868" width="14.85546875" style="1" customWidth="1"/>
    <col min="15869" max="15869" width="44.42578125" style="1" customWidth="1"/>
    <col min="15870" max="15874" width="14.85546875" style="1" customWidth="1"/>
    <col min="15875" max="15875" width="63.85546875" style="1" customWidth="1"/>
    <col min="15876" max="15876" width="13.28515625" style="1" customWidth="1"/>
    <col min="15877" max="16062" width="9" style="1"/>
    <col min="16063" max="16064" width="0" style="1" hidden="1" customWidth="1"/>
    <col min="16065" max="16065" width="13.7109375" style="1" customWidth="1"/>
    <col min="16066" max="16066" width="52.85546875" style="1" customWidth="1"/>
    <col min="16067" max="16106" width="0" style="1" hidden="1" customWidth="1"/>
    <col min="16107" max="16108" width="14.85546875" style="1" customWidth="1"/>
    <col min="16109" max="16110" width="0" style="1" hidden="1" customWidth="1"/>
    <col min="16111" max="16111" width="14.85546875" style="1" customWidth="1"/>
    <col min="16112" max="16113" width="0" style="1" hidden="1" customWidth="1"/>
    <col min="16114" max="16114" width="14.85546875" style="1" customWidth="1"/>
    <col min="16115" max="16116" width="0" style="1" hidden="1" customWidth="1"/>
    <col min="16117" max="16117" width="14.85546875" style="1" customWidth="1"/>
    <col min="16118" max="16119" width="0" style="1" hidden="1" customWidth="1"/>
    <col min="16120" max="16120" width="14.85546875" style="1" customWidth="1"/>
    <col min="16121" max="16122" width="0" style="1" hidden="1" customWidth="1"/>
    <col min="16123" max="16124" width="14.85546875" style="1" customWidth="1"/>
    <col min="16125" max="16125" width="44.42578125" style="1" customWidth="1"/>
    <col min="16126" max="16130" width="14.85546875" style="1" customWidth="1"/>
    <col min="16131" max="16131" width="63.85546875" style="1" customWidth="1"/>
    <col min="16132" max="16132" width="13.28515625" style="1" customWidth="1"/>
    <col min="16133" max="16331" width="9" style="1"/>
    <col min="16332" max="16364" width="9.140625" style="1" customWidth="1"/>
    <col min="16365" max="16379" width="9" style="1"/>
    <col min="16380" max="16384" width="9.140625" style="1" customWidth="1"/>
  </cols>
  <sheetData>
    <row r="1" spans="1:22" ht="25.5" outlineLevel="1" x14ac:dyDescent="0.35">
      <c r="C1" s="2" t="s">
        <v>0</v>
      </c>
      <c r="D1" s="2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5"/>
      <c r="Q1" s="6"/>
      <c r="R1" s="7"/>
      <c r="S1" s="6"/>
    </row>
    <row r="2" spans="1:22" ht="25.5" outlineLevel="1" x14ac:dyDescent="0.35">
      <c r="C2" s="266" t="s">
        <v>1</v>
      </c>
      <c r="D2" s="266"/>
      <c r="E2" s="4"/>
      <c r="F2" s="4"/>
      <c r="G2" s="4"/>
      <c r="H2" s="4"/>
      <c r="I2" s="3"/>
      <c r="J2" s="3"/>
      <c r="K2" s="4"/>
      <c r="L2" s="4"/>
      <c r="M2" s="4"/>
      <c r="N2" s="4"/>
      <c r="O2" s="4"/>
      <c r="P2" s="9"/>
      <c r="Q2" s="10"/>
      <c r="R2" s="11"/>
      <c r="S2" s="10"/>
    </row>
    <row r="3" spans="1:22" ht="20.25" outlineLevel="1" x14ac:dyDescent="0.3">
      <c r="C3" s="258" t="s">
        <v>2</v>
      </c>
      <c r="D3" s="258"/>
      <c r="E3" s="12"/>
      <c r="F3" s="12"/>
      <c r="G3" s="12"/>
      <c r="H3" s="4"/>
      <c r="I3" s="3"/>
      <c r="J3" s="3"/>
      <c r="K3" s="12">
        <v>0</v>
      </c>
      <c r="L3" s="12"/>
      <c r="M3" s="12"/>
      <c r="N3" s="12"/>
      <c r="O3" s="12"/>
      <c r="Q3" s="14"/>
      <c r="R3" s="15">
        <f>3/12</f>
        <v>0.25</v>
      </c>
      <c r="S3" s="14"/>
      <c r="V3" s="16"/>
    </row>
    <row r="4" spans="1:22" ht="15.75" outlineLevel="1" thickBot="1" x14ac:dyDescent="0.3">
      <c r="C4" s="17"/>
      <c r="E4" s="13"/>
      <c r="F4" s="13"/>
      <c r="G4" s="12"/>
      <c r="H4" s="4"/>
      <c r="I4" s="3"/>
      <c r="J4" s="3"/>
      <c r="K4" s="13"/>
      <c r="L4" s="18"/>
      <c r="M4" s="18"/>
      <c r="N4" s="18"/>
      <c r="O4" s="13"/>
      <c r="Q4" s="19"/>
      <c r="R4" s="20"/>
      <c r="S4" s="21"/>
    </row>
    <row r="5" spans="1:22" ht="51.6" customHeight="1" thickBot="1" x14ac:dyDescent="0.3">
      <c r="C5" s="22" t="s">
        <v>3</v>
      </c>
      <c r="D5" s="23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12</v>
      </c>
      <c r="N5" s="24" t="s">
        <v>13</v>
      </c>
      <c r="O5" s="24" t="s">
        <v>14</v>
      </c>
      <c r="P5" s="25" t="s">
        <v>15</v>
      </c>
      <c r="Q5" s="26" t="s">
        <v>16</v>
      </c>
      <c r="R5" s="27" t="s">
        <v>17</v>
      </c>
      <c r="S5" s="28" t="s">
        <v>18</v>
      </c>
    </row>
    <row r="6" spans="1:22" x14ac:dyDescent="0.25">
      <c r="C6" s="29" t="s">
        <v>19</v>
      </c>
      <c r="D6" s="30" t="s">
        <v>20</v>
      </c>
      <c r="E6" s="31">
        <v>190002</v>
      </c>
      <c r="F6" s="31">
        <v>70000</v>
      </c>
      <c r="G6" s="31">
        <v>0</v>
      </c>
      <c r="H6" s="31">
        <v>0</v>
      </c>
      <c r="I6" s="31">
        <v>0</v>
      </c>
      <c r="J6" s="31">
        <v>0</v>
      </c>
      <c r="K6" s="31">
        <v>31344871</v>
      </c>
      <c r="L6" s="31">
        <v>31414871</v>
      </c>
      <c r="M6" s="31">
        <v>31414871</v>
      </c>
      <c r="N6" s="31">
        <f t="shared" ref="N6" si="0">ROUND((N7+N11+N14+N17+N20),0)</f>
        <v>31414871</v>
      </c>
      <c r="O6" s="32">
        <f>N6-M6</f>
        <v>0</v>
      </c>
      <c r="P6" s="33"/>
      <c r="Q6" s="34">
        <f>ROUND((Q7+Q11+Q14+Q17+Q20),0)</f>
        <v>7276738</v>
      </c>
      <c r="R6" s="35">
        <f>Q6/N6</f>
        <v>0.23163354705483272</v>
      </c>
      <c r="S6" s="36"/>
    </row>
    <row r="7" spans="1:22" x14ac:dyDescent="0.25">
      <c r="B7" s="1" t="s">
        <v>21</v>
      </c>
      <c r="C7" s="38" t="s">
        <v>22</v>
      </c>
      <c r="D7" s="39" t="s">
        <v>23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28441559</v>
      </c>
      <c r="L7" s="40">
        <v>28441559</v>
      </c>
      <c r="M7" s="40">
        <v>28441559</v>
      </c>
      <c r="N7" s="40">
        <f>SUM(N8:N9)</f>
        <v>28441559</v>
      </c>
      <c r="O7" s="40">
        <f t="shared" ref="O7:O71" si="1">N7-M7</f>
        <v>0</v>
      </c>
      <c r="P7" s="41"/>
      <c r="Q7" s="42">
        <f>SUM(Q8:Q9)</f>
        <v>5384452</v>
      </c>
      <c r="R7" s="43">
        <f t="shared" ref="R7:R69" si="2">Q7/N7</f>
        <v>0.18931634514127724</v>
      </c>
      <c r="S7" s="42"/>
    </row>
    <row r="8" spans="1:22" x14ac:dyDescent="0.25">
      <c r="A8" s="1" t="s">
        <v>24</v>
      </c>
      <c r="B8" s="44" t="s">
        <v>25</v>
      </c>
      <c r="C8" s="45" t="s">
        <v>26</v>
      </c>
      <c r="D8" s="46" t="s">
        <v>27</v>
      </c>
      <c r="E8" s="47"/>
      <c r="F8" s="47"/>
      <c r="G8" s="47"/>
      <c r="H8" s="47"/>
      <c r="I8" s="47"/>
      <c r="J8" s="47"/>
      <c r="K8" s="47">
        <v>28441559</v>
      </c>
      <c r="L8" s="47">
        <v>28441559</v>
      </c>
      <c r="M8" s="47">
        <v>28441559</v>
      </c>
      <c r="N8" s="47">
        <f>ROUND(M8,0)</f>
        <v>28441559</v>
      </c>
      <c r="O8" s="47">
        <f t="shared" si="1"/>
        <v>0</v>
      </c>
      <c r="P8" s="48"/>
      <c r="Q8" s="49">
        <v>5384452</v>
      </c>
      <c r="R8" s="50">
        <f t="shared" si="2"/>
        <v>0.18931634514127724</v>
      </c>
      <c r="S8" s="49" t="s">
        <v>28</v>
      </c>
    </row>
    <row r="9" spans="1:22" ht="27.75" hidden="1" customHeight="1" outlineLevel="1" x14ac:dyDescent="0.25">
      <c r="B9" s="44"/>
      <c r="C9" s="45" t="s">
        <v>29</v>
      </c>
      <c r="D9" s="46" t="s">
        <v>30</v>
      </c>
      <c r="E9" s="47"/>
      <c r="F9" s="47"/>
      <c r="G9" s="47"/>
      <c r="H9" s="47"/>
      <c r="I9" s="47"/>
      <c r="J9" s="47"/>
      <c r="K9" s="47">
        <v>0</v>
      </c>
      <c r="L9" s="47">
        <v>0</v>
      </c>
      <c r="M9" s="47">
        <v>0</v>
      </c>
      <c r="N9" s="47">
        <f>ROUND(M9,0)</f>
        <v>0</v>
      </c>
      <c r="O9" s="47">
        <f t="shared" si="1"/>
        <v>0</v>
      </c>
      <c r="P9" s="48"/>
      <c r="Q9" s="49">
        <f>ROUND(P9,0)</f>
        <v>0</v>
      </c>
      <c r="R9" s="50"/>
      <c r="S9" s="49"/>
    </row>
    <row r="10" spans="1:22" ht="15.75" customHeight="1" collapsed="1" x14ac:dyDescent="0.25">
      <c r="C10" s="29" t="s">
        <v>31</v>
      </c>
      <c r="D10" s="30" t="s">
        <v>32</v>
      </c>
      <c r="E10" s="31"/>
      <c r="F10" s="31"/>
      <c r="G10" s="31"/>
      <c r="H10" s="31"/>
      <c r="I10" s="31"/>
      <c r="J10" s="31"/>
      <c r="K10" s="31"/>
      <c r="L10" s="31">
        <v>2903312</v>
      </c>
      <c r="M10" s="31">
        <v>2903312</v>
      </c>
      <c r="N10" s="31">
        <f>N11+N14+N17</f>
        <v>2903312</v>
      </c>
      <c r="O10" s="32">
        <f t="shared" si="1"/>
        <v>0</v>
      </c>
      <c r="P10" s="33"/>
      <c r="Q10" s="34">
        <f>Q11+Q14+Q17</f>
        <v>1867760</v>
      </c>
      <c r="R10" s="35">
        <f t="shared" si="2"/>
        <v>0.64332045608601485</v>
      </c>
      <c r="S10" s="36"/>
      <c r="T10" s="37"/>
    </row>
    <row r="11" spans="1:22" x14ac:dyDescent="0.25">
      <c r="B11" s="1" t="s">
        <v>33</v>
      </c>
      <c r="C11" s="51" t="s">
        <v>34</v>
      </c>
      <c r="D11" s="52" t="s">
        <v>35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1998295</v>
      </c>
      <c r="L11" s="53">
        <v>1998295</v>
      </c>
      <c r="M11" s="53">
        <v>1998295</v>
      </c>
      <c r="N11" s="53">
        <f>SUM(N12:N13)</f>
        <v>1998295</v>
      </c>
      <c r="O11" s="53">
        <f t="shared" si="1"/>
        <v>0</v>
      </c>
      <c r="P11" s="54"/>
      <c r="Q11" s="55">
        <f>SUM(Q12:Q13)</f>
        <v>1220753</v>
      </c>
      <c r="R11" s="56">
        <f t="shared" si="2"/>
        <v>0.61089728993967363</v>
      </c>
      <c r="S11" s="55"/>
      <c r="T11" s="4"/>
    </row>
    <row r="12" spans="1:22" x14ac:dyDescent="0.25">
      <c r="A12" s="1" t="s">
        <v>24</v>
      </c>
      <c r="B12" s="44" t="s">
        <v>36</v>
      </c>
      <c r="C12" s="45" t="s">
        <v>37</v>
      </c>
      <c r="D12" s="46" t="s">
        <v>27</v>
      </c>
      <c r="E12" s="47"/>
      <c r="F12" s="47"/>
      <c r="G12" s="47"/>
      <c r="H12" s="47"/>
      <c r="I12" s="47"/>
      <c r="J12" s="47"/>
      <c r="K12" s="47">
        <v>1807872</v>
      </c>
      <c r="L12" s="47">
        <v>1807872</v>
      </c>
      <c r="M12" s="47">
        <v>1807872</v>
      </c>
      <c r="N12" s="47">
        <f>ROUND(M12,0)</f>
        <v>1807872</v>
      </c>
      <c r="O12" s="47">
        <f t="shared" si="1"/>
        <v>0</v>
      </c>
      <c r="P12" s="57"/>
      <c r="Q12" s="49">
        <v>1146801</v>
      </c>
      <c r="R12" s="50">
        <f t="shared" si="2"/>
        <v>0.63433749734494482</v>
      </c>
      <c r="S12" s="49"/>
    </row>
    <row r="13" spans="1:22" x14ac:dyDescent="0.25">
      <c r="A13" s="1" t="s">
        <v>24</v>
      </c>
      <c r="B13" s="44" t="s">
        <v>38</v>
      </c>
      <c r="C13" s="45" t="s">
        <v>39</v>
      </c>
      <c r="D13" s="46" t="s">
        <v>40</v>
      </c>
      <c r="E13" s="47"/>
      <c r="F13" s="47"/>
      <c r="G13" s="47"/>
      <c r="H13" s="47"/>
      <c r="I13" s="47"/>
      <c r="J13" s="47"/>
      <c r="K13" s="47">
        <v>190423</v>
      </c>
      <c r="L13" s="47">
        <v>190423</v>
      </c>
      <c r="M13" s="47">
        <v>190423</v>
      </c>
      <c r="N13" s="47">
        <f>ROUND(M13,0)</f>
        <v>190423</v>
      </c>
      <c r="O13" s="47">
        <f t="shared" si="1"/>
        <v>0</v>
      </c>
      <c r="P13" s="48"/>
      <c r="Q13" s="49">
        <v>73952</v>
      </c>
      <c r="R13" s="50">
        <f t="shared" si="2"/>
        <v>0.3883564485382543</v>
      </c>
      <c r="S13" s="49"/>
    </row>
    <row r="14" spans="1:22" x14ac:dyDescent="0.25">
      <c r="B14" s="1" t="s">
        <v>41</v>
      </c>
      <c r="C14" s="51" t="s">
        <v>42</v>
      </c>
      <c r="D14" s="52" t="s">
        <v>43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412472</v>
      </c>
      <c r="L14" s="53">
        <v>412472</v>
      </c>
      <c r="M14" s="53">
        <v>412472</v>
      </c>
      <c r="N14" s="53">
        <f>SUM(N15:N16)</f>
        <v>412472</v>
      </c>
      <c r="O14" s="53">
        <f t="shared" si="1"/>
        <v>0</v>
      </c>
      <c r="P14" s="54"/>
      <c r="Q14" s="55">
        <f>SUM(Q15:Q16)</f>
        <v>193959</v>
      </c>
      <c r="R14" s="56">
        <f t="shared" si="2"/>
        <v>0.47023555538315326</v>
      </c>
      <c r="S14" s="55"/>
    </row>
    <row r="15" spans="1:22" x14ac:dyDescent="0.25">
      <c r="A15" s="1" t="s">
        <v>24</v>
      </c>
      <c r="B15" s="44" t="s">
        <v>44</v>
      </c>
      <c r="C15" s="45" t="s">
        <v>45</v>
      </c>
      <c r="D15" s="46" t="s">
        <v>46</v>
      </c>
      <c r="E15" s="47"/>
      <c r="F15" s="47"/>
      <c r="G15" s="47"/>
      <c r="H15" s="47"/>
      <c r="I15" s="47"/>
      <c r="J15" s="47"/>
      <c r="K15" s="47">
        <v>326353</v>
      </c>
      <c r="L15" s="47">
        <v>326353</v>
      </c>
      <c r="M15" s="47">
        <v>326353</v>
      </c>
      <c r="N15" s="47">
        <f>ROUND(M15,0)</f>
        <v>326353</v>
      </c>
      <c r="O15" s="47">
        <f t="shared" si="1"/>
        <v>0</v>
      </c>
      <c r="P15" s="58"/>
      <c r="Q15" s="49">
        <v>180482</v>
      </c>
      <c r="R15" s="50">
        <f t="shared" si="2"/>
        <v>0.55302693708959316</v>
      </c>
      <c r="S15" s="49"/>
    </row>
    <row r="16" spans="1:22" x14ac:dyDescent="0.25">
      <c r="A16" s="1" t="s">
        <v>24</v>
      </c>
      <c r="B16" s="44" t="s">
        <v>47</v>
      </c>
      <c r="C16" s="45" t="s">
        <v>48</v>
      </c>
      <c r="D16" s="46" t="s">
        <v>40</v>
      </c>
      <c r="E16" s="47"/>
      <c r="F16" s="47"/>
      <c r="G16" s="47"/>
      <c r="H16" s="47"/>
      <c r="I16" s="47"/>
      <c r="J16" s="47"/>
      <c r="K16" s="47">
        <v>86119</v>
      </c>
      <c r="L16" s="47">
        <v>86119</v>
      </c>
      <c r="M16" s="47">
        <v>86119</v>
      </c>
      <c r="N16" s="47">
        <f>ROUND(M16,0)</f>
        <v>86119</v>
      </c>
      <c r="O16" s="47">
        <f t="shared" si="1"/>
        <v>0</v>
      </c>
      <c r="P16" s="48"/>
      <c r="Q16" s="49">
        <v>13477</v>
      </c>
      <c r="R16" s="50">
        <f t="shared" si="2"/>
        <v>0.15649276001811446</v>
      </c>
      <c r="S16" s="49"/>
    </row>
    <row r="17" spans="1:19" ht="29.25" x14ac:dyDescent="0.25">
      <c r="B17" s="1" t="s">
        <v>49</v>
      </c>
      <c r="C17" s="51" t="s">
        <v>50</v>
      </c>
      <c r="D17" s="52" t="s">
        <v>51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492545</v>
      </c>
      <c r="L17" s="53">
        <v>492545</v>
      </c>
      <c r="M17" s="53">
        <v>492545</v>
      </c>
      <c r="N17" s="53">
        <f>SUM(N18:N19)</f>
        <v>492545</v>
      </c>
      <c r="O17" s="53">
        <f t="shared" si="1"/>
        <v>0</v>
      </c>
      <c r="P17" s="54"/>
      <c r="Q17" s="55">
        <f>SUM(Q18:Q19)</f>
        <v>453048</v>
      </c>
      <c r="R17" s="56">
        <f t="shared" si="2"/>
        <v>0.9198103726563055</v>
      </c>
      <c r="S17" s="55"/>
    </row>
    <row r="18" spans="1:19" ht="18.75" customHeight="1" x14ac:dyDescent="0.25">
      <c r="A18" s="1" t="s">
        <v>24</v>
      </c>
      <c r="B18" s="44" t="s">
        <v>52</v>
      </c>
      <c r="C18" s="45" t="s">
        <v>53</v>
      </c>
      <c r="D18" s="46" t="s">
        <v>46</v>
      </c>
      <c r="E18" s="47"/>
      <c r="F18" s="47"/>
      <c r="G18" s="47"/>
      <c r="H18" s="47"/>
      <c r="I18" s="47"/>
      <c r="J18" s="47"/>
      <c r="K18" s="47">
        <v>431787</v>
      </c>
      <c r="L18" s="47">
        <v>431787</v>
      </c>
      <c r="M18" s="47">
        <v>431787</v>
      </c>
      <c r="N18" s="47">
        <f>ROUND(M18,0)</f>
        <v>431787</v>
      </c>
      <c r="O18" s="47">
        <f t="shared" si="1"/>
        <v>0</v>
      </c>
      <c r="P18" s="58"/>
      <c r="Q18" s="49">
        <v>420643</v>
      </c>
      <c r="R18" s="50">
        <f t="shared" si="2"/>
        <v>0.97419097842223135</v>
      </c>
      <c r="S18" s="49"/>
    </row>
    <row r="19" spans="1:19" x14ac:dyDescent="0.25">
      <c r="A19" s="1" t="s">
        <v>24</v>
      </c>
      <c r="B19" s="44" t="s">
        <v>54</v>
      </c>
      <c r="C19" s="45" t="s">
        <v>55</v>
      </c>
      <c r="D19" s="46" t="s">
        <v>40</v>
      </c>
      <c r="E19" s="47"/>
      <c r="F19" s="47"/>
      <c r="G19" s="47"/>
      <c r="H19" s="47"/>
      <c r="I19" s="47"/>
      <c r="J19" s="47"/>
      <c r="K19" s="47">
        <v>60758</v>
      </c>
      <c r="L19" s="47">
        <v>60758</v>
      </c>
      <c r="M19" s="47">
        <v>60758</v>
      </c>
      <c r="N19" s="47">
        <f>ROUND(M19,0)</f>
        <v>60758</v>
      </c>
      <c r="O19" s="47">
        <f t="shared" si="1"/>
        <v>0</v>
      </c>
      <c r="P19" s="57"/>
      <c r="Q19" s="49">
        <v>32405</v>
      </c>
      <c r="R19" s="50">
        <f t="shared" si="2"/>
        <v>0.5333454030744923</v>
      </c>
      <c r="S19" s="49"/>
    </row>
    <row r="20" spans="1:19" ht="29.25" x14ac:dyDescent="0.25">
      <c r="B20" s="59"/>
      <c r="C20" s="51" t="s">
        <v>56</v>
      </c>
      <c r="D20" s="52" t="s">
        <v>57</v>
      </c>
      <c r="E20" s="53">
        <v>190002</v>
      </c>
      <c r="F20" s="53">
        <v>70000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70000</v>
      </c>
      <c r="M20" s="53">
        <v>70000</v>
      </c>
      <c r="N20" s="53">
        <f t="shared" ref="N20" si="3">SUM(N21:N22)</f>
        <v>70000</v>
      </c>
      <c r="O20" s="53">
        <f t="shared" si="1"/>
        <v>0</v>
      </c>
      <c r="P20" s="54"/>
      <c r="Q20" s="55">
        <f t="shared" ref="Q20" si="4">SUM(Q21:Q22)</f>
        <v>24526</v>
      </c>
      <c r="R20" s="56">
        <f t="shared" si="2"/>
        <v>0.35037142857142856</v>
      </c>
      <c r="S20" s="55"/>
    </row>
    <row r="21" spans="1:19" ht="14.45" customHeight="1" outlineLevel="1" x14ac:dyDescent="0.25">
      <c r="B21" s="44" t="s">
        <v>58</v>
      </c>
      <c r="C21" s="45" t="s">
        <v>59</v>
      </c>
      <c r="D21" s="46" t="s">
        <v>60</v>
      </c>
      <c r="E21" s="47"/>
      <c r="F21" s="47"/>
      <c r="G21" s="47"/>
      <c r="H21" s="47"/>
      <c r="I21" s="47"/>
      <c r="J21" s="47"/>
      <c r="K21" s="47"/>
      <c r="L21" s="47">
        <v>0</v>
      </c>
      <c r="M21" s="47">
        <v>0</v>
      </c>
      <c r="N21" s="47">
        <f>ROUND(M21,0)</f>
        <v>0</v>
      </c>
      <c r="O21" s="47">
        <f t="shared" si="1"/>
        <v>0</v>
      </c>
      <c r="P21" s="58"/>
      <c r="Q21" s="49">
        <f>ROUND(P21,0)</f>
        <v>0</v>
      </c>
      <c r="R21" s="50"/>
      <c r="S21" s="49"/>
    </row>
    <row r="22" spans="1:19" ht="19.899999999999999" customHeight="1" x14ac:dyDescent="0.25">
      <c r="B22" s="44" t="s">
        <v>61</v>
      </c>
      <c r="C22" s="45" t="s">
        <v>59</v>
      </c>
      <c r="D22" s="46" t="s">
        <v>62</v>
      </c>
      <c r="E22" s="47">
        <v>190002</v>
      </c>
      <c r="F22" s="47">
        <v>70000</v>
      </c>
      <c r="G22" s="47"/>
      <c r="H22" s="47"/>
      <c r="I22" s="47"/>
      <c r="J22" s="47"/>
      <c r="K22" s="47"/>
      <c r="L22" s="47">
        <v>70000</v>
      </c>
      <c r="M22" s="47">
        <v>70000</v>
      </c>
      <c r="N22" s="47">
        <f>ROUND(M22,0)</f>
        <v>70000</v>
      </c>
      <c r="O22" s="47">
        <f t="shared" si="1"/>
        <v>0</v>
      </c>
      <c r="P22" s="60"/>
      <c r="Q22" s="49">
        <v>24526</v>
      </c>
      <c r="R22" s="50">
        <f t="shared" si="2"/>
        <v>0.35037142857142856</v>
      </c>
      <c r="S22" s="49"/>
    </row>
    <row r="23" spans="1:19" ht="15.75" customHeight="1" x14ac:dyDescent="0.25">
      <c r="B23" s="1" t="s">
        <v>63</v>
      </c>
      <c r="C23" s="51" t="s">
        <v>64</v>
      </c>
      <c r="D23" s="52" t="s">
        <v>65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160000</v>
      </c>
      <c r="L23" s="53">
        <v>160000</v>
      </c>
      <c r="M23" s="53">
        <v>160000</v>
      </c>
      <c r="N23" s="53">
        <f t="shared" ref="N23" si="5">N24+N28</f>
        <v>160000</v>
      </c>
      <c r="O23" s="53">
        <f t="shared" si="1"/>
        <v>0</v>
      </c>
      <c r="P23" s="54"/>
      <c r="Q23" s="55">
        <f t="shared" ref="Q23" si="6">Q24+Q28</f>
        <v>35143</v>
      </c>
      <c r="R23" s="56">
        <f t="shared" si="2"/>
        <v>0.21964375</v>
      </c>
      <c r="S23" s="55"/>
    </row>
    <row r="24" spans="1:19" x14ac:dyDescent="0.25">
      <c r="A24" s="1" t="s">
        <v>24</v>
      </c>
      <c r="B24" s="1" t="s">
        <v>66</v>
      </c>
      <c r="C24" s="45" t="s">
        <v>67</v>
      </c>
      <c r="D24" s="46" t="s">
        <v>68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6700</v>
      </c>
      <c r="L24" s="47">
        <v>6700</v>
      </c>
      <c r="M24" s="47">
        <v>6700</v>
      </c>
      <c r="N24" s="47">
        <f>N25+N26+N27</f>
        <v>6700</v>
      </c>
      <c r="O24" s="47">
        <f t="shared" si="1"/>
        <v>0</v>
      </c>
      <c r="P24" s="57"/>
      <c r="Q24" s="49">
        <f>Q25+Q26+Q27</f>
        <v>2005</v>
      </c>
      <c r="R24" s="61">
        <f t="shared" si="2"/>
        <v>0.29925373134328359</v>
      </c>
      <c r="S24" s="49"/>
    </row>
    <row r="25" spans="1:19" ht="26.25" x14ac:dyDescent="0.25">
      <c r="B25" s="44" t="s">
        <v>69</v>
      </c>
      <c r="C25" s="62" t="s">
        <v>70</v>
      </c>
      <c r="D25" s="63" t="s">
        <v>71</v>
      </c>
      <c r="E25" s="47"/>
      <c r="F25" s="47"/>
      <c r="G25" s="47"/>
      <c r="H25" s="47"/>
      <c r="I25" s="47"/>
      <c r="J25" s="47"/>
      <c r="K25" s="47">
        <v>1700</v>
      </c>
      <c r="L25" s="47">
        <v>1700</v>
      </c>
      <c r="M25" s="47">
        <v>1700</v>
      </c>
      <c r="N25" s="47">
        <f>ROUND(M25,0)</f>
        <v>1700</v>
      </c>
      <c r="O25" s="47">
        <f t="shared" si="1"/>
        <v>0</v>
      </c>
      <c r="P25" s="57"/>
      <c r="Q25" s="49">
        <f>257</f>
        <v>257</v>
      </c>
      <c r="R25" s="50">
        <f t="shared" si="2"/>
        <v>0.1511764705882353</v>
      </c>
      <c r="S25" s="49"/>
    </row>
    <row r="26" spans="1:19" ht="26.25" x14ac:dyDescent="0.25">
      <c r="B26" s="44" t="s">
        <v>72</v>
      </c>
      <c r="C26" s="62" t="s">
        <v>73</v>
      </c>
      <c r="D26" s="63" t="s">
        <v>74</v>
      </c>
      <c r="E26" s="47"/>
      <c r="F26" s="47"/>
      <c r="G26" s="47"/>
      <c r="H26" s="47"/>
      <c r="I26" s="47"/>
      <c r="J26" s="47"/>
      <c r="K26" s="47">
        <v>4500</v>
      </c>
      <c r="L26" s="47">
        <v>4500</v>
      </c>
      <c r="M26" s="47">
        <v>4500</v>
      </c>
      <c r="N26" s="47">
        <f>ROUND(M26,0)</f>
        <v>4500</v>
      </c>
      <c r="O26" s="47">
        <f t="shared" si="1"/>
        <v>0</v>
      </c>
      <c r="P26" s="57"/>
      <c r="Q26" s="49">
        <v>1574</v>
      </c>
      <c r="R26" s="50">
        <f t="shared" si="2"/>
        <v>0.3497777777777778</v>
      </c>
      <c r="S26" s="49"/>
    </row>
    <row r="27" spans="1:19" ht="26.25" x14ac:dyDescent="0.25">
      <c r="B27" s="44" t="s">
        <v>75</v>
      </c>
      <c r="C27" s="62" t="s">
        <v>76</v>
      </c>
      <c r="D27" s="63" t="s">
        <v>77</v>
      </c>
      <c r="E27" s="47"/>
      <c r="F27" s="47"/>
      <c r="G27" s="47"/>
      <c r="H27" s="47"/>
      <c r="I27" s="47"/>
      <c r="J27" s="47"/>
      <c r="K27" s="47">
        <v>500</v>
      </c>
      <c r="L27" s="47">
        <v>500</v>
      </c>
      <c r="M27" s="47">
        <v>500</v>
      </c>
      <c r="N27" s="47">
        <f>ROUND(M27,0)</f>
        <v>500</v>
      </c>
      <c r="O27" s="47">
        <f t="shared" si="1"/>
        <v>0</v>
      </c>
      <c r="P27" s="57"/>
      <c r="Q27" s="49">
        <f>109+65</f>
        <v>174</v>
      </c>
      <c r="R27" s="50">
        <f t="shared" si="2"/>
        <v>0.34799999999999998</v>
      </c>
      <c r="S27" s="49"/>
    </row>
    <row r="28" spans="1:19" x14ac:dyDescent="0.25">
      <c r="A28" s="1" t="s">
        <v>24</v>
      </c>
      <c r="B28" s="1" t="s">
        <v>78</v>
      </c>
      <c r="C28" s="45" t="s">
        <v>79</v>
      </c>
      <c r="D28" s="46" t="s">
        <v>80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153300</v>
      </c>
      <c r="L28" s="47">
        <v>153300</v>
      </c>
      <c r="M28" s="47">
        <v>153300</v>
      </c>
      <c r="N28" s="47">
        <f>SUM(N29:N35)</f>
        <v>153300</v>
      </c>
      <c r="O28" s="47">
        <f t="shared" si="1"/>
        <v>0</v>
      </c>
      <c r="P28" s="57"/>
      <c r="Q28" s="49">
        <f>SUM(Q29:Q35)</f>
        <v>33138</v>
      </c>
      <c r="R28" s="61">
        <f t="shared" si="2"/>
        <v>0.21616438356164383</v>
      </c>
      <c r="S28" s="49"/>
    </row>
    <row r="29" spans="1:19" ht="26.25" x14ac:dyDescent="0.25">
      <c r="B29" s="44" t="s">
        <v>81</v>
      </c>
      <c r="C29" s="62" t="s">
        <v>82</v>
      </c>
      <c r="D29" s="63" t="s">
        <v>83</v>
      </c>
      <c r="E29" s="47"/>
      <c r="F29" s="47"/>
      <c r="G29" s="47"/>
      <c r="H29" s="47"/>
      <c r="I29" s="47"/>
      <c r="J29" s="47"/>
      <c r="K29" s="47">
        <v>350</v>
      </c>
      <c r="L29" s="47">
        <v>350</v>
      </c>
      <c r="M29" s="47">
        <v>350</v>
      </c>
      <c r="N29" s="47">
        <f t="shared" ref="N29:N35" si="7">ROUND(M29,0)</f>
        <v>350</v>
      </c>
      <c r="O29" s="47">
        <f t="shared" si="1"/>
        <v>0</v>
      </c>
      <c r="P29" s="57"/>
      <c r="Q29" s="49">
        <v>23</v>
      </c>
      <c r="R29" s="50">
        <f t="shared" si="2"/>
        <v>6.5714285714285711E-2</v>
      </c>
      <c r="S29" s="49"/>
    </row>
    <row r="30" spans="1:19" ht="26.25" x14ac:dyDescent="0.25">
      <c r="B30" s="64" t="s">
        <v>84</v>
      </c>
      <c r="C30" s="62" t="s">
        <v>85</v>
      </c>
      <c r="D30" s="63" t="s">
        <v>86</v>
      </c>
      <c r="E30" s="47"/>
      <c r="F30" s="47"/>
      <c r="G30" s="47"/>
      <c r="H30" s="47"/>
      <c r="I30" s="47"/>
      <c r="J30" s="47"/>
      <c r="K30" s="47">
        <v>1100</v>
      </c>
      <c r="L30" s="47">
        <v>1100</v>
      </c>
      <c r="M30" s="47">
        <v>1100</v>
      </c>
      <c r="N30" s="47">
        <f t="shared" si="7"/>
        <v>1100</v>
      </c>
      <c r="O30" s="47">
        <f t="shared" si="1"/>
        <v>0</v>
      </c>
      <c r="P30" s="57"/>
      <c r="Q30" s="49">
        <v>210</v>
      </c>
      <c r="R30" s="50">
        <f t="shared" si="2"/>
        <v>0.19090909090909092</v>
      </c>
      <c r="S30" s="49"/>
    </row>
    <row r="31" spans="1:19" x14ac:dyDescent="0.25">
      <c r="B31" s="44" t="s">
        <v>87</v>
      </c>
      <c r="C31" s="62" t="s">
        <v>88</v>
      </c>
      <c r="D31" s="63" t="s">
        <v>89</v>
      </c>
      <c r="E31" s="47"/>
      <c r="F31" s="47"/>
      <c r="G31" s="47"/>
      <c r="H31" s="47"/>
      <c r="I31" s="47"/>
      <c r="J31" s="47"/>
      <c r="K31" s="47">
        <v>27000</v>
      </c>
      <c r="L31" s="47">
        <v>27000</v>
      </c>
      <c r="M31" s="47">
        <v>27000</v>
      </c>
      <c r="N31" s="47">
        <f t="shared" si="7"/>
        <v>27000</v>
      </c>
      <c r="O31" s="47">
        <f t="shared" si="1"/>
        <v>0</v>
      </c>
      <c r="P31" s="57"/>
      <c r="Q31" s="49">
        <v>6111</v>
      </c>
      <c r="R31" s="50">
        <f t="shared" si="2"/>
        <v>0.22633333333333333</v>
      </c>
      <c r="S31" s="49"/>
    </row>
    <row r="32" spans="1:19" x14ac:dyDescent="0.25">
      <c r="B32" s="44" t="s">
        <v>90</v>
      </c>
      <c r="C32" s="62" t="s">
        <v>91</v>
      </c>
      <c r="D32" s="63" t="s">
        <v>92</v>
      </c>
      <c r="E32" s="47"/>
      <c r="F32" s="47"/>
      <c r="G32" s="47"/>
      <c r="H32" s="47"/>
      <c r="I32" s="47"/>
      <c r="J32" s="47"/>
      <c r="K32" s="47">
        <v>0</v>
      </c>
      <c r="L32" s="47">
        <v>0</v>
      </c>
      <c r="M32" s="47">
        <v>0</v>
      </c>
      <c r="N32" s="47">
        <f t="shared" si="7"/>
        <v>0</v>
      </c>
      <c r="O32" s="47">
        <f t="shared" si="1"/>
        <v>0</v>
      </c>
      <c r="P32" s="57"/>
      <c r="Q32" s="49">
        <v>0</v>
      </c>
      <c r="R32" s="50"/>
      <c r="S32" s="49"/>
    </row>
    <row r="33" spans="1:19" ht="26.25" x14ac:dyDescent="0.25">
      <c r="B33" s="44" t="s">
        <v>93</v>
      </c>
      <c r="C33" s="62" t="s">
        <v>94</v>
      </c>
      <c r="D33" s="63" t="s">
        <v>95</v>
      </c>
      <c r="E33" s="47"/>
      <c r="F33" s="47"/>
      <c r="G33" s="47"/>
      <c r="H33" s="47"/>
      <c r="I33" s="47"/>
      <c r="J33" s="47"/>
      <c r="K33" s="47">
        <v>11500</v>
      </c>
      <c r="L33" s="47">
        <v>11500</v>
      </c>
      <c r="M33" s="47">
        <v>11500</v>
      </c>
      <c r="N33" s="47">
        <f t="shared" si="7"/>
        <v>11500</v>
      </c>
      <c r="O33" s="47">
        <f t="shared" si="1"/>
        <v>0</v>
      </c>
      <c r="P33" s="57"/>
      <c r="Q33" s="49">
        <v>2121</v>
      </c>
      <c r="R33" s="50">
        <f t="shared" si="2"/>
        <v>0.18443478260869564</v>
      </c>
      <c r="S33" s="49"/>
    </row>
    <row r="34" spans="1:19" x14ac:dyDescent="0.25">
      <c r="B34" s="44" t="s">
        <v>96</v>
      </c>
      <c r="C34" s="62" t="s">
        <v>97</v>
      </c>
      <c r="D34" s="63" t="s">
        <v>98</v>
      </c>
      <c r="E34" s="47"/>
      <c r="F34" s="47"/>
      <c r="G34" s="47"/>
      <c r="H34" s="47"/>
      <c r="I34" s="47"/>
      <c r="J34" s="47"/>
      <c r="K34" s="47">
        <v>106350</v>
      </c>
      <c r="L34" s="47">
        <v>106350</v>
      </c>
      <c r="M34" s="47">
        <v>106350</v>
      </c>
      <c r="N34" s="47">
        <f t="shared" si="7"/>
        <v>106350</v>
      </c>
      <c r="O34" s="47">
        <f t="shared" si="1"/>
        <v>0</v>
      </c>
      <c r="P34" s="57"/>
      <c r="Q34" s="49">
        <v>23229</v>
      </c>
      <c r="R34" s="50">
        <f t="shared" si="2"/>
        <v>0.21842031029619183</v>
      </c>
      <c r="S34" s="49"/>
    </row>
    <row r="35" spans="1:19" x14ac:dyDescent="0.25">
      <c r="B35" s="44" t="s">
        <v>99</v>
      </c>
      <c r="C35" s="62" t="s">
        <v>100</v>
      </c>
      <c r="D35" s="63" t="s">
        <v>101</v>
      </c>
      <c r="E35" s="47"/>
      <c r="F35" s="47"/>
      <c r="G35" s="47"/>
      <c r="H35" s="47"/>
      <c r="I35" s="47"/>
      <c r="J35" s="47"/>
      <c r="K35" s="47">
        <v>7000</v>
      </c>
      <c r="L35" s="47">
        <v>7000</v>
      </c>
      <c r="M35" s="47">
        <v>7000</v>
      </c>
      <c r="N35" s="47">
        <f t="shared" si="7"/>
        <v>7000</v>
      </c>
      <c r="O35" s="47">
        <f t="shared" si="1"/>
        <v>0</v>
      </c>
      <c r="P35" s="57"/>
      <c r="Q35" s="49">
        <v>1444</v>
      </c>
      <c r="R35" s="50">
        <f t="shared" si="2"/>
        <v>0.20628571428571429</v>
      </c>
      <c r="S35" s="49"/>
    </row>
    <row r="36" spans="1:19" ht="18" customHeight="1" x14ac:dyDescent="0.25">
      <c r="B36" s="1" t="s">
        <v>102</v>
      </c>
      <c r="C36" s="51" t="s">
        <v>103</v>
      </c>
      <c r="D36" s="52" t="s">
        <v>104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65000</v>
      </c>
      <c r="L36" s="53">
        <v>65000</v>
      </c>
      <c r="M36" s="53">
        <v>65000</v>
      </c>
      <c r="N36" s="53">
        <f>N37+N38</f>
        <v>65000</v>
      </c>
      <c r="O36" s="53">
        <f t="shared" si="1"/>
        <v>0</v>
      </c>
      <c r="P36" s="65"/>
      <c r="Q36" s="55">
        <f>Q37+Q38</f>
        <v>11994</v>
      </c>
      <c r="R36" s="56">
        <f t="shared" si="2"/>
        <v>0.18452307692307693</v>
      </c>
      <c r="S36" s="55"/>
    </row>
    <row r="37" spans="1:19" ht="16.5" customHeight="1" x14ac:dyDescent="0.25">
      <c r="B37" s="59" t="s">
        <v>105</v>
      </c>
      <c r="C37" s="45" t="s">
        <v>106</v>
      </c>
      <c r="D37" s="46" t="s">
        <v>104</v>
      </c>
      <c r="E37" s="47"/>
      <c r="F37" s="47"/>
      <c r="G37" s="47"/>
      <c r="H37" s="47"/>
      <c r="I37" s="47"/>
      <c r="J37" s="47"/>
      <c r="K37" s="47">
        <v>31000</v>
      </c>
      <c r="L37" s="47">
        <v>31000</v>
      </c>
      <c r="M37" s="47">
        <v>31000</v>
      </c>
      <c r="N37" s="47">
        <f>ROUND(M37,0)</f>
        <v>31000</v>
      </c>
      <c r="O37" s="47">
        <f t="shared" si="1"/>
        <v>0</v>
      </c>
      <c r="P37" s="48"/>
      <c r="Q37" s="49">
        <v>7676</v>
      </c>
      <c r="R37" s="50">
        <f t="shared" si="2"/>
        <v>0.24761290322580645</v>
      </c>
      <c r="S37" s="49"/>
    </row>
    <row r="38" spans="1:19" ht="30" x14ac:dyDescent="0.25">
      <c r="B38" s="59" t="s">
        <v>107</v>
      </c>
      <c r="C38" s="45" t="s">
        <v>108</v>
      </c>
      <c r="D38" s="46" t="s">
        <v>109</v>
      </c>
      <c r="E38" s="47"/>
      <c r="F38" s="47"/>
      <c r="G38" s="47"/>
      <c r="H38" s="47"/>
      <c r="I38" s="47"/>
      <c r="J38" s="47"/>
      <c r="K38" s="47">
        <v>34000</v>
      </c>
      <c r="L38" s="47">
        <v>34000</v>
      </c>
      <c r="M38" s="47">
        <v>34000</v>
      </c>
      <c r="N38" s="47">
        <f>ROUND(M38,0)</f>
        <v>34000</v>
      </c>
      <c r="O38" s="47">
        <f t="shared" si="1"/>
        <v>0</v>
      </c>
      <c r="P38" s="48"/>
      <c r="Q38" s="49">
        <v>4318</v>
      </c>
      <c r="R38" s="50">
        <f t="shared" si="2"/>
        <v>0.127</v>
      </c>
      <c r="S38" s="49"/>
    </row>
    <row r="39" spans="1:19" x14ac:dyDescent="0.25">
      <c r="B39" s="1" t="s">
        <v>110</v>
      </c>
      <c r="C39" s="51" t="s">
        <v>111</v>
      </c>
      <c r="D39" s="52" t="s">
        <v>112</v>
      </c>
      <c r="E39" s="53">
        <v>0</v>
      </c>
      <c r="F39" s="53">
        <v>0</v>
      </c>
      <c r="G39" s="53">
        <v>16000</v>
      </c>
      <c r="H39" s="53">
        <v>0</v>
      </c>
      <c r="I39" s="53">
        <v>0</v>
      </c>
      <c r="J39" s="53">
        <v>0</v>
      </c>
      <c r="K39" s="53">
        <v>6453</v>
      </c>
      <c r="L39" s="53">
        <v>22453</v>
      </c>
      <c r="M39" s="53">
        <v>22453</v>
      </c>
      <c r="N39" s="53">
        <f>N40+N41+N42</f>
        <v>33317</v>
      </c>
      <c r="O39" s="53">
        <f t="shared" si="1"/>
        <v>10864</v>
      </c>
      <c r="P39" s="54"/>
      <c r="Q39" s="55">
        <f>Q40+Q41+Q42</f>
        <v>24314</v>
      </c>
      <c r="R39" s="56">
        <f t="shared" si="2"/>
        <v>0.7297775910195996</v>
      </c>
      <c r="S39" s="55"/>
    </row>
    <row r="40" spans="1:19" ht="15.6" customHeight="1" x14ac:dyDescent="0.25">
      <c r="A40" s="1" t="s">
        <v>24</v>
      </c>
      <c r="B40" s="3" t="s">
        <v>113</v>
      </c>
      <c r="C40" s="45" t="s">
        <v>114</v>
      </c>
      <c r="D40" s="66" t="s">
        <v>115</v>
      </c>
      <c r="E40" s="47"/>
      <c r="F40" s="47"/>
      <c r="G40" s="47">
        <v>16000</v>
      </c>
      <c r="H40" s="47"/>
      <c r="I40" s="47"/>
      <c r="J40" s="47"/>
      <c r="K40" s="47"/>
      <c r="L40" s="47">
        <v>16000</v>
      </c>
      <c r="M40" s="47">
        <v>16000</v>
      </c>
      <c r="N40" s="47">
        <f>ROUND(M40,0)+10864</f>
        <v>26864</v>
      </c>
      <c r="O40" s="47">
        <f t="shared" si="1"/>
        <v>10864</v>
      </c>
      <c r="P40" s="67" t="s">
        <v>116</v>
      </c>
      <c r="Q40" s="49">
        <f>10864+1629+1169</f>
        <v>13662</v>
      </c>
      <c r="R40" s="50">
        <f t="shared" si="2"/>
        <v>0.50856164383561642</v>
      </c>
      <c r="S40" s="68" t="s">
        <v>117</v>
      </c>
    </row>
    <row r="41" spans="1:19" ht="30" x14ac:dyDescent="0.25">
      <c r="B41" s="1" t="s">
        <v>118</v>
      </c>
      <c r="C41" s="45" t="s">
        <v>119</v>
      </c>
      <c r="D41" s="46" t="s">
        <v>120</v>
      </c>
      <c r="E41" s="47"/>
      <c r="F41" s="47"/>
      <c r="G41" s="47"/>
      <c r="H41" s="47"/>
      <c r="I41" s="47"/>
      <c r="J41" s="47"/>
      <c r="K41" s="47">
        <v>500</v>
      </c>
      <c r="L41" s="47">
        <v>500</v>
      </c>
      <c r="M41" s="47">
        <v>500</v>
      </c>
      <c r="N41" s="47">
        <f>ROUND(M41,0)</f>
        <v>500</v>
      </c>
      <c r="O41" s="47">
        <f t="shared" si="1"/>
        <v>0</v>
      </c>
      <c r="P41" s="67"/>
      <c r="Q41" s="49">
        <v>376</v>
      </c>
      <c r="R41" s="50">
        <f t="shared" si="2"/>
        <v>0.752</v>
      </c>
      <c r="S41" s="49"/>
    </row>
    <row r="42" spans="1:19" x14ac:dyDescent="0.25">
      <c r="C42" s="45" t="s">
        <v>121</v>
      </c>
      <c r="D42" s="46" t="s">
        <v>122</v>
      </c>
      <c r="E42" s="47"/>
      <c r="F42" s="47"/>
      <c r="G42" s="47"/>
      <c r="H42" s="47"/>
      <c r="I42" s="47"/>
      <c r="J42" s="47"/>
      <c r="K42" s="47">
        <v>5953</v>
      </c>
      <c r="L42" s="47">
        <v>5953</v>
      </c>
      <c r="M42" s="47">
        <v>5953</v>
      </c>
      <c r="N42" s="47">
        <f>ROUND(M42,0)</f>
        <v>5953</v>
      </c>
      <c r="O42" s="47">
        <f t="shared" si="1"/>
        <v>0</v>
      </c>
      <c r="P42" s="48"/>
      <c r="Q42" s="49">
        <v>10276</v>
      </c>
      <c r="R42" s="50">
        <f t="shared" si="2"/>
        <v>1.7261884763984545</v>
      </c>
      <c r="S42" s="49"/>
    </row>
    <row r="43" spans="1:19" ht="32.450000000000003" customHeight="1" x14ac:dyDescent="0.25">
      <c r="B43" s="1" t="s">
        <v>123</v>
      </c>
      <c r="C43" s="69" t="s">
        <v>124</v>
      </c>
      <c r="D43" s="52" t="s">
        <v>125</v>
      </c>
      <c r="E43" s="53"/>
      <c r="F43" s="53"/>
      <c r="G43" s="53"/>
      <c r="H43" s="53"/>
      <c r="I43" s="53"/>
      <c r="J43" s="53"/>
      <c r="K43" s="53">
        <v>433856</v>
      </c>
      <c r="L43" s="53">
        <v>433856</v>
      </c>
      <c r="M43" s="53">
        <v>433856</v>
      </c>
      <c r="N43" s="53">
        <f>ROUND(M43,0)</f>
        <v>433856</v>
      </c>
      <c r="O43" s="53">
        <f t="shared" si="1"/>
        <v>0</v>
      </c>
      <c r="P43" s="65"/>
      <c r="Q43" s="55">
        <f>375+35469+10</f>
        <v>35854</v>
      </c>
      <c r="R43" s="56">
        <f t="shared" si="2"/>
        <v>8.2640323056498002E-2</v>
      </c>
      <c r="S43" s="55"/>
    </row>
    <row r="44" spans="1:19" x14ac:dyDescent="0.25">
      <c r="C44" s="69" t="s">
        <v>126</v>
      </c>
      <c r="D44" s="52" t="s">
        <v>127</v>
      </c>
      <c r="E44" s="53">
        <v>1224821.94</v>
      </c>
      <c r="F44" s="53">
        <v>7883316</v>
      </c>
      <c r="G44" s="53">
        <v>1644824.49</v>
      </c>
      <c r="H44" s="53">
        <v>0</v>
      </c>
      <c r="I44" s="53">
        <v>0</v>
      </c>
      <c r="J44" s="53">
        <v>0</v>
      </c>
      <c r="K44" s="53">
        <v>0</v>
      </c>
      <c r="L44" s="53">
        <v>9528140.4900000002</v>
      </c>
      <c r="M44" s="53">
        <v>9528140.4900000002</v>
      </c>
      <c r="N44" s="53">
        <f t="shared" ref="N44" si="8">N45+N67+N88</f>
        <v>9575632</v>
      </c>
      <c r="O44" s="53">
        <f t="shared" si="1"/>
        <v>47491.509999999776</v>
      </c>
      <c r="P44" s="53"/>
      <c r="Q44" s="55">
        <f t="shared" ref="Q44" si="9">Q45+Q67+Q88</f>
        <v>2041123</v>
      </c>
      <c r="R44" s="56">
        <f t="shared" si="2"/>
        <v>0.21315804533841734</v>
      </c>
      <c r="S44" s="55"/>
    </row>
    <row r="45" spans="1:19" ht="17.45" customHeight="1" x14ac:dyDescent="0.25">
      <c r="B45" s="44"/>
      <c r="C45" s="70" t="s">
        <v>128</v>
      </c>
      <c r="D45" s="71" t="s">
        <v>129</v>
      </c>
      <c r="E45" s="72">
        <v>609089.79</v>
      </c>
      <c r="F45" s="72">
        <v>7875899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7875899</v>
      </c>
      <c r="M45" s="47">
        <v>7875899</v>
      </c>
      <c r="N45" s="47">
        <f t="shared" ref="N45" si="10">SUM(N46:N49)+N52+SUM(N56:N66)</f>
        <v>7923391</v>
      </c>
      <c r="O45" s="47">
        <f t="shared" si="1"/>
        <v>47492</v>
      </c>
      <c r="P45" s="47"/>
      <c r="Q45" s="49">
        <f t="shared" ref="Q45" si="11">SUM(Q46:Q49)+Q52+SUM(Q56:Q66)</f>
        <v>1871834</v>
      </c>
      <c r="R45" s="50">
        <f t="shared" si="2"/>
        <v>0.23624152840620891</v>
      </c>
      <c r="S45" s="49"/>
    </row>
    <row r="46" spans="1:19" ht="16.899999999999999" customHeight="1" x14ac:dyDescent="0.25">
      <c r="A46" s="1" t="s">
        <v>130</v>
      </c>
      <c r="B46" s="1" t="s">
        <v>131</v>
      </c>
      <c r="C46" s="62" t="s">
        <v>132</v>
      </c>
      <c r="D46" s="46" t="s">
        <v>133</v>
      </c>
      <c r="E46" s="47">
        <v>0</v>
      </c>
      <c r="F46" s="47">
        <v>593640</v>
      </c>
      <c r="G46" s="47"/>
      <c r="H46" s="47"/>
      <c r="I46" s="47"/>
      <c r="J46" s="47"/>
      <c r="K46" s="47"/>
      <c r="L46" s="47">
        <v>593640</v>
      </c>
      <c r="M46" s="47">
        <v>593640</v>
      </c>
      <c r="N46" s="47">
        <f>ROUND(M46,0)+52289</f>
        <v>645929</v>
      </c>
      <c r="O46" s="47">
        <f t="shared" si="1"/>
        <v>52289</v>
      </c>
      <c r="P46" s="67" t="s">
        <v>134</v>
      </c>
      <c r="Q46" s="49">
        <v>161482</v>
      </c>
      <c r="R46" s="50">
        <f t="shared" si="2"/>
        <v>0.24999961296055759</v>
      </c>
      <c r="S46" s="49"/>
    </row>
    <row r="47" spans="1:19" ht="13.9" customHeight="1" x14ac:dyDescent="0.25">
      <c r="A47" s="1" t="s">
        <v>130</v>
      </c>
      <c r="B47" s="59" t="s">
        <v>135</v>
      </c>
      <c r="C47" s="62" t="s">
        <v>136</v>
      </c>
      <c r="D47" s="46" t="s">
        <v>137</v>
      </c>
      <c r="E47" s="47">
        <v>20</v>
      </c>
      <c r="F47" s="47">
        <v>299288</v>
      </c>
      <c r="G47" s="47"/>
      <c r="H47" s="47"/>
      <c r="I47" s="47"/>
      <c r="J47" s="47"/>
      <c r="K47" s="47"/>
      <c r="L47" s="47">
        <v>299288</v>
      </c>
      <c r="M47" s="47">
        <v>299288</v>
      </c>
      <c r="N47" s="47">
        <f>ROUND(M47,0)</f>
        <v>299288</v>
      </c>
      <c r="O47" s="47">
        <f t="shared" si="1"/>
        <v>0</v>
      </c>
      <c r="P47" s="48"/>
      <c r="Q47" s="49">
        <v>74882</v>
      </c>
      <c r="R47" s="50">
        <f t="shared" si="2"/>
        <v>0.25020047579588889</v>
      </c>
      <c r="S47" s="49"/>
    </row>
    <row r="48" spans="1:19" x14ac:dyDescent="0.25">
      <c r="B48" s="59" t="s">
        <v>138</v>
      </c>
      <c r="C48" s="62" t="s">
        <v>139</v>
      </c>
      <c r="D48" s="46" t="s">
        <v>140</v>
      </c>
      <c r="E48" s="47">
        <v>36836</v>
      </c>
      <c r="F48" s="47">
        <v>249276</v>
      </c>
      <c r="G48" s="47"/>
      <c r="H48" s="47"/>
      <c r="I48" s="47"/>
      <c r="J48" s="47"/>
      <c r="K48" s="47"/>
      <c r="L48" s="47">
        <v>249276</v>
      </c>
      <c r="M48" s="47">
        <v>249276</v>
      </c>
      <c r="N48" s="47">
        <f>ROUND(M48,0)</f>
        <v>249276</v>
      </c>
      <c r="O48" s="47">
        <f t="shared" si="1"/>
        <v>0</v>
      </c>
      <c r="P48" s="67"/>
      <c r="Q48" s="49">
        <f>86648+13383</f>
        <v>100031</v>
      </c>
      <c r="R48" s="50">
        <f t="shared" si="2"/>
        <v>0.4012861246168905</v>
      </c>
      <c r="S48" s="49"/>
    </row>
    <row r="49" spans="1:19" ht="14.25" customHeight="1" x14ac:dyDescent="0.25">
      <c r="A49" s="1" t="s">
        <v>130</v>
      </c>
      <c r="B49" s="59" t="s">
        <v>141</v>
      </c>
      <c r="C49" s="62" t="s">
        <v>142</v>
      </c>
      <c r="D49" s="46" t="s">
        <v>143</v>
      </c>
      <c r="E49" s="47">
        <v>43038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" si="12">N50+N51</f>
        <v>0</v>
      </c>
      <c r="O49" s="47">
        <f t="shared" si="1"/>
        <v>0</v>
      </c>
      <c r="P49" s="47"/>
      <c r="Q49" s="49">
        <f t="shared" ref="Q49" si="13">Q50+Q51</f>
        <v>0</v>
      </c>
      <c r="R49" s="50"/>
      <c r="S49" s="49"/>
    </row>
    <row r="50" spans="1:19" ht="14.25" customHeight="1" x14ac:dyDescent="0.25">
      <c r="B50" s="59"/>
      <c r="C50" s="62" t="s">
        <v>144</v>
      </c>
      <c r="D50" s="63" t="s">
        <v>145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>
        <f t="shared" si="1"/>
        <v>0</v>
      </c>
      <c r="P50" s="67"/>
      <c r="Q50" s="49"/>
      <c r="R50" s="50"/>
      <c r="S50" s="49"/>
    </row>
    <row r="51" spans="1:19" ht="17.45" customHeight="1" x14ac:dyDescent="0.25">
      <c r="B51" s="59"/>
      <c r="C51" s="62" t="s">
        <v>146</v>
      </c>
      <c r="D51" s="63" t="s">
        <v>147</v>
      </c>
      <c r="E51" s="47">
        <v>43038</v>
      </c>
      <c r="F51" s="47"/>
      <c r="G51" s="47"/>
      <c r="H51" s="47"/>
      <c r="I51" s="47"/>
      <c r="J51" s="47"/>
      <c r="K51" s="47"/>
      <c r="L51" s="47"/>
      <c r="M51" s="47"/>
      <c r="N51" s="47"/>
      <c r="O51" s="47">
        <f t="shared" si="1"/>
        <v>0</v>
      </c>
      <c r="P51" s="67"/>
      <c r="Q51" s="49"/>
      <c r="R51" s="50"/>
      <c r="S51" s="49"/>
    </row>
    <row r="52" spans="1:19" ht="13.9" customHeight="1" x14ac:dyDescent="0.25">
      <c r="B52" s="1" t="s">
        <v>148</v>
      </c>
      <c r="C52" s="62" t="s">
        <v>149</v>
      </c>
      <c r="D52" s="46" t="s">
        <v>150</v>
      </c>
      <c r="E52" s="73">
        <v>92071</v>
      </c>
      <c r="F52" s="73">
        <v>5320740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5320740</v>
      </c>
      <c r="M52" s="73">
        <v>5320740</v>
      </c>
      <c r="N52" s="73">
        <f>N53+N54+N55</f>
        <v>5320740</v>
      </c>
      <c r="O52" s="73">
        <f t="shared" si="1"/>
        <v>0</v>
      </c>
      <c r="P52" s="74"/>
      <c r="Q52" s="75">
        <f>Q53+Q54+Q55</f>
        <v>1330185</v>
      </c>
      <c r="R52" s="76">
        <f t="shared" si="2"/>
        <v>0.25</v>
      </c>
      <c r="S52" s="75"/>
    </row>
    <row r="53" spans="1:19" s="81" customFormat="1" x14ac:dyDescent="0.25">
      <c r="A53" s="1" t="s">
        <v>130</v>
      </c>
      <c r="B53" s="59" t="s">
        <v>151</v>
      </c>
      <c r="C53" s="62" t="s">
        <v>152</v>
      </c>
      <c r="D53" s="63" t="s">
        <v>153</v>
      </c>
      <c r="E53" s="77">
        <v>10688</v>
      </c>
      <c r="F53" s="77">
        <v>723948</v>
      </c>
      <c r="G53" s="77"/>
      <c r="H53" s="77"/>
      <c r="I53" s="77"/>
      <c r="J53" s="77"/>
      <c r="K53" s="77"/>
      <c r="L53" s="77">
        <v>723948</v>
      </c>
      <c r="M53" s="77">
        <v>723948</v>
      </c>
      <c r="N53" s="77">
        <f t="shared" ref="N53:N65" si="14">ROUND(M53,0)</f>
        <v>723948</v>
      </c>
      <c r="O53" s="77">
        <f t="shared" si="1"/>
        <v>0</v>
      </c>
      <c r="P53" s="78"/>
      <c r="Q53" s="79">
        <v>180987</v>
      </c>
      <c r="R53" s="80">
        <f t="shared" si="2"/>
        <v>0.25</v>
      </c>
      <c r="S53" s="79"/>
    </row>
    <row r="54" spans="1:19" s="81" customFormat="1" x14ac:dyDescent="0.25">
      <c r="A54" s="1" t="s">
        <v>130</v>
      </c>
      <c r="B54" s="59" t="s">
        <v>154</v>
      </c>
      <c r="C54" s="62" t="s">
        <v>155</v>
      </c>
      <c r="D54" s="63" t="s">
        <v>156</v>
      </c>
      <c r="E54" s="77">
        <v>81383</v>
      </c>
      <c r="F54" s="77">
        <v>4279428</v>
      </c>
      <c r="G54" s="77"/>
      <c r="H54" s="77"/>
      <c r="I54" s="77"/>
      <c r="J54" s="77"/>
      <c r="K54" s="77"/>
      <c r="L54" s="77">
        <v>4279428</v>
      </c>
      <c r="M54" s="77">
        <v>4279428</v>
      </c>
      <c r="N54" s="77">
        <f>ROUND(M54,0)</f>
        <v>4279428</v>
      </c>
      <c r="O54" s="77">
        <f t="shared" si="1"/>
        <v>0</v>
      </c>
      <c r="P54" s="78"/>
      <c r="Q54" s="267">
        <f>1149198</f>
        <v>1149198</v>
      </c>
      <c r="R54" s="269">
        <f>Q54/(N54+N55)</f>
        <v>0.25</v>
      </c>
      <c r="S54" s="79"/>
    </row>
    <row r="55" spans="1:19" s="81" customFormat="1" x14ac:dyDescent="0.25">
      <c r="A55" s="1" t="s">
        <v>130</v>
      </c>
      <c r="B55" s="1"/>
      <c r="C55" s="62" t="s">
        <v>157</v>
      </c>
      <c r="D55" s="63" t="s">
        <v>158</v>
      </c>
      <c r="E55" s="77"/>
      <c r="F55" s="77">
        <v>317364</v>
      </c>
      <c r="G55" s="77"/>
      <c r="H55" s="77"/>
      <c r="I55" s="77"/>
      <c r="J55" s="77"/>
      <c r="K55" s="77"/>
      <c r="L55" s="77">
        <v>317364</v>
      </c>
      <c r="M55" s="77">
        <v>317364</v>
      </c>
      <c r="N55" s="77">
        <f t="shared" si="14"/>
        <v>317364</v>
      </c>
      <c r="O55" s="82">
        <f t="shared" si="1"/>
        <v>0</v>
      </c>
      <c r="P55" s="83"/>
      <c r="Q55" s="268"/>
      <c r="R55" s="270"/>
      <c r="S55" s="79"/>
    </row>
    <row r="56" spans="1:19" ht="31.5" customHeight="1" x14ac:dyDescent="0.25">
      <c r="A56" s="1" t="s">
        <v>130</v>
      </c>
      <c r="B56" s="1" t="s">
        <v>159</v>
      </c>
      <c r="C56" s="62" t="s">
        <v>160</v>
      </c>
      <c r="D56" s="46" t="s">
        <v>161</v>
      </c>
      <c r="E56" s="47"/>
      <c r="F56" s="47">
        <v>13088</v>
      </c>
      <c r="G56" s="47"/>
      <c r="H56" s="47"/>
      <c r="I56" s="47"/>
      <c r="J56" s="47"/>
      <c r="K56" s="47"/>
      <c r="L56" s="47">
        <v>13088</v>
      </c>
      <c r="M56" s="47">
        <v>13088</v>
      </c>
      <c r="N56" s="47">
        <f t="shared" si="14"/>
        <v>13088</v>
      </c>
      <c r="O56" s="47">
        <f t="shared" si="1"/>
        <v>0</v>
      </c>
      <c r="P56" s="57"/>
      <c r="Q56" s="49">
        <f t="shared" ref="Q56:Q63" si="15">ROUND(P56,0)</f>
        <v>0</v>
      </c>
      <c r="R56" s="50">
        <f t="shared" si="2"/>
        <v>0</v>
      </c>
      <c r="S56" s="49"/>
    </row>
    <row r="57" spans="1:19" ht="19.149999999999999" customHeight="1" x14ac:dyDescent="0.25">
      <c r="A57" s="1" t="s">
        <v>130</v>
      </c>
      <c r="B57" s="59" t="s">
        <v>162</v>
      </c>
      <c r="C57" s="62" t="s">
        <v>163</v>
      </c>
      <c r="D57" s="46" t="s">
        <v>164</v>
      </c>
      <c r="E57" s="47">
        <v>54</v>
      </c>
      <c r="F57" s="47">
        <v>16104</v>
      </c>
      <c r="G57" s="47"/>
      <c r="H57" s="47"/>
      <c r="I57" s="47"/>
      <c r="J57" s="47"/>
      <c r="K57" s="47"/>
      <c r="L57" s="47">
        <v>16104</v>
      </c>
      <c r="M57" s="47">
        <v>16104</v>
      </c>
      <c r="N57" s="47">
        <f>ROUND(M57,0)-2011</f>
        <v>14093</v>
      </c>
      <c r="O57" s="47">
        <f t="shared" si="1"/>
        <v>-2011</v>
      </c>
      <c r="P57" s="48" t="s">
        <v>165</v>
      </c>
      <c r="Q57" s="271">
        <v>0</v>
      </c>
      <c r="R57" s="273">
        <f>Q57/(N57+N58)</f>
        <v>0</v>
      </c>
      <c r="S57" s="49"/>
    </row>
    <row r="58" spans="1:19" ht="19.149999999999999" customHeight="1" x14ac:dyDescent="0.25">
      <c r="B58" s="59"/>
      <c r="C58" s="62" t="s">
        <v>166</v>
      </c>
      <c r="D58" s="46" t="s">
        <v>167</v>
      </c>
      <c r="E58" s="47"/>
      <c r="F58" s="47">
        <v>6454</v>
      </c>
      <c r="G58" s="47"/>
      <c r="H58" s="47"/>
      <c r="I58" s="47"/>
      <c r="J58" s="47"/>
      <c r="K58" s="47"/>
      <c r="L58" s="47">
        <v>6454</v>
      </c>
      <c r="M58" s="47">
        <v>6454</v>
      </c>
      <c r="N58" s="47">
        <f>ROUND(M58,0)-2786</f>
        <v>3668</v>
      </c>
      <c r="O58" s="47">
        <f t="shared" si="1"/>
        <v>-2786</v>
      </c>
      <c r="P58" s="48" t="s">
        <v>165</v>
      </c>
      <c r="Q58" s="272"/>
      <c r="R58" s="274">
        <f t="shared" si="2"/>
        <v>0</v>
      </c>
      <c r="S58" s="49"/>
    </row>
    <row r="59" spans="1:19" ht="18.600000000000001" customHeight="1" x14ac:dyDescent="0.25">
      <c r="B59" s="1" t="s">
        <v>168</v>
      </c>
      <c r="C59" s="62" t="s">
        <v>169</v>
      </c>
      <c r="D59" s="46" t="s">
        <v>170</v>
      </c>
      <c r="E59" s="47"/>
      <c r="F59" s="47">
        <v>421092</v>
      </c>
      <c r="G59" s="47"/>
      <c r="H59" s="47"/>
      <c r="I59" s="47"/>
      <c r="J59" s="47"/>
      <c r="K59" s="47"/>
      <c r="L59" s="47">
        <v>421092</v>
      </c>
      <c r="M59" s="47">
        <v>421092</v>
      </c>
      <c r="N59" s="47">
        <f t="shared" si="14"/>
        <v>421092</v>
      </c>
      <c r="O59" s="47">
        <f t="shared" si="1"/>
        <v>0</v>
      </c>
      <c r="P59" s="67"/>
      <c r="Q59" s="49">
        <v>70031</v>
      </c>
      <c r="R59" s="50">
        <f t="shared" si="2"/>
        <v>0.16630807519496926</v>
      </c>
      <c r="S59" s="49"/>
    </row>
    <row r="60" spans="1:19" ht="31.5" customHeight="1" x14ac:dyDescent="0.25">
      <c r="C60" s="62" t="s">
        <v>171</v>
      </c>
      <c r="D60" s="46" t="s">
        <v>172</v>
      </c>
      <c r="E60" s="47"/>
      <c r="F60" s="47">
        <v>25954</v>
      </c>
      <c r="G60" s="47"/>
      <c r="H60" s="47"/>
      <c r="I60" s="47"/>
      <c r="J60" s="47"/>
      <c r="K60" s="47"/>
      <c r="L60" s="47">
        <v>25954</v>
      </c>
      <c r="M60" s="47">
        <v>25954</v>
      </c>
      <c r="N60" s="47">
        <f t="shared" si="14"/>
        <v>25954</v>
      </c>
      <c r="O60" s="47">
        <f t="shared" si="1"/>
        <v>0</v>
      </c>
      <c r="P60" s="48"/>
      <c r="Q60" s="49">
        <v>7361</v>
      </c>
      <c r="R60" s="50">
        <f t="shared" si="2"/>
        <v>0.28361716883717347</v>
      </c>
      <c r="S60" s="49"/>
    </row>
    <row r="61" spans="1:19" ht="31.5" hidden="1" customHeight="1" outlineLevel="1" x14ac:dyDescent="0.25">
      <c r="C61" s="62"/>
      <c r="D61" s="46" t="s">
        <v>173</v>
      </c>
      <c r="E61" s="47">
        <v>72387</v>
      </c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8"/>
      <c r="Q61" s="49"/>
      <c r="R61" s="50"/>
      <c r="S61" s="49"/>
    </row>
    <row r="62" spans="1:19" ht="16.5" customHeight="1" collapsed="1" x14ac:dyDescent="0.25">
      <c r="B62" s="84" t="s">
        <v>174</v>
      </c>
      <c r="C62" s="62" t="s">
        <v>175</v>
      </c>
      <c r="D62" s="85" t="s">
        <v>176</v>
      </c>
      <c r="E62" s="86">
        <v>6813</v>
      </c>
      <c r="F62" s="47">
        <v>342263</v>
      </c>
      <c r="G62" s="47"/>
      <c r="H62" s="47"/>
      <c r="I62" s="47"/>
      <c r="J62" s="47"/>
      <c r="K62" s="47"/>
      <c r="L62" s="47">
        <v>342263</v>
      </c>
      <c r="M62" s="47">
        <v>342263</v>
      </c>
      <c r="N62" s="47">
        <f t="shared" si="14"/>
        <v>342263</v>
      </c>
      <c r="O62" s="47">
        <f t="shared" si="1"/>
        <v>0</v>
      </c>
      <c r="P62" s="48"/>
      <c r="Q62" s="49">
        <v>53340.94</v>
      </c>
      <c r="R62" s="50">
        <f t="shared" si="2"/>
        <v>0.15584781293917252</v>
      </c>
      <c r="S62" s="49" t="s">
        <v>177</v>
      </c>
    </row>
    <row r="63" spans="1:19" ht="58.9" customHeight="1" x14ac:dyDescent="0.25">
      <c r="C63" s="62"/>
      <c r="D63" s="46" t="s">
        <v>178</v>
      </c>
      <c r="E63" s="47">
        <v>6300</v>
      </c>
      <c r="F63" s="47"/>
      <c r="G63" s="47"/>
      <c r="H63" s="47"/>
      <c r="I63" s="47"/>
      <c r="J63" s="47"/>
      <c r="K63" s="47"/>
      <c r="L63" s="47">
        <v>0</v>
      </c>
      <c r="M63" s="47">
        <v>0</v>
      </c>
      <c r="N63" s="47">
        <f t="shared" si="14"/>
        <v>0</v>
      </c>
      <c r="O63" s="47">
        <f t="shared" si="1"/>
        <v>0</v>
      </c>
      <c r="P63" s="67"/>
      <c r="Q63" s="49">
        <f t="shared" si="15"/>
        <v>0</v>
      </c>
      <c r="R63" s="50"/>
      <c r="S63" s="49"/>
    </row>
    <row r="64" spans="1:19" ht="15.6" customHeight="1" x14ac:dyDescent="0.25">
      <c r="C64" s="62" t="s">
        <v>179</v>
      </c>
      <c r="D64" s="46" t="s">
        <v>180</v>
      </c>
      <c r="E64" s="47"/>
      <c r="F64" s="47">
        <v>50000</v>
      </c>
      <c r="G64" s="47"/>
      <c r="H64" s="47"/>
      <c r="I64" s="47"/>
      <c r="J64" s="47"/>
      <c r="K64" s="47"/>
      <c r="L64" s="47">
        <v>50000</v>
      </c>
      <c r="M64" s="47">
        <v>50000</v>
      </c>
      <c r="N64" s="47">
        <f t="shared" si="14"/>
        <v>50000</v>
      </c>
      <c r="O64" s="47">
        <f t="shared" si="1"/>
        <v>0</v>
      </c>
      <c r="P64" s="67"/>
      <c r="Q64" s="49">
        <v>20751</v>
      </c>
      <c r="R64" s="50">
        <f t="shared" si="2"/>
        <v>0.41502</v>
      </c>
      <c r="S64" s="49"/>
    </row>
    <row r="65" spans="1:19" ht="15.6" customHeight="1" x14ac:dyDescent="0.25">
      <c r="C65" s="62" t="s">
        <v>181</v>
      </c>
      <c r="D65" s="46" t="s">
        <v>182</v>
      </c>
      <c r="E65" s="47">
        <v>298343.78999999998</v>
      </c>
      <c r="F65" s="47">
        <v>400000</v>
      </c>
      <c r="G65" s="47"/>
      <c r="H65" s="47"/>
      <c r="I65" s="47"/>
      <c r="J65" s="47"/>
      <c r="K65" s="47"/>
      <c r="L65" s="87">
        <v>400000</v>
      </c>
      <c r="M65" s="47">
        <v>400000</v>
      </c>
      <c r="N65" s="47">
        <f t="shared" si="14"/>
        <v>400000</v>
      </c>
      <c r="O65" s="47">
        <f t="shared" si="1"/>
        <v>0</v>
      </c>
      <c r="P65" s="67"/>
      <c r="Q65" s="49">
        <f>32148</f>
        <v>32148</v>
      </c>
      <c r="R65" s="50">
        <f t="shared" si="2"/>
        <v>8.0369999999999997E-2</v>
      </c>
      <c r="S65" s="49" t="s">
        <v>183</v>
      </c>
    </row>
    <row r="66" spans="1:19" ht="15.6" customHeight="1" x14ac:dyDescent="0.25">
      <c r="A66" s="84" t="s">
        <v>184</v>
      </c>
      <c r="B66" s="1" t="s">
        <v>185</v>
      </c>
      <c r="C66" s="62" t="s">
        <v>186</v>
      </c>
      <c r="D66" s="46" t="s">
        <v>187</v>
      </c>
      <c r="E66" s="47">
        <v>53227</v>
      </c>
      <c r="F66" s="47">
        <v>138000</v>
      </c>
      <c r="G66" s="47"/>
      <c r="H66" s="47"/>
      <c r="I66" s="47"/>
      <c r="J66" s="47"/>
      <c r="K66" s="47"/>
      <c r="L66" s="47">
        <v>138000</v>
      </c>
      <c r="M66" s="47">
        <v>138000</v>
      </c>
      <c r="N66" s="47">
        <f>ROUND(M66,0)</f>
        <v>138000</v>
      </c>
      <c r="O66" s="47">
        <f t="shared" si="1"/>
        <v>0</v>
      </c>
      <c r="P66" s="67"/>
      <c r="Q66" s="49">
        <f>82324-Q62-Q56-Q60</f>
        <v>21622.059999999998</v>
      </c>
      <c r="R66" s="50">
        <f t="shared" si="2"/>
        <v>0.15668159420289854</v>
      </c>
      <c r="S66" s="68"/>
    </row>
    <row r="67" spans="1:19" ht="32.25" customHeight="1" x14ac:dyDescent="0.25">
      <c r="C67" s="70" t="s">
        <v>188</v>
      </c>
      <c r="D67" s="71" t="s">
        <v>189</v>
      </c>
      <c r="E67" s="72">
        <v>615732.15</v>
      </c>
      <c r="F67" s="72">
        <v>7417</v>
      </c>
      <c r="G67" s="72">
        <v>1644824.49</v>
      </c>
      <c r="H67" s="72">
        <v>0</v>
      </c>
      <c r="I67" s="72">
        <v>0</v>
      </c>
      <c r="J67" s="72">
        <v>0</v>
      </c>
      <c r="K67" s="72">
        <v>0</v>
      </c>
      <c r="L67" s="72">
        <v>1652241.49</v>
      </c>
      <c r="M67" s="72">
        <v>1652241.49</v>
      </c>
      <c r="N67" s="72">
        <f>SUM(N68:N87)</f>
        <v>1652241</v>
      </c>
      <c r="O67" s="72">
        <f t="shared" si="1"/>
        <v>-0.48999999999068677</v>
      </c>
      <c r="P67" s="88"/>
      <c r="Q67" s="89">
        <f>SUM(Q68:Q87)</f>
        <v>169289</v>
      </c>
      <c r="R67" s="90">
        <f t="shared" si="2"/>
        <v>0.10246023431206465</v>
      </c>
      <c r="S67" s="89"/>
    </row>
    <row r="68" spans="1:19" x14ac:dyDescent="0.25">
      <c r="A68" s="1" t="s">
        <v>130</v>
      </c>
      <c r="B68" s="59" t="s">
        <v>190</v>
      </c>
      <c r="C68" s="62" t="s">
        <v>191</v>
      </c>
      <c r="D68" s="91" t="s">
        <v>192</v>
      </c>
      <c r="E68" s="47">
        <v>1214</v>
      </c>
      <c r="F68" s="47">
        <v>7417</v>
      </c>
      <c r="G68" s="47"/>
      <c r="H68" s="47"/>
      <c r="I68" s="47"/>
      <c r="J68" s="47"/>
      <c r="K68" s="47"/>
      <c r="L68" s="47">
        <v>7417</v>
      </c>
      <c r="M68" s="47">
        <v>7417</v>
      </c>
      <c r="N68" s="47">
        <f t="shared" ref="N68:N88" si="16">ROUND(M68,0)</f>
        <v>7417</v>
      </c>
      <c r="O68" s="47">
        <f t="shared" si="1"/>
        <v>0</v>
      </c>
      <c r="P68" s="92"/>
      <c r="Q68" s="49">
        <v>975</v>
      </c>
      <c r="R68" s="50">
        <f t="shared" si="2"/>
        <v>0.13145476607792908</v>
      </c>
      <c r="S68" s="49"/>
    </row>
    <row r="69" spans="1:19" x14ac:dyDescent="0.25">
      <c r="A69" s="1" t="s">
        <v>193</v>
      </c>
      <c r="B69" s="1" t="s">
        <v>194</v>
      </c>
      <c r="C69" s="62" t="s">
        <v>195</v>
      </c>
      <c r="D69" s="91" t="s">
        <v>196</v>
      </c>
      <c r="E69" s="47">
        <v>90431.9</v>
      </c>
      <c r="F69" s="47"/>
      <c r="G69" s="47">
        <v>109839.1</v>
      </c>
      <c r="H69" s="47"/>
      <c r="I69" s="47"/>
      <c r="J69" s="47"/>
      <c r="K69" s="47"/>
      <c r="L69" s="47">
        <v>109839.1</v>
      </c>
      <c r="M69" s="47">
        <v>109839.1</v>
      </c>
      <c r="N69" s="47">
        <f t="shared" si="16"/>
        <v>109839</v>
      </c>
      <c r="O69" s="47">
        <f t="shared" si="1"/>
        <v>-0.10000000000582077</v>
      </c>
      <c r="P69" s="58"/>
      <c r="Q69" s="49">
        <v>0</v>
      </c>
      <c r="R69" s="50">
        <f t="shared" si="2"/>
        <v>0</v>
      </c>
      <c r="S69" s="49" t="s">
        <v>197</v>
      </c>
    </row>
    <row r="70" spans="1:19" ht="30" hidden="1" outlineLevel="1" x14ac:dyDescent="0.25">
      <c r="C70" s="62" t="s">
        <v>198</v>
      </c>
      <c r="D70" s="91" t="s">
        <v>199</v>
      </c>
      <c r="E70" s="47">
        <v>7821</v>
      </c>
      <c r="F70" s="47"/>
      <c r="G70" s="47"/>
      <c r="H70" s="47"/>
      <c r="I70" s="47"/>
      <c r="J70" s="47"/>
      <c r="K70" s="47"/>
      <c r="L70" s="47">
        <v>0</v>
      </c>
      <c r="M70" s="47">
        <v>0</v>
      </c>
      <c r="N70" s="47">
        <f t="shared" si="16"/>
        <v>0</v>
      </c>
      <c r="O70" s="47">
        <f t="shared" si="1"/>
        <v>0</v>
      </c>
      <c r="P70" s="67"/>
      <c r="Q70" s="49">
        <f t="shared" ref="Q70:Q88" si="17">ROUND(P70,0)</f>
        <v>0</v>
      </c>
      <c r="R70" s="50"/>
      <c r="S70" s="49"/>
    </row>
    <row r="71" spans="1:19" ht="45" hidden="1" outlineLevel="1" x14ac:dyDescent="0.25">
      <c r="B71" s="93" t="s">
        <v>200</v>
      </c>
      <c r="C71" s="62" t="s">
        <v>201</v>
      </c>
      <c r="D71" s="91" t="s">
        <v>202</v>
      </c>
      <c r="E71" s="47">
        <v>71104</v>
      </c>
      <c r="F71" s="47"/>
      <c r="G71" s="47"/>
      <c r="H71" s="47"/>
      <c r="I71" s="47"/>
      <c r="J71" s="47"/>
      <c r="K71" s="47"/>
      <c r="L71" s="47">
        <v>0</v>
      </c>
      <c r="M71" s="47">
        <v>0</v>
      </c>
      <c r="N71" s="47">
        <f t="shared" si="16"/>
        <v>0</v>
      </c>
      <c r="O71" s="47">
        <f t="shared" si="1"/>
        <v>0</v>
      </c>
      <c r="P71" s="58"/>
      <c r="Q71" s="49">
        <f t="shared" si="17"/>
        <v>0</v>
      </c>
      <c r="R71" s="50"/>
      <c r="S71" s="49"/>
    </row>
    <row r="72" spans="1:19" ht="30" hidden="1" outlineLevel="1" x14ac:dyDescent="0.25">
      <c r="B72" s="1" t="s">
        <v>203</v>
      </c>
      <c r="C72" s="62" t="s">
        <v>204</v>
      </c>
      <c r="D72" s="91" t="s">
        <v>205</v>
      </c>
      <c r="E72" s="47">
        <v>42037.25</v>
      </c>
      <c r="F72" s="47"/>
      <c r="G72" s="47"/>
      <c r="H72" s="47"/>
      <c r="I72" s="47"/>
      <c r="J72" s="47"/>
      <c r="K72" s="47"/>
      <c r="L72" s="47">
        <v>0</v>
      </c>
      <c r="M72" s="47">
        <v>0</v>
      </c>
      <c r="N72" s="47">
        <f t="shared" si="16"/>
        <v>0</v>
      </c>
      <c r="O72" s="47">
        <f t="shared" ref="O72:O125" si="18">N72-M72</f>
        <v>0</v>
      </c>
      <c r="P72" s="60"/>
      <c r="Q72" s="49">
        <f t="shared" si="17"/>
        <v>0</v>
      </c>
      <c r="R72" s="50"/>
      <c r="S72" s="49"/>
    </row>
    <row r="73" spans="1:19" ht="30" collapsed="1" x14ac:dyDescent="0.25">
      <c r="B73" s="59" t="s">
        <v>206</v>
      </c>
      <c r="C73" s="62" t="s">
        <v>207</v>
      </c>
      <c r="D73" s="91" t="s">
        <v>208</v>
      </c>
      <c r="E73" s="47">
        <v>24529</v>
      </c>
      <c r="F73" s="47"/>
      <c r="G73" s="47">
        <v>81714</v>
      </c>
      <c r="H73" s="47"/>
      <c r="I73" s="47"/>
      <c r="J73" s="47"/>
      <c r="K73" s="47"/>
      <c r="L73" s="47">
        <v>81714</v>
      </c>
      <c r="M73" s="47">
        <v>81714</v>
      </c>
      <c r="N73" s="47">
        <f t="shared" si="16"/>
        <v>81714</v>
      </c>
      <c r="O73" s="47">
        <f t="shared" si="18"/>
        <v>0</v>
      </c>
      <c r="P73" s="94"/>
      <c r="Q73" s="49">
        <v>0</v>
      </c>
      <c r="R73" s="50">
        <f t="shared" ref="R73:R125" si="19">Q73/N73</f>
        <v>0</v>
      </c>
      <c r="S73" s="68"/>
    </row>
    <row r="74" spans="1:19" ht="30" x14ac:dyDescent="0.25">
      <c r="B74" s="59"/>
      <c r="C74" s="62" t="s">
        <v>209</v>
      </c>
      <c r="D74" s="91" t="s">
        <v>210</v>
      </c>
      <c r="E74" s="47">
        <v>4454</v>
      </c>
      <c r="F74" s="47"/>
      <c r="G74" s="47">
        <v>117147</v>
      </c>
      <c r="H74" s="47"/>
      <c r="I74" s="47"/>
      <c r="J74" s="47"/>
      <c r="K74" s="47"/>
      <c r="L74" s="47">
        <v>117147</v>
      </c>
      <c r="M74" s="47">
        <v>117147</v>
      </c>
      <c r="N74" s="47">
        <f t="shared" si="16"/>
        <v>117147</v>
      </c>
      <c r="O74" s="47">
        <f t="shared" si="18"/>
        <v>0</v>
      </c>
      <c r="P74" s="94"/>
      <c r="Q74" s="49">
        <v>0</v>
      </c>
      <c r="R74" s="50">
        <f t="shared" si="19"/>
        <v>0</v>
      </c>
      <c r="S74" s="49"/>
    </row>
    <row r="75" spans="1:19" x14ac:dyDescent="0.25">
      <c r="B75" s="59"/>
      <c r="C75" s="62" t="s">
        <v>211</v>
      </c>
      <c r="D75" s="91" t="s">
        <v>212</v>
      </c>
      <c r="E75" s="47">
        <v>38723</v>
      </c>
      <c r="F75" s="47"/>
      <c r="G75" s="47">
        <v>291947</v>
      </c>
      <c r="H75" s="47"/>
      <c r="I75" s="47"/>
      <c r="J75" s="47"/>
      <c r="K75" s="47">
        <v>0</v>
      </c>
      <c r="L75" s="47">
        <v>291947</v>
      </c>
      <c r="M75" s="47">
        <v>291947</v>
      </c>
      <c r="N75" s="47">
        <f t="shared" si="16"/>
        <v>291947</v>
      </c>
      <c r="O75" s="47">
        <f t="shared" si="18"/>
        <v>0</v>
      </c>
      <c r="P75" s="94"/>
      <c r="Q75" s="49">
        <v>60965</v>
      </c>
      <c r="R75" s="50">
        <f t="shared" si="19"/>
        <v>0.20882214922571563</v>
      </c>
      <c r="S75" s="49"/>
    </row>
    <row r="76" spans="1:19" ht="30" x14ac:dyDescent="0.25">
      <c r="A76" s="1" t="s">
        <v>213</v>
      </c>
      <c r="B76" s="95" t="s">
        <v>214</v>
      </c>
      <c r="C76" s="62" t="s">
        <v>215</v>
      </c>
      <c r="D76" s="91" t="s">
        <v>216</v>
      </c>
      <c r="E76" s="47">
        <v>7851</v>
      </c>
      <c r="F76" s="47"/>
      <c r="G76" s="47">
        <v>104321.39</v>
      </c>
      <c r="H76" s="47"/>
      <c r="I76" s="47"/>
      <c r="J76" s="47"/>
      <c r="K76" s="47"/>
      <c r="L76" s="47">
        <v>104321.39</v>
      </c>
      <c r="M76" s="47">
        <v>104321.39</v>
      </c>
      <c r="N76" s="47">
        <f t="shared" si="16"/>
        <v>104321</v>
      </c>
      <c r="O76" s="47">
        <f t="shared" si="18"/>
        <v>-0.38999999999941792</v>
      </c>
      <c r="P76" s="94"/>
      <c r="Q76" s="49">
        <v>104321</v>
      </c>
      <c r="R76" s="50">
        <f t="shared" si="19"/>
        <v>1</v>
      </c>
      <c r="S76" s="68"/>
    </row>
    <row r="77" spans="1:19" x14ac:dyDescent="0.25">
      <c r="B77" s="84" t="s">
        <v>9</v>
      </c>
      <c r="C77" s="62" t="s">
        <v>217</v>
      </c>
      <c r="D77" s="96" t="s">
        <v>218</v>
      </c>
      <c r="E77" s="97"/>
      <c r="F77" s="47"/>
      <c r="G77" s="98">
        <v>40898</v>
      </c>
      <c r="H77" s="47"/>
      <c r="I77" s="47"/>
      <c r="J77" s="47"/>
      <c r="K77" s="47"/>
      <c r="L77" s="47">
        <v>40898</v>
      </c>
      <c r="M77" s="47">
        <v>40898</v>
      </c>
      <c r="N77" s="47">
        <f t="shared" si="16"/>
        <v>40898</v>
      </c>
      <c r="O77" s="47">
        <f t="shared" si="18"/>
        <v>0</v>
      </c>
      <c r="P77" s="94"/>
      <c r="Q77" s="49">
        <f t="shared" si="17"/>
        <v>0</v>
      </c>
      <c r="R77" s="50">
        <f t="shared" si="19"/>
        <v>0</v>
      </c>
      <c r="S77" s="68"/>
    </row>
    <row r="78" spans="1:19" ht="30" hidden="1" outlineLevel="1" x14ac:dyDescent="0.25">
      <c r="B78" s="59"/>
      <c r="C78" s="62" t="s">
        <v>219</v>
      </c>
      <c r="D78" s="91" t="s">
        <v>220</v>
      </c>
      <c r="E78" s="47">
        <v>1049</v>
      </c>
      <c r="F78" s="47"/>
      <c r="G78" s="47"/>
      <c r="H78" s="47"/>
      <c r="I78" s="47"/>
      <c r="J78" s="47"/>
      <c r="K78" s="47"/>
      <c r="L78" s="47">
        <v>0</v>
      </c>
      <c r="M78" s="47">
        <v>0</v>
      </c>
      <c r="N78" s="47">
        <f t="shared" si="16"/>
        <v>0</v>
      </c>
      <c r="O78" s="47">
        <f t="shared" si="18"/>
        <v>0</v>
      </c>
      <c r="P78" s="94"/>
      <c r="Q78" s="49">
        <f t="shared" si="17"/>
        <v>0</v>
      </c>
      <c r="R78" s="50" t="e">
        <f t="shared" si="19"/>
        <v>#DIV/0!</v>
      </c>
      <c r="S78" s="49"/>
    </row>
    <row r="79" spans="1:19" ht="30" hidden="1" outlineLevel="1" x14ac:dyDescent="0.25">
      <c r="B79" s="59"/>
      <c r="C79" s="62" t="s">
        <v>221</v>
      </c>
      <c r="D79" s="91" t="s">
        <v>222</v>
      </c>
      <c r="E79" s="47">
        <v>16292</v>
      </c>
      <c r="F79" s="47"/>
      <c r="G79" s="47"/>
      <c r="H79" s="47"/>
      <c r="I79" s="47"/>
      <c r="J79" s="47"/>
      <c r="K79" s="47"/>
      <c r="L79" s="47">
        <v>0</v>
      </c>
      <c r="M79" s="47">
        <v>0</v>
      </c>
      <c r="N79" s="47">
        <f t="shared" si="16"/>
        <v>0</v>
      </c>
      <c r="O79" s="47">
        <f t="shared" si="18"/>
        <v>0</v>
      </c>
      <c r="P79" s="94"/>
      <c r="Q79" s="49">
        <f t="shared" si="17"/>
        <v>0</v>
      </c>
      <c r="R79" s="50" t="e">
        <f t="shared" si="19"/>
        <v>#DIV/0!</v>
      </c>
      <c r="S79" s="49"/>
    </row>
    <row r="80" spans="1:19" collapsed="1" x14ac:dyDescent="0.25">
      <c r="B80" s="59"/>
      <c r="C80" s="62" t="s">
        <v>223</v>
      </c>
      <c r="D80" s="96" t="s">
        <v>224</v>
      </c>
      <c r="E80" s="47"/>
      <c r="F80" s="47"/>
      <c r="G80" s="47">
        <v>202410</v>
      </c>
      <c r="H80" s="47"/>
      <c r="I80" s="47"/>
      <c r="J80" s="47"/>
      <c r="K80" s="47"/>
      <c r="L80" s="47">
        <v>202410</v>
      </c>
      <c r="M80" s="47">
        <v>202410</v>
      </c>
      <c r="N80" s="47">
        <f t="shared" si="16"/>
        <v>202410</v>
      </c>
      <c r="O80" s="47">
        <f t="shared" si="18"/>
        <v>0</v>
      </c>
      <c r="P80" s="94"/>
      <c r="Q80" s="49">
        <f t="shared" si="17"/>
        <v>0</v>
      </c>
      <c r="R80" s="50">
        <f t="shared" si="19"/>
        <v>0</v>
      </c>
      <c r="S80" s="49" t="s">
        <v>225</v>
      </c>
    </row>
    <row r="81" spans="1:19" ht="30" hidden="1" outlineLevel="1" x14ac:dyDescent="0.25">
      <c r="B81" s="59"/>
      <c r="C81" s="62" t="s">
        <v>226</v>
      </c>
      <c r="D81" s="91" t="s">
        <v>227</v>
      </c>
      <c r="E81" s="47">
        <v>15704</v>
      </c>
      <c r="F81" s="47"/>
      <c r="G81" s="47"/>
      <c r="H81" s="47"/>
      <c r="I81" s="47"/>
      <c r="J81" s="47"/>
      <c r="K81" s="47"/>
      <c r="L81" s="47">
        <v>0</v>
      </c>
      <c r="M81" s="47">
        <v>0</v>
      </c>
      <c r="N81" s="47">
        <f t="shared" si="16"/>
        <v>0</v>
      </c>
      <c r="O81" s="47">
        <f t="shared" si="18"/>
        <v>0</v>
      </c>
      <c r="P81" s="94"/>
      <c r="Q81" s="49">
        <f t="shared" si="17"/>
        <v>0</v>
      </c>
      <c r="R81" s="50"/>
      <c r="S81" s="49"/>
    </row>
    <row r="82" spans="1:19" collapsed="1" x14ac:dyDescent="0.25">
      <c r="B82" s="59"/>
      <c r="C82" s="62" t="s">
        <v>228</v>
      </c>
      <c r="D82" s="91" t="s">
        <v>229</v>
      </c>
      <c r="E82" s="47">
        <v>294522</v>
      </c>
      <c r="F82" s="47"/>
      <c r="G82" s="47">
        <v>2464</v>
      </c>
      <c r="H82" s="47"/>
      <c r="I82" s="47"/>
      <c r="J82" s="47"/>
      <c r="K82" s="47"/>
      <c r="L82" s="47">
        <v>2464</v>
      </c>
      <c r="M82" s="47">
        <v>2464</v>
      </c>
      <c r="N82" s="47">
        <f t="shared" si="16"/>
        <v>2464</v>
      </c>
      <c r="O82" s="47">
        <f t="shared" si="18"/>
        <v>0</v>
      </c>
      <c r="P82" s="94"/>
      <c r="Q82" s="49">
        <v>3028</v>
      </c>
      <c r="R82" s="50">
        <f t="shared" si="19"/>
        <v>1.2288961038961039</v>
      </c>
      <c r="S82" s="68" t="s">
        <v>230</v>
      </c>
    </row>
    <row r="83" spans="1:19" ht="28.9" hidden="1" customHeight="1" outlineLevel="1" x14ac:dyDescent="0.25">
      <c r="B83" s="59"/>
      <c r="C83" s="62" t="s">
        <v>231</v>
      </c>
      <c r="D83" s="91" t="s">
        <v>232</v>
      </c>
      <c r="E83" s="47"/>
      <c r="F83" s="47"/>
      <c r="G83" s="47"/>
      <c r="H83" s="47"/>
      <c r="I83" s="47"/>
      <c r="J83" s="47"/>
      <c r="K83" s="47"/>
      <c r="L83" s="47">
        <v>0</v>
      </c>
      <c r="M83" s="47">
        <v>0</v>
      </c>
      <c r="N83" s="47">
        <f t="shared" si="16"/>
        <v>0</v>
      </c>
      <c r="O83" s="47">
        <f t="shared" si="18"/>
        <v>0</v>
      </c>
      <c r="P83" s="94"/>
      <c r="Q83" s="49">
        <f t="shared" si="17"/>
        <v>0</v>
      </c>
      <c r="R83" s="50" t="e">
        <f t="shared" si="19"/>
        <v>#DIV/0!</v>
      </c>
      <c r="S83" s="68"/>
    </row>
    <row r="84" spans="1:19" hidden="1" outlineLevel="1" x14ac:dyDescent="0.25">
      <c r="B84" s="59"/>
      <c r="C84" s="62" t="s">
        <v>233</v>
      </c>
      <c r="D84" s="91" t="s">
        <v>234</v>
      </c>
      <c r="E84" s="47"/>
      <c r="F84" s="47"/>
      <c r="G84" s="47"/>
      <c r="H84" s="47"/>
      <c r="I84" s="47"/>
      <c r="J84" s="47"/>
      <c r="K84" s="47"/>
      <c r="L84" s="47">
        <v>0</v>
      </c>
      <c r="M84" s="47">
        <v>0</v>
      </c>
      <c r="N84" s="47">
        <f t="shared" si="16"/>
        <v>0</v>
      </c>
      <c r="O84" s="47">
        <f t="shared" si="18"/>
        <v>0</v>
      </c>
      <c r="P84" s="94"/>
      <c r="Q84" s="49">
        <f t="shared" si="17"/>
        <v>0</v>
      </c>
      <c r="R84" s="50" t="e">
        <f t="shared" si="19"/>
        <v>#DIV/0!</v>
      </c>
      <c r="S84" s="68"/>
    </row>
    <row r="85" spans="1:19" ht="30" collapsed="1" x14ac:dyDescent="0.25">
      <c r="B85" s="59"/>
      <c r="C85" s="62" t="s">
        <v>235</v>
      </c>
      <c r="D85" s="91" t="s">
        <v>236</v>
      </c>
      <c r="E85" s="47"/>
      <c r="F85" s="47"/>
      <c r="G85" s="47">
        <v>14100</v>
      </c>
      <c r="H85" s="47"/>
      <c r="I85" s="47"/>
      <c r="J85" s="47"/>
      <c r="K85" s="47"/>
      <c r="L85" s="47">
        <v>14100</v>
      </c>
      <c r="M85" s="47">
        <v>14100</v>
      </c>
      <c r="N85" s="47">
        <f t="shared" si="16"/>
        <v>14100</v>
      </c>
      <c r="O85" s="47">
        <f t="shared" si="18"/>
        <v>0</v>
      </c>
      <c r="P85" s="94"/>
      <c r="Q85" s="49">
        <f t="shared" si="17"/>
        <v>0</v>
      </c>
      <c r="R85" s="50">
        <f t="shared" si="19"/>
        <v>0</v>
      </c>
      <c r="S85" s="68" t="s">
        <v>197</v>
      </c>
    </row>
    <row r="86" spans="1:19" x14ac:dyDescent="0.25">
      <c r="B86" s="59"/>
      <c r="C86" s="62" t="s">
        <v>237</v>
      </c>
      <c r="D86" s="99" t="s">
        <v>238</v>
      </c>
      <c r="E86" s="47"/>
      <c r="F86" s="47"/>
      <c r="G86" s="47">
        <v>382739</v>
      </c>
      <c r="H86" s="47"/>
      <c r="I86" s="47"/>
      <c r="J86" s="47"/>
      <c r="K86" s="47"/>
      <c r="L86" s="47">
        <v>382739</v>
      </c>
      <c r="M86" s="47">
        <v>382739</v>
      </c>
      <c r="N86" s="47">
        <f t="shared" si="16"/>
        <v>382739</v>
      </c>
      <c r="O86" s="47">
        <f t="shared" si="18"/>
        <v>0</v>
      </c>
      <c r="P86" s="94"/>
      <c r="Q86" s="49">
        <f t="shared" si="17"/>
        <v>0</v>
      </c>
      <c r="R86" s="50">
        <f t="shared" si="19"/>
        <v>0</v>
      </c>
      <c r="S86" s="68" t="s">
        <v>197</v>
      </c>
    </row>
    <row r="87" spans="1:19" ht="16.899999999999999" customHeight="1" x14ac:dyDescent="0.25">
      <c r="B87" s="59"/>
      <c r="C87" s="62" t="s">
        <v>239</v>
      </c>
      <c r="D87" s="99" t="s">
        <v>240</v>
      </c>
      <c r="E87" s="47"/>
      <c r="F87" s="47"/>
      <c r="G87" s="47">
        <v>297245</v>
      </c>
      <c r="H87" s="47"/>
      <c r="I87" s="47"/>
      <c r="J87" s="47"/>
      <c r="K87" s="47"/>
      <c r="L87" s="47">
        <v>297245</v>
      </c>
      <c r="M87" s="47">
        <v>297245</v>
      </c>
      <c r="N87" s="47">
        <f t="shared" si="16"/>
        <v>297245</v>
      </c>
      <c r="O87" s="47">
        <f t="shared" si="18"/>
        <v>0</v>
      </c>
      <c r="P87" s="94"/>
      <c r="Q87" s="49">
        <f t="shared" si="17"/>
        <v>0</v>
      </c>
      <c r="R87" s="50">
        <f t="shared" si="19"/>
        <v>0</v>
      </c>
      <c r="S87" s="68" t="s">
        <v>197</v>
      </c>
    </row>
    <row r="88" spans="1:19" hidden="1" outlineLevel="1" x14ac:dyDescent="0.25">
      <c r="B88" s="44" t="s">
        <v>241</v>
      </c>
      <c r="C88" s="45" t="s">
        <v>242</v>
      </c>
      <c r="D88" s="100" t="s">
        <v>243</v>
      </c>
      <c r="E88" s="47"/>
      <c r="F88" s="47"/>
      <c r="G88" s="47"/>
      <c r="H88" s="47"/>
      <c r="I88" s="47"/>
      <c r="J88" s="47"/>
      <c r="K88" s="47"/>
      <c r="L88" s="47">
        <v>0</v>
      </c>
      <c r="M88" s="47">
        <v>0</v>
      </c>
      <c r="N88" s="47">
        <f t="shared" si="16"/>
        <v>0</v>
      </c>
      <c r="O88" s="47">
        <f t="shared" si="18"/>
        <v>0</v>
      </c>
      <c r="P88" s="48"/>
      <c r="Q88" s="49">
        <f t="shared" si="17"/>
        <v>0</v>
      </c>
      <c r="R88" s="50"/>
      <c r="S88" s="49"/>
    </row>
    <row r="89" spans="1:19" collapsed="1" x14ac:dyDescent="0.25">
      <c r="C89" s="69" t="s">
        <v>244</v>
      </c>
      <c r="D89" s="52" t="s">
        <v>245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295000</v>
      </c>
      <c r="L89" s="53">
        <v>295000</v>
      </c>
      <c r="M89" s="53">
        <v>295000</v>
      </c>
      <c r="N89" s="53">
        <f>N90+N91</f>
        <v>295000</v>
      </c>
      <c r="O89" s="53">
        <f t="shared" si="18"/>
        <v>0</v>
      </c>
      <c r="P89" s="54"/>
      <c r="Q89" s="55">
        <f>Q90+Q91</f>
        <v>62551</v>
      </c>
      <c r="R89" s="56">
        <f t="shared" si="19"/>
        <v>0.21203728813559322</v>
      </c>
      <c r="S89" s="55"/>
    </row>
    <row r="90" spans="1:19" ht="27.6" customHeight="1" x14ac:dyDescent="0.25">
      <c r="B90" s="1" t="s">
        <v>246</v>
      </c>
      <c r="C90" s="45" t="s">
        <v>247</v>
      </c>
      <c r="D90" s="46" t="s">
        <v>248</v>
      </c>
      <c r="E90" s="47"/>
      <c r="F90" s="47"/>
      <c r="G90" s="47"/>
      <c r="H90" s="47"/>
      <c r="I90" s="47"/>
      <c r="J90" s="47"/>
      <c r="K90" s="47">
        <v>295000</v>
      </c>
      <c r="L90" s="47">
        <v>295000</v>
      </c>
      <c r="M90" s="47">
        <v>295000</v>
      </c>
      <c r="N90" s="47">
        <f>ROUND(M90,0)</f>
        <v>295000</v>
      </c>
      <c r="O90" s="47">
        <f t="shared" si="18"/>
        <v>0</v>
      </c>
      <c r="P90" s="67"/>
      <c r="Q90" s="49">
        <v>62551</v>
      </c>
      <c r="R90" s="50">
        <f t="shared" si="19"/>
        <v>0.21203728813559322</v>
      </c>
      <c r="S90" s="49" t="s">
        <v>249</v>
      </c>
    </row>
    <row r="91" spans="1:19" ht="16.149999999999999" customHeight="1" x14ac:dyDescent="0.25">
      <c r="B91" s="1" t="s">
        <v>250</v>
      </c>
      <c r="C91" s="45" t="s">
        <v>251</v>
      </c>
      <c r="D91" s="46" t="s">
        <v>252</v>
      </c>
      <c r="E91" s="47"/>
      <c r="F91" s="47"/>
      <c r="G91" s="47"/>
      <c r="H91" s="47"/>
      <c r="I91" s="47"/>
      <c r="J91" s="47"/>
      <c r="K91" s="47">
        <v>0</v>
      </c>
      <c r="L91" s="47">
        <v>0</v>
      </c>
      <c r="M91" s="47">
        <v>0</v>
      </c>
      <c r="N91" s="47">
        <f>ROUND(M91,0)</f>
        <v>0</v>
      </c>
      <c r="O91" s="47">
        <f t="shared" si="18"/>
        <v>0</v>
      </c>
      <c r="P91" s="48"/>
      <c r="Q91" s="49">
        <v>0</v>
      </c>
      <c r="R91" s="50"/>
      <c r="S91" s="49"/>
    </row>
    <row r="92" spans="1:19" ht="35.450000000000003" customHeight="1" x14ac:dyDescent="0.25">
      <c r="C92" s="69" t="s">
        <v>253</v>
      </c>
      <c r="D92" s="52" t="s">
        <v>254</v>
      </c>
      <c r="E92" s="53">
        <v>36140</v>
      </c>
      <c r="F92" s="53">
        <v>0</v>
      </c>
      <c r="G92" s="53">
        <v>0</v>
      </c>
      <c r="H92" s="53">
        <v>0</v>
      </c>
      <c r="I92" s="53">
        <v>3813551</v>
      </c>
      <c r="J92" s="53">
        <v>0</v>
      </c>
      <c r="K92" s="53">
        <v>420500</v>
      </c>
      <c r="L92" s="53">
        <v>4234051</v>
      </c>
      <c r="M92" s="53">
        <v>4234051</v>
      </c>
      <c r="N92" s="53">
        <f t="shared" ref="N92" si="20">N93+N96+N99+N103+N107</f>
        <v>4234051</v>
      </c>
      <c r="O92" s="53">
        <f t="shared" si="18"/>
        <v>0</v>
      </c>
      <c r="P92" s="54"/>
      <c r="Q92" s="55">
        <f t="shared" ref="Q92" si="21">Q93+Q96+Q99+Q103+Q107</f>
        <v>917821</v>
      </c>
      <c r="R92" s="56">
        <f t="shared" si="19"/>
        <v>0.21677136151642953</v>
      </c>
      <c r="S92" s="101"/>
    </row>
    <row r="93" spans="1:19" x14ac:dyDescent="0.25">
      <c r="A93" s="1" t="s">
        <v>24</v>
      </c>
      <c r="B93" s="1" t="s">
        <v>255</v>
      </c>
      <c r="C93" s="45" t="s">
        <v>256</v>
      </c>
      <c r="D93" s="46" t="s">
        <v>257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149000</v>
      </c>
      <c r="L93" s="47">
        <v>149000</v>
      </c>
      <c r="M93" s="47">
        <v>149000</v>
      </c>
      <c r="N93" s="47">
        <f>SUM(N94:N95)</f>
        <v>149000</v>
      </c>
      <c r="O93" s="47">
        <f t="shared" si="18"/>
        <v>0</v>
      </c>
      <c r="P93" s="48"/>
      <c r="Q93" s="49">
        <f>SUM(Q94:Q95)</f>
        <v>70232</v>
      </c>
      <c r="R93" s="50">
        <f t="shared" si="19"/>
        <v>0.4713557046979866</v>
      </c>
      <c r="S93" s="49"/>
    </row>
    <row r="94" spans="1:19" ht="14.25" customHeight="1" x14ac:dyDescent="0.25">
      <c r="B94" s="1" t="s">
        <v>258</v>
      </c>
      <c r="C94" s="102" t="s">
        <v>259</v>
      </c>
      <c r="D94" s="103" t="s">
        <v>260</v>
      </c>
      <c r="E94" s="47"/>
      <c r="F94" s="47"/>
      <c r="G94" s="47"/>
      <c r="H94" s="47"/>
      <c r="I94" s="47"/>
      <c r="J94" s="47"/>
      <c r="K94" s="47">
        <v>24000</v>
      </c>
      <c r="L94" s="47">
        <v>24000</v>
      </c>
      <c r="M94" s="47">
        <v>24000</v>
      </c>
      <c r="N94" s="47">
        <f>ROUND(M94,0)</f>
        <v>24000</v>
      </c>
      <c r="O94" s="47">
        <f t="shared" si="18"/>
        <v>0</v>
      </c>
      <c r="P94" s="57"/>
      <c r="Q94" s="49">
        <f>149+18948</f>
        <v>19097</v>
      </c>
      <c r="R94" s="50">
        <f t="shared" si="19"/>
        <v>0.79570833333333335</v>
      </c>
      <c r="S94" s="49"/>
    </row>
    <row r="95" spans="1:19" ht="15.6" customHeight="1" x14ac:dyDescent="0.25">
      <c r="B95" s="1" t="s">
        <v>261</v>
      </c>
      <c r="C95" s="102" t="s">
        <v>262</v>
      </c>
      <c r="D95" s="103" t="s">
        <v>263</v>
      </c>
      <c r="E95" s="47"/>
      <c r="F95" s="47"/>
      <c r="G95" s="47"/>
      <c r="H95" s="47"/>
      <c r="I95" s="47"/>
      <c r="J95" s="47"/>
      <c r="K95" s="47">
        <v>125000</v>
      </c>
      <c r="L95" s="47">
        <v>125000</v>
      </c>
      <c r="M95" s="47">
        <v>125000</v>
      </c>
      <c r="N95" s="47">
        <f>ROUND(M95,0)</f>
        <v>125000</v>
      </c>
      <c r="O95" s="47">
        <f t="shared" si="18"/>
        <v>0</v>
      </c>
      <c r="P95" s="57"/>
      <c r="Q95" s="49">
        <v>51135</v>
      </c>
      <c r="R95" s="50">
        <f t="shared" si="19"/>
        <v>0.40908</v>
      </c>
      <c r="S95" s="49"/>
    </row>
    <row r="96" spans="1:19" ht="13.9" customHeight="1" x14ac:dyDescent="0.25">
      <c r="C96" s="45" t="s">
        <v>264</v>
      </c>
      <c r="D96" s="46" t="s">
        <v>265</v>
      </c>
      <c r="E96" s="47">
        <v>36140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N97+N98</f>
        <v>0</v>
      </c>
      <c r="O96" s="47">
        <f t="shared" si="18"/>
        <v>0</v>
      </c>
      <c r="P96" s="104"/>
      <c r="Q96" s="49">
        <f>Q97+Q98</f>
        <v>86</v>
      </c>
      <c r="R96" s="50"/>
      <c r="S96" s="49"/>
    </row>
    <row r="97" spans="1:22" x14ac:dyDescent="0.25">
      <c r="C97" s="102" t="s">
        <v>266</v>
      </c>
      <c r="D97" s="103" t="s">
        <v>267</v>
      </c>
      <c r="E97" s="47">
        <v>32020</v>
      </c>
      <c r="F97" s="47"/>
      <c r="G97" s="47"/>
      <c r="H97" s="47"/>
      <c r="I97" s="47"/>
      <c r="J97" s="47"/>
      <c r="K97" s="47">
        <v>0</v>
      </c>
      <c r="L97" s="47">
        <v>0</v>
      </c>
      <c r="M97" s="47">
        <v>0</v>
      </c>
      <c r="N97" s="47"/>
      <c r="O97" s="47">
        <f t="shared" si="18"/>
        <v>0</v>
      </c>
      <c r="P97" s="57"/>
      <c r="Q97" s="49"/>
      <c r="R97" s="50"/>
      <c r="S97" s="49"/>
    </row>
    <row r="98" spans="1:22" ht="30" customHeight="1" x14ac:dyDescent="0.25">
      <c r="B98" s="84" t="s">
        <v>268</v>
      </c>
      <c r="C98" s="102" t="s">
        <v>269</v>
      </c>
      <c r="D98" s="91" t="s">
        <v>270</v>
      </c>
      <c r="E98" s="47">
        <v>4120</v>
      </c>
      <c r="F98" s="47"/>
      <c r="G98" s="47"/>
      <c r="H98" s="47"/>
      <c r="I98" s="47"/>
      <c r="J98" s="47"/>
      <c r="K98" s="47">
        <v>0</v>
      </c>
      <c r="L98" s="47">
        <v>0</v>
      </c>
      <c r="M98" s="47">
        <v>0</v>
      </c>
      <c r="N98" s="47">
        <f>ROUND(M98,0)</f>
        <v>0</v>
      </c>
      <c r="O98" s="47">
        <f t="shared" si="18"/>
        <v>0</v>
      </c>
      <c r="P98" s="57"/>
      <c r="Q98" s="49">
        <v>86</v>
      </c>
      <c r="R98" s="50"/>
      <c r="S98" s="49"/>
    </row>
    <row r="99" spans="1:22" x14ac:dyDescent="0.25">
      <c r="A99" s="1" t="s">
        <v>24</v>
      </c>
      <c r="B99" s="1" t="s">
        <v>271</v>
      </c>
      <c r="C99" s="45" t="s">
        <v>272</v>
      </c>
      <c r="D99" s="46" t="s">
        <v>273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157000</v>
      </c>
      <c r="L99" s="47">
        <v>157000</v>
      </c>
      <c r="M99" s="47">
        <v>157000</v>
      </c>
      <c r="N99" s="47">
        <f>SUM(N100:N102)</f>
        <v>157000</v>
      </c>
      <c r="O99" s="47">
        <f t="shared" si="18"/>
        <v>0</v>
      </c>
      <c r="P99" s="48"/>
      <c r="Q99" s="49">
        <f>SUM(Q100:Q102)</f>
        <v>48944</v>
      </c>
      <c r="R99" s="50">
        <f t="shared" si="19"/>
        <v>0.31174522292993628</v>
      </c>
      <c r="S99" s="49"/>
    </row>
    <row r="100" spans="1:22" ht="15.75" customHeight="1" x14ac:dyDescent="0.25">
      <c r="B100" s="1" t="s">
        <v>274</v>
      </c>
      <c r="C100" s="102" t="s">
        <v>275</v>
      </c>
      <c r="D100" s="103" t="s">
        <v>276</v>
      </c>
      <c r="E100" s="47"/>
      <c r="F100" s="47"/>
      <c r="G100" s="47"/>
      <c r="H100" s="47"/>
      <c r="I100" s="47"/>
      <c r="J100" s="47"/>
      <c r="K100" s="47">
        <v>120000</v>
      </c>
      <c r="L100" s="47">
        <v>120000</v>
      </c>
      <c r="M100" s="47">
        <v>120000</v>
      </c>
      <c r="N100" s="47">
        <f>ROUND(M100,0)</f>
        <v>120000</v>
      </c>
      <c r="O100" s="47">
        <f t="shared" si="18"/>
        <v>0</v>
      </c>
      <c r="P100" s="67"/>
      <c r="Q100" s="49">
        <f>46378+62</f>
        <v>46440</v>
      </c>
      <c r="R100" s="50">
        <f t="shared" si="19"/>
        <v>0.38700000000000001</v>
      </c>
      <c r="S100" s="49"/>
    </row>
    <row r="101" spans="1:22" x14ac:dyDescent="0.25">
      <c r="B101" s="1" t="s">
        <v>277</v>
      </c>
      <c r="C101" s="102" t="s">
        <v>278</v>
      </c>
      <c r="D101" s="103" t="s">
        <v>279</v>
      </c>
      <c r="E101" s="47"/>
      <c r="F101" s="47"/>
      <c r="G101" s="47"/>
      <c r="H101" s="47"/>
      <c r="I101" s="47"/>
      <c r="J101" s="47"/>
      <c r="K101" s="47">
        <v>36000</v>
      </c>
      <c r="L101" s="47">
        <v>36000</v>
      </c>
      <c r="M101" s="47">
        <v>36000</v>
      </c>
      <c r="N101" s="47">
        <f>ROUND(M101,0)</f>
        <v>36000</v>
      </c>
      <c r="O101" s="47">
        <f t="shared" si="18"/>
        <v>0</v>
      </c>
      <c r="P101" s="48"/>
      <c r="Q101" s="49">
        <v>2450</v>
      </c>
      <c r="R101" s="50">
        <f t="shared" si="19"/>
        <v>6.805555555555555E-2</v>
      </c>
      <c r="S101" s="49"/>
    </row>
    <row r="102" spans="1:22" x14ac:dyDescent="0.25">
      <c r="C102" s="102" t="s">
        <v>280</v>
      </c>
      <c r="D102" s="91" t="s">
        <v>281</v>
      </c>
      <c r="E102" s="47"/>
      <c r="F102" s="47"/>
      <c r="G102" s="47"/>
      <c r="H102" s="47"/>
      <c r="I102" s="47"/>
      <c r="J102" s="47"/>
      <c r="K102" s="47">
        <v>1000</v>
      </c>
      <c r="L102" s="47">
        <v>1000</v>
      </c>
      <c r="M102" s="47">
        <v>1000</v>
      </c>
      <c r="N102" s="47">
        <f>ROUND(M102,0)</f>
        <v>1000</v>
      </c>
      <c r="O102" s="47">
        <f t="shared" si="18"/>
        <v>0</v>
      </c>
      <c r="P102" s="48"/>
      <c r="Q102" s="49">
        <v>54</v>
      </c>
      <c r="R102" s="50">
        <f t="shared" si="19"/>
        <v>5.3999999999999999E-2</v>
      </c>
      <c r="S102" s="49"/>
    </row>
    <row r="103" spans="1:22" ht="25.15" customHeight="1" x14ac:dyDescent="0.25">
      <c r="A103" s="1" t="s">
        <v>24</v>
      </c>
      <c r="B103" s="1" t="s">
        <v>282</v>
      </c>
      <c r="C103" s="45" t="s">
        <v>283</v>
      </c>
      <c r="D103" s="46" t="s">
        <v>284</v>
      </c>
      <c r="E103" s="47">
        <v>0</v>
      </c>
      <c r="F103" s="47">
        <v>0</v>
      </c>
      <c r="G103" s="47">
        <v>0</v>
      </c>
      <c r="H103" s="47">
        <v>0</v>
      </c>
      <c r="I103" s="47">
        <v>3713551</v>
      </c>
      <c r="J103" s="47">
        <v>0</v>
      </c>
      <c r="K103" s="47">
        <v>112500</v>
      </c>
      <c r="L103" s="47">
        <v>3826051</v>
      </c>
      <c r="M103" s="47">
        <v>3826051</v>
      </c>
      <c r="N103" s="47">
        <f t="shared" ref="N103" si="22">SUM(N104:N106)</f>
        <v>3826051</v>
      </c>
      <c r="O103" s="47">
        <f t="shared" si="18"/>
        <v>0</v>
      </c>
      <c r="P103" s="67"/>
      <c r="Q103" s="49">
        <f t="shared" ref="Q103" si="23">SUM(Q104:Q106)</f>
        <v>792098</v>
      </c>
      <c r="R103" s="50">
        <f t="shared" si="19"/>
        <v>0.20702755922490318</v>
      </c>
      <c r="S103" s="49"/>
    </row>
    <row r="104" spans="1:22" ht="16.5" customHeight="1" x14ac:dyDescent="0.25">
      <c r="A104" s="84" t="s">
        <v>285</v>
      </c>
      <c r="C104" s="102" t="s">
        <v>286</v>
      </c>
      <c r="D104" s="103" t="s">
        <v>284</v>
      </c>
      <c r="E104" s="47"/>
      <c r="F104" s="47"/>
      <c r="G104" s="47"/>
      <c r="H104" s="47"/>
      <c r="I104" s="47"/>
      <c r="J104" s="47"/>
      <c r="K104" s="47">
        <v>110000</v>
      </c>
      <c r="L104" s="47">
        <v>110000</v>
      </c>
      <c r="M104" s="47">
        <v>110000</v>
      </c>
      <c r="N104" s="47">
        <f>ROUND(M104,0)</f>
        <v>110000</v>
      </c>
      <c r="O104" s="47">
        <f t="shared" si="18"/>
        <v>0</v>
      </c>
      <c r="P104" s="48"/>
      <c r="Q104" s="49">
        <f>34928+127-60</f>
        <v>34995</v>
      </c>
      <c r="R104" s="50">
        <f t="shared" si="19"/>
        <v>0.31813636363636366</v>
      </c>
      <c r="S104" s="49" t="s">
        <v>287</v>
      </c>
    </row>
    <row r="105" spans="1:22" ht="16.5" customHeight="1" x14ac:dyDescent="0.25">
      <c r="C105" s="102" t="s">
        <v>288</v>
      </c>
      <c r="D105" s="103" t="s">
        <v>289</v>
      </c>
      <c r="E105" s="47"/>
      <c r="F105" s="47"/>
      <c r="G105" s="47"/>
      <c r="H105" s="47"/>
      <c r="I105" s="47"/>
      <c r="J105" s="47"/>
      <c r="K105" s="47">
        <v>2500</v>
      </c>
      <c r="L105" s="47">
        <v>2500</v>
      </c>
      <c r="M105" s="47">
        <v>2500</v>
      </c>
      <c r="N105" s="47">
        <f>ROUND(M105,0)</f>
        <v>2500</v>
      </c>
      <c r="O105" s="47">
        <f t="shared" si="18"/>
        <v>0</v>
      </c>
      <c r="P105" s="48"/>
      <c r="Q105" s="49">
        <v>0</v>
      </c>
      <c r="R105" s="50">
        <f t="shared" si="19"/>
        <v>0</v>
      </c>
      <c r="S105" s="49"/>
    </row>
    <row r="106" spans="1:22" ht="28.9" customHeight="1" x14ac:dyDescent="0.25">
      <c r="C106" s="102" t="s">
        <v>290</v>
      </c>
      <c r="D106" s="103" t="s">
        <v>291</v>
      </c>
      <c r="E106" s="47"/>
      <c r="F106" s="47"/>
      <c r="G106" s="47"/>
      <c r="H106" s="47"/>
      <c r="I106" s="105">
        <v>3713551</v>
      </c>
      <c r="J106" s="47"/>
      <c r="K106" s="47"/>
      <c r="L106" s="47">
        <v>3713551</v>
      </c>
      <c r="M106" s="47">
        <v>3713551</v>
      </c>
      <c r="N106" s="47">
        <f>ROUND(M106,0)</f>
        <v>3713551</v>
      </c>
      <c r="O106" s="47">
        <f t="shared" si="18"/>
        <v>0</v>
      </c>
      <c r="P106" s="48"/>
      <c r="Q106" s="49">
        <f>215383+541720</f>
        <v>757103</v>
      </c>
      <c r="R106" s="50">
        <f t="shared" si="19"/>
        <v>0.20387575126879906</v>
      </c>
      <c r="S106" s="49"/>
    </row>
    <row r="107" spans="1:22" ht="18" customHeight="1" thickBot="1" x14ac:dyDescent="0.3">
      <c r="A107" s="1" t="s">
        <v>24</v>
      </c>
      <c r="B107" s="59" t="s">
        <v>292</v>
      </c>
      <c r="C107" s="45" t="s">
        <v>293</v>
      </c>
      <c r="D107" s="46" t="s">
        <v>294</v>
      </c>
      <c r="E107" s="47"/>
      <c r="F107" s="47"/>
      <c r="G107" s="47"/>
      <c r="H107" s="47"/>
      <c r="I107" s="105">
        <v>100000</v>
      </c>
      <c r="J107" s="47"/>
      <c r="K107" s="47">
        <v>2000</v>
      </c>
      <c r="L107" s="47">
        <v>102000</v>
      </c>
      <c r="M107" s="47">
        <v>102000</v>
      </c>
      <c r="N107" s="47">
        <f>ROUND(M107,0)</f>
        <v>102000</v>
      </c>
      <c r="O107" s="47">
        <f t="shared" si="18"/>
        <v>0</v>
      </c>
      <c r="P107" s="48"/>
      <c r="Q107" s="49">
        <f>3921+260+2280</f>
        <v>6461</v>
      </c>
      <c r="R107" s="50">
        <f t="shared" si="19"/>
        <v>6.3343137254901954E-2</v>
      </c>
      <c r="S107" s="49" t="s">
        <v>295</v>
      </c>
    </row>
    <row r="108" spans="1:22" ht="15" customHeight="1" thickBot="1" x14ac:dyDescent="0.3">
      <c r="C108" s="106"/>
      <c r="D108" s="107" t="s">
        <v>296</v>
      </c>
      <c r="E108" s="108">
        <v>1450963.94</v>
      </c>
      <c r="F108" s="108">
        <v>7953316</v>
      </c>
      <c r="G108" s="108">
        <v>1660824.49</v>
      </c>
      <c r="H108" s="108">
        <v>0</v>
      </c>
      <c r="I108" s="108">
        <v>3813551</v>
      </c>
      <c r="J108" s="108">
        <v>0</v>
      </c>
      <c r="K108" s="108">
        <v>32725680</v>
      </c>
      <c r="L108" s="108">
        <v>46153371.490000002</v>
      </c>
      <c r="M108" s="108">
        <v>46153371.490000002</v>
      </c>
      <c r="N108" s="108">
        <f t="shared" ref="N108" si="24">N7+N11+N14+N17+N20+N23+N36+N39+N43+N44+N89+N92</f>
        <v>46211727</v>
      </c>
      <c r="O108" s="108">
        <f t="shared" si="18"/>
        <v>58355.509999997914</v>
      </c>
      <c r="P108" s="109"/>
      <c r="Q108" s="110">
        <f t="shared" ref="Q108" si="25">Q7+Q11+Q14+Q17+Q20+Q23+Q36+Q39+Q43+Q44+Q89+Q92</f>
        <v>10405538</v>
      </c>
      <c r="R108" s="111">
        <f t="shared" si="19"/>
        <v>0.22517093983525005</v>
      </c>
      <c r="S108" s="112"/>
      <c r="T108" s="8"/>
      <c r="V108" s="37"/>
    </row>
    <row r="109" spans="1:22" ht="15.75" thickBot="1" x14ac:dyDescent="0.3">
      <c r="C109" s="113" t="s">
        <v>297</v>
      </c>
      <c r="D109" s="114" t="s">
        <v>298</v>
      </c>
      <c r="E109" s="115">
        <v>1450963.94</v>
      </c>
      <c r="F109" s="115">
        <v>0</v>
      </c>
      <c r="G109" s="115">
        <v>0</v>
      </c>
      <c r="H109" s="115">
        <v>0</v>
      </c>
      <c r="I109" s="115">
        <v>0</v>
      </c>
      <c r="J109" s="115">
        <v>0</v>
      </c>
      <c r="K109" s="115">
        <v>0</v>
      </c>
      <c r="L109" s="115">
        <v>7741520.8000000007</v>
      </c>
      <c r="M109" s="115">
        <v>7741521.0000000009</v>
      </c>
      <c r="N109" s="115">
        <f>SUM(N110:N111)</f>
        <v>7741521</v>
      </c>
      <c r="O109" s="115">
        <f t="shared" si="18"/>
        <v>0</v>
      </c>
      <c r="P109" s="116"/>
      <c r="Q109" s="117">
        <f>SUM(Q110:Q111)</f>
        <v>7741521</v>
      </c>
      <c r="R109" s="118">
        <f t="shared" si="19"/>
        <v>1</v>
      </c>
      <c r="S109" s="117"/>
    </row>
    <row r="110" spans="1:22" ht="17.25" customHeight="1" x14ac:dyDescent="0.25">
      <c r="C110" s="45" t="s">
        <v>299</v>
      </c>
      <c r="D110" s="46" t="s">
        <v>300</v>
      </c>
      <c r="E110" s="47">
        <v>1450963.94</v>
      </c>
      <c r="F110" s="47"/>
      <c r="G110" s="47"/>
      <c r="H110" s="47"/>
      <c r="I110" s="47"/>
      <c r="J110" s="47"/>
      <c r="K110" s="47"/>
      <c r="L110" s="47">
        <v>1450963.94</v>
      </c>
      <c r="M110" s="47">
        <v>1454963.94</v>
      </c>
      <c r="N110" s="47">
        <f>ROUND(M110,0)</f>
        <v>1454964</v>
      </c>
      <c r="O110" s="47">
        <f t="shared" si="18"/>
        <v>6.0000000055879354E-2</v>
      </c>
      <c r="P110" s="67"/>
      <c r="Q110" s="49">
        <v>1454964</v>
      </c>
      <c r="R110" s="50">
        <f t="shared" si="19"/>
        <v>1</v>
      </c>
      <c r="S110" s="49"/>
    </row>
    <row r="111" spans="1:22" x14ac:dyDescent="0.25">
      <c r="C111" s="45" t="s">
        <v>301</v>
      </c>
      <c r="D111" s="46" t="s">
        <v>302</v>
      </c>
      <c r="E111" s="47"/>
      <c r="F111" s="47"/>
      <c r="G111" s="47"/>
      <c r="H111" s="47"/>
      <c r="I111" s="47"/>
      <c r="J111" s="47"/>
      <c r="K111" s="47"/>
      <c r="L111" s="47">
        <v>6290556.8600000013</v>
      </c>
      <c r="M111" s="47">
        <v>6286556.8600000013</v>
      </c>
      <c r="N111" s="47">
        <f>ROUND(M111,0)</f>
        <v>6286557</v>
      </c>
      <c r="O111" s="47">
        <f t="shared" si="18"/>
        <v>0.1399999987334013</v>
      </c>
      <c r="P111" s="48"/>
      <c r="Q111" s="49">
        <v>6286557</v>
      </c>
      <c r="R111" s="50">
        <f t="shared" si="19"/>
        <v>1</v>
      </c>
      <c r="S111" s="49"/>
      <c r="T111" s="8"/>
    </row>
    <row r="112" spans="1:22" x14ac:dyDescent="0.25">
      <c r="C112" s="69" t="s">
        <v>303</v>
      </c>
      <c r="D112" s="119" t="s">
        <v>304</v>
      </c>
      <c r="E112" s="120">
        <v>0</v>
      </c>
      <c r="F112" s="120">
        <v>0</v>
      </c>
      <c r="G112" s="120">
        <v>0</v>
      </c>
      <c r="H112" s="120">
        <v>4267404.0022</v>
      </c>
      <c r="I112" s="120">
        <v>0</v>
      </c>
      <c r="J112" s="120">
        <v>0</v>
      </c>
      <c r="K112" s="120">
        <v>0</v>
      </c>
      <c r="L112" s="120">
        <v>4267404.0022</v>
      </c>
      <c r="M112" s="120">
        <v>4267403.7422000002</v>
      </c>
      <c r="N112" s="120">
        <f t="shared" ref="N112" si="26">SUM(N113:N124)</f>
        <v>4267404</v>
      </c>
      <c r="O112" s="53">
        <f t="shared" si="18"/>
        <v>0.25779999978840351</v>
      </c>
      <c r="P112" s="54"/>
      <c r="Q112" s="121">
        <f t="shared" ref="Q112" si="27">SUM(Q113:Q124)</f>
        <v>0</v>
      </c>
      <c r="R112" s="122">
        <f t="shared" si="19"/>
        <v>0</v>
      </c>
      <c r="S112" s="121"/>
    </row>
    <row r="113" spans="1:19" ht="30" x14ac:dyDescent="0.25">
      <c r="A113" s="84"/>
      <c r="B113" s="84"/>
      <c r="C113" s="102" t="s">
        <v>305</v>
      </c>
      <c r="D113" s="123" t="s">
        <v>232</v>
      </c>
      <c r="E113" s="124"/>
      <c r="F113" s="124"/>
      <c r="G113" s="124"/>
      <c r="H113" s="125">
        <v>59922</v>
      </c>
      <c r="I113" s="124"/>
      <c r="J113" s="124"/>
      <c r="K113" s="124"/>
      <c r="L113" s="47">
        <v>59922</v>
      </c>
      <c r="M113" s="47">
        <v>59922</v>
      </c>
      <c r="N113" s="47">
        <f t="shared" ref="N113:N124" si="28">ROUND(M113,0)</f>
        <v>59922</v>
      </c>
      <c r="O113" s="126">
        <f t="shared" si="18"/>
        <v>0</v>
      </c>
      <c r="P113" s="60"/>
      <c r="Q113" s="49">
        <f t="shared" ref="Q113:Q124" si="29">ROUND(P113,0)</f>
        <v>0</v>
      </c>
      <c r="R113" s="127">
        <f t="shared" si="19"/>
        <v>0</v>
      </c>
      <c r="S113" s="128"/>
    </row>
    <row r="114" spans="1:19" x14ac:dyDescent="0.25">
      <c r="A114" s="84"/>
      <c r="B114" s="84"/>
      <c r="C114" s="102" t="s">
        <v>306</v>
      </c>
      <c r="D114" s="123" t="s">
        <v>234</v>
      </c>
      <c r="E114" s="124"/>
      <c r="F114" s="124"/>
      <c r="G114" s="124"/>
      <c r="H114" s="125">
        <v>207089</v>
      </c>
      <c r="I114" s="124"/>
      <c r="J114" s="124"/>
      <c r="K114" s="124"/>
      <c r="L114" s="47">
        <v>207089</v>
      </c>
      <c r="M114" s="47">
        <v>207089</v>
      </c>
      <c r="N114" s="47">
        <f t="shared" si="28"/>
        <v>207089</v>
      </c>
      <c r="O114" s="126">
        <f t="shared" si="18"/>
        <v>0</v>
      </c>
      <c r="P114" s="60"/>
      <c r="Q114" s="49">
        <f t="shared" si="29"/>
        <v>0</v>
      </c>
      <c r="R114" s="127">
        <f t="shared" si="19"/>
        <v>0</v>
      </c>
      <c r="S114" s="128"/>
    </row>
    <row r="115" spans="1:19" ht="44.45" customHeight="1" x14ac:dyDescent="0.25">
      <c r="A115" s="84"/>
      <c r="B115" s="84"/>
      <c r="C115" s="102" t="s">
        <v>307</v>
      </c>
      <c r="D115" s="123" t="s">
        <v>308</v>
      </c>
      <c r="E115" s="124"/>
      <c r="F115" s="124"/>
      <c r="G115" s="124"/>
      <c r="H115" s="125">
        <v>320141.00220000005</v>
      </c>
      <c r="I115" s="124"/>
      <c r="J115" s="124"/>
      <c r="K115" s="124"/>
      <c r="L115" s="47">
        <v>320141.00220000005</v>
      </c>
      <c r="M115" s="47">
        <v>320141.35220000002</v>
      </c>
      <c r="N115" s="47">
        <f t="shared" si="28"/>
        <v>320141</v>
      </c>
      <c r="O115" s="126">
        <f t="shared" si="18"/>
        <v>-0.35220000002300367</v>
      </c>
      <c r="P115" s="60"/>
      <c r="Q115" s="49">
        <f t="shared" si="29"/>
        <v>0</v>
      </c>
      <c r="R115" s="127">
        <f t="shared" si="19"/>
        <v>0</v>
      </c>
      <c r="S115" s="128"/>
    </row>
    <row r="116" spans="1:19" ht="30" x14ac:dyDescent="0.25">
      <c r="A116" s="84" t="s">
        <v>193</v>
      </c>
      <c r="B116" s="84" t="s">
        <v>309</v>
      </c>
      <c r="C116" s="102" t="s">
        <v>310</v>
      </c>
      <c r="D116" s="123" t="s">
        <v>311</v>
      </c>
      <c r="E116" s="124"/>
      <c r="F116" s="124"/>
      <c r="G116" s="124"/>
      <c r="H116" s="125">
        <v>624704</v>
      </c>
      <c r="I116" s="124"/>
      <c r="J116" s="124"/>
      <c r="K116" s="124"/>
      <c r="L116" s="47">
        <v>624704</v>
      </c>
      <c r="M116" s="47">
        <v>624704.49</v>
      </c>
      <c r="N116" s="47">
        <f t="shared" si="28"/>
        <v>624704</v>
      </c>
      <c r="O116" s="126">
        <f t="shared" si="18"/>
        <v>-0.48999999999068677</v>
      </c>
      <c r="P116" s="58"/>
      <c r="Q116" s="49">
        <f t="shared" si="29"/>
        <v>0</v>
      </c>
      <c r="R116" s="127">
        <f t="shared" si="19"/>
        <v>0</v>
      </c>
      <c r="S116" s="129"/>
    </row>
    <row r="117" spans="1:19" ht="30" customHeight="1" x14ac:dyDescent="0.25">
      <c r="A117" s="84"/>
      <c r="B117" s="84"/>
      <c r="C117" s="102" t="s">
        <v>312</v>
      </c>
      <c r="D117" s="123" t="s">
        <v>199</v>
      </c>
      <c r="E117" s="124"/>
      <c r="F117" s="124"/>
      <c r="G117" s="124"/>
      <c r="H117" s="125">
        <v>37335</v>
      </c>
      <c r="I117" s="124"/>
      <c r="J117" s="124"/>
      <c r="K117" s="124"/>
      <c r="L117" s="47">
        <v>37335</v>
      </c>
      <c r="M117" s="47">
        <v>37334.9</v>
      </c>
      <c r="N117" s="47">
        <f t="shared" si="28"/>
        <v>37335</v>
      </c>
      <c r="O117" s="126">
        <f t="shared" si="18"/>
        <v>9.9999999998544808E-2</v>
      </c>
      <c r="P117" s="58"/>
      <c r="Q117" s="49">
        <f t="shared" si="29"/>
        <v>0</v>
      </c>
      <c r="R117" s="127">
        <f t="shared" si="19"/>
        <v>0</v>
      </c>
      <c r="S117" s="129"/>
    </row>
    <row r="118" spans="1:19" ht="15.75" thickBot="1" x14ac:dyDescent="0.3">
      <c r="B118" s="84"/>
      <c r="C118" s="102" t="s">
        <v>313</v>
      </c>
      <c r="D118" s="123" t="s">
        <v>314</v>
      </c>
      <c r="E118" s="124"/>
      <c r="F118" s="124"/>
      <c r="G118" s="124"/>
      <c r="H118" s="125">
        <v>582946</v>
      </c>
      <c r="I118" s="124"/>
      <c r="J118" s="124"/>
      <c r="K118" s="124"/>
      <c r="L118" s="124">
        <v>582946</v>
      </c>
      <c r="M118" s="124">
        <v>582946</v>
      </c>
      <c r="N118" s="124">
        <f t="shared" si="28"/>
        <v>582946</v>
      </c>
      <c r="O118" s="130">
        <f t="shared" si="18"/>
        <v>0</v>
      </c>
      <c r="P118" s="131"/>
      <c r="Q118" s="129">
        <f t="shared" si="29"/>
        <v>0</v>
      </c>
      <c r="R118" s="132">
        <f t="shared" si="19"/>
        <v>0</v>
      </c>
      <c r="S118" s="133"/>
    </row>
    <row r="119" spans="1:19" ht="45" customHeight="1" x14ac:dyDescent="0.25">
      <c r="B119" s="84"/>
      <c r="C119" s="102" t="s">
        <v>315</v>
      </c>
      <c r="D119" s="134" t="s">
        <v>316</v>
      </c>
      <c r="E119" s="135"/>
      <c r="F119" s="135"/>
      <c r="G119" s="135"/>
      <c r="H119" s="136">
        <v>390000</v>
      </c>
      <c r="I119" s="135"/>
      <c r="J119" s="135"/>
      <c r="K119" s="135"/>
      <c r="L119" s="135">
        <v>390000</v>
      </c>
      <c r="M119" s="135">
        <v>390000</v>
      </c>
      <c r="N119" s="135">
        <f t="shared" si="28"/>
        <v>390000</v>
      </c>
      <c r="O119" s="130">
        <f t="shared" si="18"/>
        <v>0</v>
      </c>
      <c r="P119" s="131"/>
      <c r="Q119" s="137">
        <f t="shared" si="29"/>
        <v>0</v>
      </c>
      <c r="R119" s="138">
        <f t="shared" si="19"/>
        <v>0</v>
      </c>
      <c r="S119" s="139"/>
    </row>
    <row r="120" spans="1:19" ht="16.149999999999999" customHeight="1" x14ac:dyDescent="0.25">
      <c r="B120" s="84"/>
      <c r="C120" s="102" t="s">
        <v>317</v>
      </c>
      <c r="D120" s="140" t="s">
        <v>318</v>
      </c>
      <c r="E120" s="141"/>
      <c r="F120" s="141"/>
      <c r="G120" s="141"/>
      <c r="H120" s="142">
        <v>645000</v>
      </c>
      <c r="I120" s="141"/>
      <c r="J120" s="141"/>
      <c r="K120" s="141"/>
      <c r="L120" s="141">
        <v>645000</v>
      </c>
      <c r="M120" s="141">
        <v>645000</v>
      </c>
      <c r="N120" s="141">
        <f t="shared" si="28"/>
        <v>645000</v>
      </c>
      <c r="O120" s="141">
        <f t="shared" si="18"/>
        <v>0</v>
      </c>
      <c r="P120" s="143"/>
      <c r="Q120" s="144">
        <f t="shared" si="29"/>
        <v>0</v>
      </c>
      <c r="R120" s="145">
        <f t="shared" si="19"/>
        <v>0</v>
      </c>
      <c r="S120" s="49"/>
    </row>
    <row r="121" spans="1:19" ht="16.149999999999999" customHeight="1" x14ac:dyDescent="0.25">
      <c r="B121" s="84"/>
      <c r="C121" s="102" t="s">
        <v>319</v>
      </c>
      <c r="D121" s="140" t="s">
        <v>238</v>
      </c>
      <c r="E121" s="141"/>
      <c r="F121" s="141"/>
      <c r="G121" s="141"/>
      <c r="H121" s="142">
        <v>164032</v>
      </c>
      <c r="I121" s="141"/>
      <c r="J121" s="141"/>
      <c r="K121" s="141"/>
      <c r="L121" s="141">
        <v>164032</v>
      </c>
      <c r="M121" s="141">
        <v>164032</v>
      </c>
      <c r="N121" s="141">
        <f t="shared" si="28"/>
        <v>164032</v>
      </c>
      <c r="O121" s="141">
        <f t="shared" si="18"/>
        <v>0</v>
      </c>
      <c r="P121" s="143"/>
      <c r="Q121" s="144">
        <f t="shared" si="29"/>
        <v>0</v>
      </c>
      <c r="R121" s="145">
        <f t="shared" si="19"/>
        <v>0</v>
      </c>
      <c r="S121" s="49"/>
    </row>
    <row r="122" spans="1:19" ht="16.899999999999999" customHeight="1" x14ac:dyDescent="0.25">
      <c r="B122" s="84"/>
      <c r="C122" s="102" t="s">
        <v>320</v>
      </c>
      <c r="D122" s="140" t="s">
        <v>240</v>
      </c>
      <c r="E122" s="141"/>
      <c r="F122" s="141"/>
      <c r="G122" s="141"/>
      <c r="H122" s="142">
        <v>907235</v>
      </c>
      <c r="I122" s="141"/>
      <c r="J122" s="141"/>
      <c r="K122" s="141"/>
      <c r="L122" s="141">
        <v>907235</v>
      </c>
      <c r="M122" s="141">
        <v>907235</v>
      </c>
      <c r="N122" s="141">
        <f t="shared" si="28"/>
        <v>907235</v>
      </c>
      <c r="O122" s="141">
        <f t="shared" si="18"/>
        <v>0</v>
      </c>
      <c r="P122" s="143"/>
      <c r="Q122" s="144">
        <f t="shared" si="29"/>
        <v>0</v>
      </c>
      <c r="R122" s="145">
        <f t="shared" si="19"/>
        <v>0</v>
      </c>
      <c r="S122" s="49"/>
    </row>
    <row r="123" spans="1:19" ht="29.45" customHeight="1" x14ac:dyDescent="0.25">
      <c r="B123" s="84"/>
      <c r="C123" s="146" t="s">
        <v>321</v>
      </c>
      <c r="D123" s="140" t="s">
        <v>322</v>
      </c>
      <c r="E123" s="141"/>
      <c r="F123" s="141"/>
      <c r="G123" s="141"/>
      <c r="H123" s="142">
        <v>203000</v>
      </c>
      <c r="I123" s="141"/>
      <c r="J123" s="141"/>
      <c r="K123" s="141"/>
      <c r="L123" s="141">
        <v>203000</v>
      </c>
      <c r="M123" s="141">
        <v>203000</v>
      </c>
      <c r="N123" s="141">
        <f t="shared" si="28"/>
        <v>203000</v>
      </c>
      <c r="O123" s="141">
        <f t="shared" si="18"/>
        <v>0</v>
      </c>
      <c r="P123" s="143"/>
      <c r="Q123" s="144">
        <f t="shared" si="29"/>
        <v>0</v>
      </c>
      <c r="R123" s="145">
        <f t="shared" si="19"/>
        <v>0</v>
      </c>
      <c r="S123" s="49"/>
    </row>
    <row r="124" spans="1:19" ht="28.9" customHeight="1" thickBot="1" x14ac:dyDescent="0.3">
      <c r="B124" s="84"/>
      <c r="C124" s="147" t="s">
        <v>323</v>
      </c>
      <c r="D124" s="148" t="s">
        <v>324</v>
      </c>
      <c r="E124" s="149"/>
      <c r="F124" s="149"/>
      <c r="G124" s="149"/>
      <c r="H124" s="150">
        <v>126000</v>
      </c>
      <c r="I124" s="149"/>
      <c r="J124" s="149"/>
      <c r="K124" s="149"/>
      <c r="L124" s="149">
        <v>126000</v>
      </c>
      <c r="M124" s="149">
        <v>126000</v>
      </c>
      <c r="N124" s="149">
        <f t="shared" si="28"/>
        <v>126000</v>
      </c>
      <c r="O124" s="151">
        <f t="shared" si="18"/>
        <v>0</v>
      </c>
      <c r="P124" s="152"/>
      <c r="Q124" s="133">
        <f t="shared" si="29"/>
        <v>0</v>
      </c>
      <c r="R124" s="132">
        <f t="shared" si="19"/>
        <v>0</v>
      </c>
      <c r="S124" s="133"/>
    </row>
    <row r="125" spans="1:19" ht="15.75" thickBot="1" x14ac:dyDescent="0.3">
      <c r="C125" s="153"/>
      <c r="D125" s="154" t="s">
        <v>325</v>
      </c>
      <c r="E125" s="115">
        <v>1450963.94</v>
      </c>
      <c r="F125" s="115">
        <v>7953316</v>
      </c>
      <c r="G125" s="115">
        <v>1660824.49</v>
      </c>
      <c r="H125" s="115">
        <v>4267404.0022</v>
      </c>
      <c r="I125" s="115">
        <v>3813551</v>
      </c>
      <c r="J125" s="115">
        <v>0</v>
      </c>
      <c r="K125" s="115">
        <v>32725680</v>
      </c>
      <c r="L125" s="115">
        <v>58162296.292200007</v>
      </c>
      <c r="M125" s="115">
        <v>58162296.232200004</v>
      </c>
      <c r="N125" s="115">
        <f t="shared" ref="N125" si="30">N108+N109+N112</f>
        <v>58220652</v>
      </c>
      <c r="O125" s="115">
        <f t="shared" si="18"/>
        <v>58355.76779999584</v>
      </c>
      <c r="P125" s="155"/>
      <c r="Q125" s="117">
        <f t="shared" ref="Q125" si="31">Q108+Q109+Q112</f>
        <v>18147059</v>
      </c>
      <c r="R125" s="156">
        <f t="shared" si="19"/>
        <v>0.31169453409762571</v>
      </c>
      <c r="S125" s="117"/>
    </row>
    <row r="126" spans="1:19" x14ac:dyDescent="0.25">
      <c r="L126" s="4"/>
    </row>
    <row r="127" spans="1:19" x14ac:dyDescent="0.25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Q127" s="10"/>
      <c r="S127" s="10"/>
    </row>
    <row r="128" spans="1:19" ht="20.25" x14ac:dyDescent="0.3">
      <c r="C128" s="258" t="s">
        <v>326</v>
      </c>
      <c r="D128" s="258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Q128" s="10"/>
      <c r="S128" s="10"/>
    </row>
    <row r="129" spans="2:19" ht="15.75" thickBot="1" x14ac:dyDescent="0.3">
      <c r="C129" s="259"/>
      <c r="D129" s="259"/>
      <c r="E129" s="160"/>
      <c r="F129" s="160"/>
      <c r="G129" s="160"/>
      <c r="H129" s="160"/>
      <c r="I129" s="160"/>
      <c r="J129" s="160"/>
      <c r="K129" s="4"/>
      <c r="L129" s="160"/>
      <c r="M129" s="160"/>
      <c r="N129" s="160"/>
      <c r="O129" s="160"/>
      <c r="Q129" s="161"/>
      <c r="S129" s="161"/>
    </row>
    <row r="130" spans="2:19" ht="47.25" customHeight="1" outlineLevel="1" thickBot="1" x14ac:dyDescent="0.3">
      <c r="C130" s="22" t="s">
        <v>3</v>
      </c>
      <c r="D130" s="23" t="s">
        <v>4</v>
      </c>
      <c r="E130" s="24" t="s">
        <v>5</v>
      </c>
      <c r="F130" s="24" t="s">
        <v>6</v>
      </c>
      <c r="G130" s="24" t="s">
        <v>7</v>
      </c>
      <c r="H130" s="24" t="s">
        <v>8</v>
      </c>
      <c r="I130" s="24" t="s">
        <v>9</v>
      </c>
      <c r="J130" s="24" t="s">
        <v>10</v>
      </c>
      <c r="K130" s="24" t="s">
        <v>11</v>
      </c>
      <c r="L130" s="24" t="s">
        <v>12</v>
      </c>
      <c r="M130" s="24" t="s">
        <v>12</v>
      </c>
      <c r="N130" s="24" t="s">
        <v>13</v>
      </c>
      <c r="O130" s="24" t="s">
        <v>14</v>
      </c>
      <c r="P130" s="25" t="s">
        <v>327</v>
      </c>
      <c r="Q130" s="26" t="s">
        <v>16</v>
      </c>
      <c r="R130" s="27" t="s">
        <v>17</v>
      </c>
      <c r="S130" s="28" t="s">
        <v>18</v>
      </c>
    </row>
    <row r="131" spans="2:19" x14ac:dyDescent="0.25">
      <c r="C131" s="162" t="s">
        <v>22</v>
      </c>
      <c r="D131" s="163" t="s">
        <v>328</v>
      </c>
      <c r="E131" s="164">
        <v>0</v>
      </c>
      <c r="F131" s="164">
        <v>0</v>
      </c>
      <c r="G131" s="164">
        <v>0</v>
      </c>
      <c r="H131" s="164">
        <v>0</v>
      </c>
      <c r="I131" s="164">
        <v>0</v>
      </c>
      <c r="J131" s="164">
        <v>8000</v>
      </c>
      <c r="K131" s="164">
        <v>8237497.7770412909</v>
      </c>
      <c r="L131" s="164">
        <v>8245497.7770412909</v>
      </c>
      <c r="M131" s="164">
        <v>8245497.4604350002</v>
      </c>
      <c r="N131" s="164">
        <f t="shared" ref="N131" si="32">SUM(N132:N140)</f>
        <v>8245497</v>
      </c>
      <c r="O131" s="164">
        <f t="shared" ref="O131:O194" si="33">N131-M131</f>
        <v>-0.46043500024825335</v>
      </c>
      <c r="P131" s="165"/>
      <c r="Q131" s="166">
        <f t="shared" ref="Q131" si="34">SUM(Q132:Q140)</f>
        <v>1605487</v>
      </c>
      <c r="R131" s="167">
        <f t="shared" ref="R131:R194" si="35">Q131/N131</f>
        <v>0.19471076152231939</v>
      </c>
      <c r="S131" s="166"/>
    </row>
    <row r="132" spans="2:19" ht="31.5" customHeight="1" x14ac:dyDescent="0.25">
      <c r="B132" s="84" t="s">
        <v>329</v>
      </c>
      <c r="C132" s="168" t="s">
        <v>26</v>
      </c>
      <c r="D132" s="169" t="s">
        <v>330</v>
      </c>
      <c r="E132" s="72"/>
      <c r="F132" s="72"/>
      <c r="G132" s="72"/>
      <c r="H132" s="72"/>
      <c r="I132" s="72"/>
      <c r="J132" s="72"/>
      <c r="K132" s="72">
        <v>1904695.882342119</v>
      </c>
      <c r="L132" s="72">
        <v>1904695.882342119</v>
      </c>
      <c r="M132" s="72">
        <v>1904696</v>
      </c>
      <c r="N132" s="72">
        <f>ROUND(M132,0)</f>
        <v>1904696</v>
      </c>
      <c r="O132" s="72">
        <f t="shared" si="33"/>
        <v>0</v>
      </c>
      <c r="P132" s="88"/>
      <c r="Q132" s="89">
        <f>1465118-Q138-Q139</f>
        <v>358545.37</v>
      </c>
      <c r="R132" s="90">
        <f t="shared" si="35"/>
        <v>0.18824283245200285</v>
      </c>
      <c r="S132" s="89"/>
    </row>
    <row r="133" spans="2:19" x14ac:dyDescent="0.25">
      <c r="B133" s="84" t="s">
        <v>331</v>
      </c>
      <c r="C133" s="168" t="s">
        <v>29</v>
      </c>
      <c r="D133" s="169" t="s">
        <v>332</v>
      </c>
      <c r="E133" s="72"/>
      <c r="F133" s="72"/>
      <c r="G133" s="72"/>
      <c r="H133" s="72"/>
      <c r="I133" s="72"/>
      <c r="J133" s="72"/>
      <c r="K133" s="72">
        <v>355818.96720568801</v>
      </c>
      <c r="L133" s="72">
        <v>355818.96720568801</v>
      </c>
      <c r="M133" s="72">
        <v>355819</v>
      </c>
      <c r="N133" s="72">
        <f t="shared" ref="N133:N142" si="36">ROUND(M133,0)</f>
        <v>355819</v>
      </c>
      <c r="O133" s="72">
        <f t="shared" si="33"/>
        <v>0</v>
      </c>
      <c r="P133" s="170"/>
      <c r="Q133" s="89">
        <v>56766</v>
      </c>
      <c r="R133" s="90">
        <f t="shared" si="35"/>
        <v>0.15953616867002604</v>
      </c>
      <c r="S133" s="89"/>
    </row>
    <row r="134" spans="2:19" ht="13.15" customHeight="1" x14ac:dyDescent="0.25">
      <c r="B134" s="84" t="s">
        <v>333</v>
      </c>
      <c r="C134" s="168" t="s">
        <v>334</v>
      </c>
      <c r="D134" s="169" t="s">
        <v>335</v>
      </c>
      <c r="E134" s="72"/>
      <c r="F134" s="72"/>
      <c r="G134" s="72"/>
      <c r="H134" s="72"/>
      <c r="I134" s="72"/>
      <c r="J134" s="72"/>
      <c r="K134" s="72">
        <v>58895.469599999997</v>
      </c>
      <c r="L134" s="72">
        <v>58895.469599999997</v>
      </c>
      <c r="M134" s="72">
        <v>58895</v>
      </c>
      <c r="N134" s="72">
        <f>ROUND(M134,0)</f>
        <v>58895</v>
      </c>
      <c r="O134" s="72">
        <f t="shared" si="33"/>
        <v>0</v>
      </c>
      <c r="P134" s="88"/>
      <c r="Q134" s="89">
        <v>7667</v>
      </c>
      <c r="R134" s="90">
        <f t="shared" si="35"/>
        <v>0.1301808302911962</v>
      </c>
      <c r="S134" s="89"/>
    </row>
    <row r="135" spans="2:19" ht="14.45" customHeight="1" x14ac:dyDescent="0.25">
      <c r="B135" s="84" t="s">
        <v>336</v>
      </c>
      <c r="C135" s="168" t="s">
        <v>337</v>
      </c>
      <c r="D135" s="169" t="s">
        <v>338</v>
      </c>
      <c r="E135" s="72"/>
      <c r="F135" s="72"/>
      <c r="G135" s="72"/>
      <c r="H135" s="72"/>
      <c r="I135" s="72"/>
      <c r="J135" s="72"/>
      <c r="K135" s="72">
        <v>50294.195200000002</v>
      </c>
      <c r="L135" s="72">
        <v>50294.195200000002</v>
      </c>
      <c r="M135" s="72">
        <v>50294</v>
      </c>
      <c r="N135" s="72">
        <f t="shared" si="36"/>
        <v>50294</v>
      </c>
      <c r="O135" s="72">
        <f t="shared" si="33"/>
        <v>0</v>
      </c>
      <c r="P135" s="88"/>
      <c r="Q135" s="89">
        <v>4633</v>
      </c>
      <c r="R135" s="90">
        <f t="shared" si="35"/>
        <v>9.2118344136477515E-2</v>
      </c>
      <c r="S135" s="89"/>
    </row>
    <row r="136" spans="2:19" ht="18" customHeight="1" x14ac:dyDescent="0.25">
      <c r="B136" s="84" t="s">
        <v>339</v>
      </c>
      <c r="C136" s="168" t="s">
        <v>340</v>
      </c>
      <c r="D136" s="169" t="s">
        <v>341</v>
      </c>
      <c r="E136" s="72"/>
      <c r="F136" s="72"/>
      <c r="G136" s="72"/>
      <c r="H136" s="72"/>
      <c r="I136" s="72"/>
      <c r="J136" s="72"/>
      <c r="K136" s="72">
        <v>6587.5</v>
      </c>
      <c r="L136" s="72">
        <v>6587.5</v>
      </c>
      <c r="M136" s="72">
        <v>6588</v>
      </c>
      <c r="N136" s="72">
        <f t="shared" si="36"/>
        <v>6588</v>
      </c>
      <c r="O136" s="72">
        <f t="shared" si="33"/>
        <v>0</v>
      </c>
      <c r="P136" s="170"/>
      <c r="Q136" s="89">
        <v>31</v>
      </c>
      <c r="R136" s="90">
        <f t="shared" si="35"/>
        <v>4.7055251973284759E-3</v>
      </c>
      <c r="S136" s="89"/>
    </row>
    <row r="137" spans="2:19" ht="29.45" customHeight="1" x14ac:dyDescent="0.25">
      <c r="B137" s="84" t="s">
        <v>342</v>
      </c>
      <c r="C137" s="168" t="s">
        <v>343</v>
      </c>
      <c r="D137" s="169" t="s">
        <v>344</v>
      </c>
      <c r="E137" s="72"/>
      <c r="F137" s="72"/>
      <c r="G137" s="72"/>
      <c r="H137" s="72"/>
      <c r="I137" s="72"/>
      <c r="J137" s="72"/>
      <c r="K137" s="72">
        <v>71620.138310000009</v>
      </c>
      <c r="L137" s="72">
        <v>71620.138310000009</v>
      </c>
      <c r="M137" s="72">
        <v>71620</v>
      </c>
      <c r="N137" s="72">
        <f t="shared" si="36"/>
        <v>71620</v>
      </c>
      <c r="O137" s="72">
        <f t="shared" si="33"/>
        <v>0</v>
      </c>
      <c r="P137" s="170"/>
      <c r="Q137" s="89">
        <v>3507</v>
      </c>
      <c r="R137" s="90">
        <f t="shared" si="35"/>
        <v>4.896676905892209E-2</v>
      </c>
      <c r="S137" s="89"/>
    </row>
    <row r="138" spans="2:19" ht="15.6" customHeight="1" x14ac:dyDescent="0.25">
      <c r="B138" s="84" t="s">
        <v>329</v>
      </c>
      <c r="C138" s="168" t="s">
        <v>345</v>
      </c>
      <c r="D138" s="169" t="s">
        <v>346</v>
      </c>
      <c r="E138" s="72"/>
      <c r="F138" s="72"/>
      <c r="G138" s="72"/>
      <c r="H138" s="72"/>
      <c r="I138" s="72"/>
      <c r="J138" s="72"/>
      <c r="K138" s="72">
        <v>1047339.1639484835</v>
      </c>
      <c r="L138" s="72">
        <v>1047339.1639484835</v>
      </c>
      <c r="M138" s="72">
        <v>1047339</v>
      </c>
      <c r="N138" s="72">
        <f t="shared" si="36"/>
        <v>1047339</v>
      </c>
      <c r="O138" s="72">
        <f t="shared" si="33"/>
        <v>0</v>
      </c>
      <c r="P138" s="88"/>
      <c r="Q138" s="89">
        <v>112906</v>
      </c>
      <c r="R138" s="90">
        <f t="shared" si="35"/>
        <v>0.10780272671981088</v>
      </c>
      <c r="S138" s="89"/>
    </row>
    <row r="139" spans="2:19" x14ac:dyDescent="0.25">
      <c r="B139" s="84" t="s">
        <v>329</v>
      </c>
      <c r="C139" s="168" t="s">
        <v>347</v>
      </c>
      <c r="D139" s="169" t="s">
        <v>348</v>
      </c>
      <c r="E139" s="72"/>
      <c r="F139" s="72"/>
      <c r="G139" s="72"/>
      <c r="H139" s="72"/>
      <c r="I139" s="72"/>
      <c r="J139" s="72"/>
      <c r="K139" s="72">
        <v>4392666</v>
      </c>
      <c r="L139" s="72">
        <v>4392666</v>
      </c>
      <c r="M139" s="72">
        <v>4392666</v>
      </c>
      <c r="N139" s="72">
        <f t="shared" si="36"/>
        <v>4392666</v>
      </c>
      <c r="O139" s="72">
        <f t="shared" si="33"/>
        <v>0</v>
      </c>
      <c r="P139" s="170"/>
      <c r="Q139" s="89">
        <v>993666.63</v>
      </c>
      <c r="R139" s="90">
        <f t="shared" si="35"/>
        <v>0.22621037656858045</v>
      </c>
      <c r="S139" s="89"/>
    </row>
    <row r="140" spans="2:19" ht="45.6" customHeight="1" x14ac:dyDescent="0.25">
      <c r="B140" s="84" t="s">
        <v>349</v>
      </c>
      <c r="C140" s="168" t="s">
        <v>350</v>
      </c>
      <c r="D140" s="169" t="s">
        <v>351</v>
      </c>
      <c r="E140" s="72"/>
      <c r="F140" s="72"/>
      <c r="G140" s="72"/>
      <c r="H140" s="72"/>
      <c r="I140" s="72"/>
      <c r="J140" s="72">
        <v>8000</v>
      </c>
      <c r="K140" s="72">
        <v>349580.46043500002</v>
      </c>
      <c r="L140" s="72">
        <v>357580.46043500002</v>
      </c>
      <c r="M140" s="72">
        <v>357580.46043500002</v>
      </c>
      <c r="N140" s="72">
        <f>ROUND(M140,0)</f>
        <v>357580</v>
      </c>
      <c r="O140" s="72">
        <f t="shared" si="33"/>
        <v>-0.4604350000154227</v>
      </c>
      <c r="P140" s="88"/>
      <c r="Q140" s="89">
        <v>67765</v>
      </c>
      <c r="R140" s="90">
        <f t="shared" si="35"/>
        <v>0.18951003971139324</v>
      </c>
      <c r="S140" s="89"/>
    </row>
    <row r="141" spans="2:19" x14ac:dyDescent="0.25">
      <c r="C141" s="171" t="s">
        <v>34</v>
      </c>
      <c r="D141" s="172" t="s">
        <v>352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f t="shared" si="36"/>
        <v>0</v>
      </c>
      <c r="O141" s="53">
        <f t="shared" si="33"/>
        <v>0</v>
      </c>
      <c r="P141" s="54"/>
      <c r="Q141" s="55">
        <f t="shared" ref="Q141" si="37">ROUND(P141,0)</f>
        <v>0</v>
      </c>
      <c r="R141" s="56"/>
      <c r="S141" s="55"/>
    </row>
    <row r="142" spans="2:19" ht="32.25" customHeight="1" x14ac:dyDescent="0.25">
      <c r="B142" s="84" t="s">
        <v>353</v>
      </c>
      <c r="C142" s="168" t="s">
        <v>37</v>
      </c>
      <c r="D142" s="169" t="s">
        <v>354</v>
      </c>
      <c r="E142" s="72"/>
      <c r="F142" s="72"/>
      <c r="G142" s="72"/>
      <c r="H142" s="72"/>
      <c r="I142" s="72"/>
      <c r="J142" s="72"/>
      <c r="K142" s="72"/>
      <c r="L142" s="72">
        <v>0</v>
      </c>
      <c r="M142" s="72">
        <v>0</v>
      </c>
      <c r="N142" s="72">
        <f t="shared" si="36"/>
        <v>0</v>
      </c>
      <c r="O142" s="72">
        <f t="shared" si="33"/>
        <v>0</v>
      </c>
      <c r="P142" s="170"/>
      <c r="Q142" s="89">
        <v>0</v>
      </c>
      <c r="R142" s="90"/>
      <c r="S142" s="173"/>
    </row>
    <row r="143" spans="2:19" ht="33" customHeight="1" collapsed="1" x14ac:dyDescent="0.25">
      <c r="B143" s="84" t="s">
        <v>355</v>
      </c>
      <c r="C143" s="171" t="s">
        <v>42</v>
      </c>
      <c r="D143" s="172" t="s">
        <v>356</v>
      </c>
      <c r="E143" s="53"/>
      <c r="F143" s="53"/>
      <c r="G143" s="53"/>
      <c r="H143" s="53"/>
      <c r="I143" s="53"/>
      <c r="J143" s="53">
        <v>9400</v>
      </c>
      <c r="K143" s="53">
        <v>926669.29245700024</v>
      </c>
      <c r="L143" s="53">
        <v>936069.29245700024</v>
      </c>
      <c r="M143" s="53">
        <v>936069.29245700024</v>
      </c>
      <c r="N143" s="53">
        <f>ROUND(M143,0)</f>
        <v>936069</v>
      </c>
      <c r="O143" s="53">
        <f t="shared" si="33"/>
        <v>-0.29245700023602694</v>
      </c>
      <c r="P143" s="65"/>
      <c r="Q143" s="55">
        <v>193759</v>
      </c>
      <c r="R143" s="56">
        <f t="shared" si="35"/>
        <v>0.20699221959064984</v>
      </c>
      <c r="S143" s="55"/>
    </row>
    <row r="144" spans="2:19" s="174" customFormat="1" ht="16.899999999999999" customHeight="1" x14ac:dyDescent="0.25">
      <c r="C144" s="171" t="s">
        <v>50</v>
      </c>
      <c r="D144" s="172" t="s">
        <v>357</v>
      </c>
      <c r="E144" s="53">
        <v>6813</v>
      </c>
      <c r="F144" s="53">
        <v>342263</v>
      </c>
      <c r="G144" s="53">
        <v>0</v>
      </c>
      <c r="H144" s="53">
        <v>0</v>
      </c>
      <c r="I144" s="53">
        <v>0</v>
      </c>
      <c r="J144" s="53">
        <v>0</v>
      </c>
      <c r="K144" s="53">
        <v>207617.29264600005</v>
      </c>
      <c r="L144" s="53">
        <v>556693.29264600005</v>
      </c>
      <c r="M144" s="53">
        <v>556693.29264600005</v>
      </c>
      <c r="N144" s="53">
        <f t="shared" ref="N144" si="38">N145+N148</f>
        <v>556693</v>
      </c>
      <c r="O144" s="53">
        <f t="shared" si="33"/>
        <v>-0.29264600004535168</v>
      </c>
      <c r="P144" s="65"/>
      <c r="Q144" s="55">
        <f t="shared" ref="Q144" si="39">Q145+Q148</f>
        <v>64210</v>
      </c>
      <c r="R144" s="56">
        <f t="shared" si="35"/>
        <v>0.11534184909815644</v>
      </c>
      <c r="S144" s="55"/>
    </row>
    <row r="145" spans="2:21" x14ac:dyDescent="0.25">
      <c r="B145" s="84" t="s">
        <v>358</v>
      </c>
      <c r="C145" s="168" t="s">
        <v>53</v>
      </c>
      <c r="D145" s="169" t="s">
        <v>359</v>
      </c>
      <c r="E145" s="72">
        <v>0</v>
      </c>
      <c r="F145" s="72">
        <v>0</v>
      </c>
      <c r="G145" s="72">
        <v>0</v>
      </c>
      <c r="H145" s="72">
        <v>0</v>
      </c>
      <c r="I145" s="72">
        <v>0</v>
      </c>
      <c r="J145" s="72">
        <v>0</v>
      </c>
      <c r="K145" s="72">
        <v>207617.29264600005</v>
      </c>
      <c r="L145" s="72">
        <v>207617.29264600005</v>
      </c>
      <c r="M145" s="72">
        <v>207617.29264600005</v>
      </c>
      <c r="N145" s="72">
        <f>SUM(N146:N147)</f>
        <v>207617</v>
      </c>
      <c r="O145" s="72">
        <f t="shared" ref="O145" si="40">SUM(O146:O147)</f>
        <v>3.7353999970946461E-2</v>
      </c>
      <c r="P145" s="72"/>
      <c r="Q145" s="89">
        <f>SUM(Q146:Q147)</f>
        <v>34621</v>
      </c>
      <c r="R145" s="90">
        <f t="shared" si="35"/>
        <v>0.1667541675296339</v>
      </c>
      <c r="S145" s="89"/>
    </row>
    <row r="146" spans="2:21" x14ac:dyDescent="0.25">
      <c r="B146" s="84" t="s">
        <v>358</v>
      </c>
      <c r="C146" s="175" t="s">
        <v>360</v>
      </c>
      <c r="D146" s="176" t="s">
        <v>361</v>
      </c>
      <c r="E146" s="47"/>
      <c r="F146" s="47"/>
      <c r="G146" s="47"/>
      <c r="H146" s="47"/>
      <c r="I146" s="47"/>
      <c r="J146" s="47"/>
      <c r="K146" s="47">
        <v>162450.96264600003</v>
      </c>
      <c r="L146" s="47">
        <v>162450.96264600003</v>
      </c>
      <c r="M146" s="47">
        <v>162450.96264600003</v>
      </c>
      <c r="N146" s="47">
        <f>ROUND(M146,0)</f>
        <v>162451</v>
      </c>
      <c r="O146" s="47">
        <f t="shared" si="33"/>
        <v>3.7353999970946461E-2</v>
      </c>
      <c r="P146" s="48"/>
      <c r="Q146" s="49">
        <v>23833</v>
      </c>
      <c r="R146" s="50">
        <f t="shared" si="35"/>
        <v>0.14670885374666823</v>
      </c>
      <c r="S146" s="49" t="s">
        <v>362</v>
      </c>
    </row>
    <row r="147" spans="2:21" x14ac:dyDescent="0.25">
      <c r="B147" s="84"/>
      <c r="C147" s="175" t="s">
        <v>363</v>
      </c>
      <c r="D147" s="176" t="s">
        <v>364</v>
      </c>
      <c r="E147" s="47"/>
      <c r="F147" s="47"/>
      <c r="G147" s="47"/>
      <c r="H147" s="47"/>
      <c r="I147" s="47"/>
      <c r="J147" s="47"/>
      <c r="K147" s="47">
        <v>45166.33</v>
      </c>
      <c r="L147" s="47">
        <v>45166.33</v>
      </c>
      <c r="M147" s="47">
        <v>45166.33</v>
      </c>
      <c r="N147" s="47">
        <f>ROUND(M147,0)</f>
        <v>45166</v>
      </c>
      <c r="O147" s="47"/>
      <c r="P147" s="48"/>
      <c r="Q147" s="49">
        <v>10788</v>
      </c>
      <c r="R147" s="50">
        <f t="shared" si="35"/>
        <v>0.23885223398131339</v>
      </c>
      <c r="S147" s="49"/>
    </row>
    <row r="148" spans="2:21" x14ac:dyDescent="0.25">
      <c r="B148" s="84" t="s">
        <v>365</v>
      </c>
      <c r="C148" s="168" t="s">
        <v>55</v>
      </c>
      <c r="D148" s="169" t="s">
        <v>366</v>
      </c>
      <c r="E148" s="72">
        <v>6813</v>
      </c>
      <c r="F148" s="87">
        <v>342263</v>
      </c>
      <c r="G148" s="72"/>
      <c r="H148" s="72"/>
      <c r="I148" s="72"/>
      <c r="J148" s="72"/>
      <c r="K148" s="72"/>
      <c r="L148" s="72">
        <v>349076</v>
      </c>
      <c r="M148" s="72">
        <v>349076</v>
      </c>
      <c r="N148" s="72">
        <f>ROUND(M148,0)</f>
        <v>349076</v>
      </c>
      <c r="O148" s="72">
        <f t="shared" si="33"/>
        <v>0</v>
      </c>
      <c r="P148" s="170"/>
      <c r="Q148" s="89">
        <v>29589</v>
      </c>
      <c r="R148" s="90">
        <f t="shared" si="35"/>
        <v>8.4763776369615781E-2</v>
      </c>
      <c r="S148" s="89" t="s">
        <v>367</v>
      </c>
    </row>
    <row r="149" spans="2:21" x14ac:dyDescent="0.25">
      <c r="C149" s="171" t="s">
        <v>56</v>
      </c>
      <c r="D149" s="172" t="s">
        <v>368</v>
      </c>
      <c r="E149" s="53">
        <v>190002</v>
      </c>
      <c r="F149" s="53">
        <v>70000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3">
        <v>260002</v>
      </c>
      <c r="M149" s="53">
        <v>260002</v>
      </c>
      <c r="N149" s="53">
        <f t="shared" ref="N149" si="41">N150</f>
        <v>260002</v>
      </c>
      <c r="O149" s="53">
        <f t="shared" si="33"/>
        <v>0</v>
      </c>
      <c r="P149" s="54"/>
      <c r="Q149" s="55">
        <f t="shared" ref="Q149" si="42">Q150</f>
        <v>3351</v>
      </c>
      <c r="R149" s="56">
        <f t="shared" si="35"/>
        <v>1.2888362397212329E-2</v>
      </c>
      <c r="S149" s="55"/>
    </row>
    <row r="150" spans="2:21" ht="16.149999999999999" customHeight="1" x14ac:dyDescent="0.25">
      <c r="B150" s="84" t="s">
        <v>369</v>
      </c>
      <c r="C150" s="168" t="s">
        <v>59</v>
      </c>
      <c r="D150" s="169" t="s">
        <v>370</v>
      </c>
      <c r="E150" s="72">
        <v>190002</v>
      </c>
      <c r="F150" s="72">
        <v>70000</v>
      </c>
      <c r="G150" s="72"/>
      <c r="H150" s="72"/>
      <c r="I150" s="72"/>
      <c r="J150" s="72"/>
      <c r="K150" s="72"/>
      <c r="L150" s="72">
        <v>260002</v>
      </c>
      <c r="M150" s="72">
        <v>260002</v>
      </c>
      <c r="N150" s="72">
        <f>ROUND(M150,0)</f>
        <v>260002</v>
      </c>
      <c r="O150" s="72">
        <f t="shared" si="33"/>
        <v>0</v>
      </c>
      <c r="P150" s="88"/>
      <c r="Q150" s="89">
        <v>3351</v>
      </c>
      <c r="R150" s="90">
        <f t="shared" si="35"/>
        <v>1.2888362397212329E-2</v>
      </c>
      <c r="S150" s="89" t="s">
        <v>371</v>
      </c>
    </row>
    <row r="151" spans="2:21" ht="29.25" x14ac:dyDescent="0.25">
      <c r="C151" s="171" t="s">
        <v>64</v>
      </c>
      <c r="D151" s="172" t="s">
        <v>372</v>
      </c>
      <c r="E151" s="53">
        <v>330504.90000000002</v>
      </c>
      <c r="F151" s="53">
        <v>1200</v>
      </c>
      <c r="G151" s="53">
        <v>860821.1</v>
      </c>
      <c r="H151" s="53">
        <v>3294458.0022</v>
      </c>
      <c r="I151" s="53">
        <v>8421112.8361329995</v>
      </c>
      <c r="J151" s="53">
        <v>2029618.85</v>
      </c>
      <c r="K151" s="53">
        <v>1391525.6841199999</v>
      </c>
      <c r="L151" s="53">
        <v>16329241.372453</v>
      </c>
      <c r="M151" s="53">
        <v>16329241.372453</v>
      </c>
      <c r="N151" s="53">
        <f t="shared" ref="N151" si="43">N152+N153+N154+N155+N166</f>
        <v>16329241</v>
      </c>
      <c r="O151" s="53">
        <f>O153+O154+O155+O166</f>
        <v>-0.3724529993487522</v>
      </c>
      <c r="P151" s="53"/>
      <c r="Q151" s="55">
        <f t="shared" ref="Q151" si="44">Q152+Q153+Q154+Q155+Q166</f>
        <v>2268600.3600000003</v>
      </c>
      <c r="R151" s="56">
        <f t="shared" si="35"/>
        <v>0.1389287083214707</v>
      </c>
      <c r="S151" s="55"/>
    </row>
    <row r="152" spans="2:21" ht="32.25" customHeight="1" x14ac:dyDescent="0.25">
      <c r="B152" s="84" t="s">
        <v>353</v>
      </c>
      <c r="C152" s="168" t="s">
        <v>67</v>
      </c>
      <c r="D152" s="177" t="s">
        <v>354</v>
      </c>
      <c r="E152" s="72"/>
      <c r="F152" s="72"/>
      <c r="G152" s="72"/>
      <c r="H152" s="72"/>
      <c r="I152" s="72"/>
      <c r="J152" s="72"/>
      <c r="K152" s="178">
        <v>70000</v>
      </c>
      <c r="L152" s="178">
        <v>70000</v>
      </c>
      <c r="M152" s="72">
        <v>70000</v>
      </c>
      <c r="N152" s="72">
        <f>ROUND(M152,0)</f>
        <v>70000</v>
      </c>
      <c r="O152" s="72">
        <f>N152-M152</f>
        <v>0</v>
      </c>
      <c r="P152" s="170"/>
      <c r="Q152" s="89">
        <f>ROUND(P152,0)</f>
        <v>0</v>
      </c>
      <c r="R152" s="90">
        <f t="shared" si="35"/>
        <v>0</v>
      </c>
      <c r="S152" s="173"/>
    </row>
    <row r="153" spans="2:21" ht="19.149999999999999" customHeight="1" x14ac:dyDescent="0.25">
      <c r="B153" s="84" t="s">
        <v>373</v>
      </c>
      <c r="C153" s="168" t="s">
        <v>79</v>
      </c>
      <c r="D153" s="177" t="s">
        <v>374</v>
      </c>
      <c r="E153" s="178"/>
      <c r="F153" s="178"/>
      <c r="G153" s="178"/>
      <c r="H153" s="178"/>
      <c r="I153" s="178"/>
      <c r="J153" s="178"/>
      <c r="K153" s="178">
        <v>313523.70461999997</v>
      </c>
      <c r="L153" s="178">
        <v>313523.70461999997</v>
      </c>
      <c r="M153" s="178">
        <v>313523.70461999997</v>
      </c>
      <c r="N153" s="178">
        <f>ROUND(M153,0)</f>
        <v>313524</v>
      </c>
      <c r="O153" s="178">
        <f t="shared" si="33"/>
        <v>0.29538000002503395</v>
      </c>
      <c r="P153" s="88"/>
      <c r="Q153" s="179">
        <v>59913</v>
      </c>
      <c r="R153" s="180">
        <f t="shared" si="35"/>
        <v>0.19109541853255252</v>
      </c>
      <c r="S153" s="179"/>
    </row>
    <row r="154" spans="2:21" ht="30" customHeight="1" x14ac:dyDescent="0.25">
      <c r="B154" s="84" t="s">
        <v>375</v>
      </c>
      <c r="C154" s="168" t="s">
        <v>376</v>
      </c>
      <c r="D154" s="177" t="s">
        <v>377</v>
      </c>
      <c r="E154" s="178"/>
      <c r="F154" s="178"/>
      <c r="G154" s="178"/>
      <c r="H154" s="178"/>
      <c r="I154" s="178"/>
      <c r="J154" s="178">
        <v>78000</v>
      </c>
      <c r="K154" s="178">
        <v>267571.12844500004</v>
      </c>
      <c r="L154" s="178">
        <v>345571.12844500004</v>
      </c>
      <c r="M154" s="178">
        <v>345571.12844500004</v>
      </c>
      <c r="N154" s="178">
        <f>ROUND(M154,0)</f>
        <v>345571</v>
      </c>
      <c r="O154" s="178">
        <f t="shared" si="33"/>
        <v>-0.12844500003848225</v>
      </c>
      <c r="P154" s="88"/>
      <c r="Q154" s="179">
        <v>41960</v>
      </c>
      <c r="R154" s="180">
        <f t="shared" si="35"/>
        <v>0.12142222582334744</v>
      </c>
      <c r="S154" s="173" t="s">
        <v>378</v>
      </c>
    </row>
    <row r="155" spans="2:21" x14ac:dyDescent="0.25">
      <c r="C155" s="168" t="s">
        <v>379</v>
      </c>
      <c r="D155" s="177" t="s">
        <v>380</v>
      </c>
      <c r="E155" s="178">
        <v>96582</v>
      </c>
      <c r="F155" s="178">
        <v>1200</v>
      </c>
      <c r="G155" s="178">
        <v>14100</v>
      </c>
      <c r="H155" s="178">
        <v>304346</v>
      </c>
      <c r="I155" s="178">
        <v>0</v>
      </c>
      <c r="J155" s="178">
        <v>708088</v>
      </c>
      <c r="K155" s="178">
        <v>402654.04988000001</v>
      </c>
      <c r="L155" s="178">
        <v>1526970.0498800001</v>
      </c>
      <c r="M155" s="178">
        <v>1526970.0498800001</v>
      </c>
      <c r="N155" s="178">
        <f t="shared" ref="N155:O155" si="45">SUM(N156:N165)</f>
        <v>1526970</v>
      </c>
      <c r="O155" s="178">
        <f t="shared" si="45"/>
        <v>-4.9880000064149499E-2</v>
      </c>
      <c r="P155" s="178"/>
      <c r="Q155" s="179">
        <f t="shared" ref="Q155" si="46">SUM(Q156:Q165)</f>
        <v>160575</v>
      </c>
      <c r="R155" s="180">
        <f t="shared" si="35"/>
        <v>0.10515923692017524</v>
      </c>
      <c r="S155" s="179"/>
    </row>
    <row r="156" spans="2:21" ht="33" customHeight="1" x14ac:dyDescent="0.25">
      <c r="B156" s="84" t="s">
        <v>184</v>
      </c>
      <c r="C156" s="175" t="s">
        <v>381</v>
      </c>
      <c r="D156" s="140" t="s">
        <v>382</v>
      </c>
      <c r="E156" s="47">
        <v>10621</v>
      </c>
      <c r="F156" s="47">
        <v>1200</v>
      </c>
      <c r="G156" s="47"/>
      <c r="H156" s="47"/>
      <c r="I156" s="47"/>
      <c r="J156" s="47">
        <v>594638</v>
      </c>
      <c r="K156" s="47">
        <v>402654.04988000001</v>
      </c>
      <c r="L156" s="47">
        <v>1009113.0498800001</v>
      </c>
      <c r="M156" s="47">
        <v>1009113.0498800001</v>
      </c>
      <c r="N156" s="47">
        <f>ROUND(M156,0)+5033</f>
        <v>1014146</v>
      </c>
      <c r="O156" s="47">
        <f t="shared" si="33"/>
        <v>5032.9501199999359</v>
      </c>
      <c r="P156" s="181" t="s">
        <v>383</v>
      </c>
      <c r="Q156" s="49">
        <v>82902</v>
      </c>
      <c r="R156" s="61">
        <f t="shared" si="35"/>
        <v>8.1745626369378765E-2</v>
      </c>
      <c r="S156" s="68" t="s">
        <v>384</v>
      </c>
      <c r="U156" s="4"/>
    </row>
    <row r="157" spans="2:21" ht="15" customHeight="1" x14ac:dyDescent="0.25">
      <c r="B157" s="84" t="s">
        <v>385</v>
      </c>
      <c r="C157" s="175" t="s">
        <v>386</v>
      </c>
      <c r="D157" s="182" t="s">
        <v>387</v>
      </c>
      <c r="E157" s="47"/>
      <c r="F157" s="47"/>
      <c r="G157" s="47"/>
      <c r="H157" s="47"/>
      <c r="I157" s="47"/>
      <c r="J157" s="47">
        <v>40000</v>
      </c>
      <c r="K157" s="47"/>
      <c r="L157" s="47">
        <v>40000</v>
      </c>
      <c r="M157" s="47">
        <v>40000</v>
      </c>
      <c r="N157" s="47">
        <f t="shared" ref="N157:N162" si="47">ROUND(M157,0)</f>
        <v>40000</v>
      </c>
      <c r="O157" s="47">
        <f t="shared" si="33"/>
        <v>0</v>
      </c>
      <c r="P157" s="181"/>
      <c r="Q157" s="49">
        <v>0</v>
      </c>
      <c r="R157" s="260">
        <f t="shared" si="35"/>
        <v>0</v>
      </c>
      <c r="S157" s="49" t="s">
        <v>388</v>
      </c>
      <c r="U157" s="4"/>
    </row>
    <row r="158" spans="2:21" ht="16.5" customHeight="1" x14ac:dyDescent="0.25">
      <c r="B158" s="84" t="s">
        <v>385</v>
      </c>
      <c r="C158" s="175" t="s">
        <v>389</v>
      </c>
      <c r="D158" s="182" t="s">
        <v>390</v>
      </c>
      <c r="E158" s="47"/>
      <c r="F158" s="47"/>
      <c r="G158" s="47"/>
      <c r="H158" s="47"/>
      <c r="I158" s="47"/>
      <c r="J158" s="47">
        <v>10000</v>
      </c>
      <c r="K158" s="47"/>
      <c r="L158" s="47">
        <v>10000</v>
      </c>
      <c r="M158" s="47">
        <v>10000</v>
      </c>
      <c r="N158" s="47">
        <f t="shared" si="47"/>
        <v>10000</v>
      </c>
      <c r="O158" s="47">
        <f t="shared" si="33"/>
        <v>0</v>
      </c>
      <c r="P158" s="181"/>
      <c r="Q158" s="49">
        <v>0</v>
      </c>
      <c r="R158" s="261">
        <f t="shared" si="35"/>
        <v>0</v>
      </c>
      <c r="S158" s="49"/>
    </row>
    <row r="159" spans="2:21" ht="28.15" customHeight="1" x14ac:dyDescent="0.25">
      <c r="B159" s="84" t="s">
        <v>391</v>
      </c>
      <c r="C159" s="183" t="s">
        <v>392</v>
      </c>
      <c r="D159" s="184" t="s">
        <v>393</v>
      </c>
      <c r="E159" s="47">
        <v>42000</v>
      </c>
      <c r="F159" s="47"/>
      <c r="G159" s="47"/>
      <c r="H159" s="47"/>
      <c r="I159" s="47"/>
      <c r="J159" s="47">
        <v>0</v>
      </c>
      <c r="K159" s="47"/>
      <c r="L159" s="47">
        <v>42000</v>
      </c>
      <c r="M159" s="47">
        <v>42000</v>
      </c>
      <c r="N159" s="47">
        <f>ROUND(M159,0)+18000</f>
        <v>60000</v>
      </c>
      <c r="O159" s="47">
        <f t="shared" si="33"/>
        <v>18000</v>
      </c>
      <c r="P159" s="181" t="s">
        <v>394</v>
      </c>
      <c r="Q159" s="49">
        <v>24182</v>
      </c>
      <c r="R159" s="50">
        <f t="shared" si="35"/>
        <v>0.40303333333333335</v>
      </c>
      <c r="S159" s="49" t="s">
        <v>395</v>
      </c>
    </row>
    <row r="160" spans="2:21" ht="32.450000000000003" customHeight="1" x14ac:dyDescent="0.25">
      <c r="B160" s="84" t="s">
        <v>396</v>
      </c>
      <c r="C160" s="183" t="s">
        <v>397</v>
      </c>
      <c r="D160" s="185" t="s">
        <v>398</v>
      </c>
      <c r="E160" s="47"/>
      <c r="F160" s="47"/>
      <c r="G160" s="47"/>
      <c r="H160" s="47">
        <v>59922</v>
      </c>
      <c r="I160" s="47"/>
      <c r="J160" s="47">
        <v>25368</v>
      </c>
      <c r="K160" s="47"/>
      <c r="L160" s="47">
        <v>85290</v>
      </c>
      <c r="M160" s="47">
        <v>85290</v>
      </c>
      <c r="N160" s="47">
        <f t="shared" si="47"/>
        <v>85290</v>
      </c>
      <c r="O160" s="47">
        <f t="shared" si="33"/>
        <v>0</v>
      </c>
      <c r="P160" s="181"/>
      <c r="Q160" s="49">
        <v>12684</v>
      </c>
      <c r="R160" s="50">
        <f t="shared" si="35"/>
        <v>0.14871614491734084</v>
      </c>
      <c r="S160" s="49" t="s">
        <v>395</v>
      </c>
    </row>
    <row r="161" spans="2:22" ht="15.75" customHeight="1" x14ac:dyDescent="0.25">
      <c r="B161" s="84" t="s">
        <v>399</v>
      </c>
      <c r="C161" s="183" t="s">
        <v>400</v>
      </c>
      <c r="D161" s="185" t="s">
        <v>234</v>
      </c>
      <c r="E161" s="47"/>
      <c r="F161" s="47"/>
      <c r="G161" s="47"/>
      <c r="H161" s="47">
        <v>207089</v>
      </c>
      <c r="I161" s="47"/>
      <c r="J161" s="47">
        <v>29082</v>
      </c>
      <c r="K161" s="47"/>
      <c r="L161" s="47">
        <v>236171</v>
      </c>
      <c r="M161" s="47">
        <v>236171</v>
      </c>
      <c r="N161" s="47">
        <f t="shared" si="47"/>
        <v>236171</v>
      </c>
      <c r="O161" s="47">
        <f t="shared" si="33"/>
        <v>0</v>
      </c>
      <c r="P161" s="181"/>
      <c r="Q161" s="49">
        <v>12684</v>
      </c>
      <c r="R161" s="50">
        <f t="shared" si="35"/>
        <v>5.3706848004200343E-2</v>
      </c>
      <c r="S161" s="49"/>
    </row>
    <row r="162" spans="2:22" ht="25.15" customHeight="1" x14ac:dyDescent="0.25">
      <c r="B162" s="84" t="s">
        <v>401</v>
      </c>
      <c r="C162" s="183" t="s">
        <v>402</v>
      </c>
      <c r="D162" s="185" t="s">
        <v>199</v>
      </c>
      <c r="E162" s="47">
        <v>7821</v>
      </c>
      <c r="F162" s="47"/>
      <c r="G162" s="47"/>
      <c r="H162" s="47">
        <v>37335</v>
      </c>
      <c r="I162" s="47"/>
      <c r="J162" s="47">
        <v>8084</v>
      </c>
      <c r="K162" s="47"/>
      <c r="L162" s="47">
        <v>53240</v>
      </c>
      <c r="M162" s="47">
        <v>53240</v>
      </c>
      <c r="N162" s="47">
        <f t="shared" si="47"/>
        <v>53240</v>
      </c>
      <c r="O162" s="47">
        <f t="shared" si="33"/>
        <v>0</v>
      </c>
      <c r="P162" s="67"/>
      <c r="Q162" s="49">
        <f t="shared" ref="Q162" si="48">ROUND(P162,0)</f>
        <v>0</v>
      </c>
      <c r="R162" s="50">
        <f t="shared" si="35"/>
        <v>0</v>
      </c>
      <c r="S162" s="49" t="s">
        <v>395</v>
      </c>
    </row>
    <row r="163" spans="2:22" ht="13.15" customHeight="1" x14ac:dyDescent="0.25">
      <c r="B163" s="84" t="s">
        <v>184</v>
      </c>
      <c r="C163" s="183" t="s">
        <v>403</v>
      </c>
      <c r="D163" s="91" t="s">
        <v>404</v>
      </c>
      <c r="E163" s="47">
        <v>32020</v>
      </c>
      <c r="F163" s="47"/>
      <c r="G163" s="47"/>
      <c r="H163" s="47"/>
      <c r="I163" s="47"/>
      <c r="J163" s="47">
        <v>0</v>
      </c>
      <c r="K163" s="47"/>
      <c r="L163" s="47">
        <v>32020</v>
      </c>
      <c r="M163" s="47">
        <v>32020</v>
      </c>
      <c r="N163" s="47">
        <f>32020-18000-5033</f>
        <v>8987</v>
      </c>
      <c r="O163" s="47">
        <f t="shared" si="33"/>
        <v>-23033</v>
      </c>
      <c r="P163" s="181" t="s">
        <v>405</v>
      </c>
      <c r="Q163" s="49">
        <f>32020-18000-5033</f>
        <v>8987</v>
      </c>
      <c r="R163" s="50">
        <f t="shared" si="35"/>
        <v>1</v>
      </c>
      <c r="S163" s="49"/>
    </row>
    <row r="164" spans="2:22" ht="27.6" customHeight="1" x14ac:dyDescent="0.25">
      <c r="B164" s="84" t="s">
        <v>268</v>
      </c>
      <c r="C164" s="183" t="s">
        <v>406</v>
      </c>
      <c r="D164" s="185" t="s">
        <v>407</v>
      </c>
      <c r="E164" s="47">
        <v>4120</v>
      </c>
      <c r="F164" s="47"/>
      <c r="G164" s="47"/>
      <c r="H164" s="47"/>
      <c r="I164" s="47"/>
      <c r="J164" s="47">
        <v>16</v>
      </c>
      <c r="K164" s="47"/>
      <c r="L164" s="47">
        <v>4136</v>
      </c>
      <c r="M164" s="47">
        <v>4136</v>
      </c>
      <c r="N164" s="47">
        <v>4136</v>
      </c>
      <c r="O164" s="47">
        <f t="shared" si="33"/>
        <v>0</v>
      </c>
      <c r="P164" s="181"/>
      <c r="Q164" s="49">
        <v>4136</v>
      </c>
      <c r="R164" s="50">
        <f t="shared" si="35"/>
        <v>1</v>
      </c>
      <c r="S164" s="49" t="s">
        <v>395</v>
      </c>
    </row>
    <row r="165" spans="2:22" ht="27.6" customHeight="1" x14ac:dyDescent="0.25">
      <c r="B165" s="84" t="s">
        <v>408</v>
      </c>
      <c r="C165" s="183" t="s">
        <v>409</v>
      </c>
      <c r="D165" s="185" t="s">
        <v>236</v>
      </c>
      <c r="E165" s="47"/>
      <c r="F165" s="47"/>
      <c r="G165" s="47">
        <v>14100</v>
      </c>
      <c r="H165" s="47"/>
      <c r="I165" s="47"/>
      <c r="J165" s="47">
        <v>900</v>
      </c>
      <c r="K165" s="47"/>
      <c r="L165" s="47">
        <v>15000</v>
      </c>
      <c r="M165" s="47">
        <v>15000</v>
      </c>
      <c r="N165" s="47">
        <v>15000</v>
      </c>
      <c r="O165" s="47">
        <f t="shared" si="33"/>
        <v>0</v>
      </c>
      <c r="P165" s="181"/>
      <c r="Q165" s="49">
        <v>15000</v>
      </c>
      <c r="R165" s="50">
        <f t="shared" si="35"/>
        <v>1</v>
      </c>
      <c r="S165" s="49" t="s">
        <v>395</v>
      </c>
    </row>
    <row r="166" spans="2:22" ht="29.25" customHeight="1" x14ac:dyDescent="0.25">
      <c r="C166" s="168" t="s">
        <v>410</v>
      </c>
      <c r="D166" s="177" t="s">
        <v>411</v>
      </c>
      <c r="E166" s="178">
        <v>233922.9</v>
      </c>
      <c r="F166" s="178">
        <v>0</v>
      </c>
      <c r="G166" s="178">
        <v>846721.1</v>
      </c>
      <c r="H166" s="178">
        <v>2990112.0022</v>
      </c>
      <c r="I166" s="178">
        <v>8421112.8361329995</v>
      </c>
      <c r="J166" s="178">
        <v>1243530.8500000001</v>
      </c>
      <c r="K166" s="178">
        <v>337776.80117500003</v>
      </c>
      <c r="L166" s="178">
        <v>14073176.489507999</v>
      </c>
      <c r="M166" s="178">
        <v>14073176.489507999</v>
      </c>
      <c r="N166" s="178">
        <f t="shared" ref="N166" si="49">SUM(N167:N172,N176:N184)</f>
        <v>14073176</v>
      </c>
      <c r="O166" s="178">
        <f t="shared" si="33"/>
        <v>-0.4895079992711544</v>
      </c>
      <c r="P166" s="186"/>
      <c r="Q166" s="179">
        <f t="shared" ref="Q166" si="50">SUM(Q167:Q172,Q176:Q184)</f>
        <v>2006152.36</v>
      </c>
      <c r="R166" s="180">
        <f t="shared" si="35"/>
        <v>0.14255150081260975</v>
      </c>
      <c r="S166" s="179"/>
    </row>
    <row r="167" spans="2:22" s="93" customFormat="1" ht="17.25" hidden="1" customHeight="1" outlineLevel="1" x14ac:dyDescent="0.25">
      <c r="C167" s="187" t="s">
        <v>412</v>
      </c>
      <c r="D167" s="188" t="s">
        <v>413</v>
      </c>
      <c r="E167" s="47"/>
      <c r="F167" s="47"/>
      <c r="G167" s="47"/>
      <c r="H167" s="47"/>
      <c r="I167" s="47"/>
      <c r="J167" s="47"/>
      <c r="K167" s="47"/>
      <c r="L167" s="47">
        <v>0</v>
      </c>
      <c r="M167" s="47">
        <v>0</v>
      </c>
      <c r="N167" s="47">
        <f>ROUND(M167,0)</f>
        <v>0</v>
      </c>
      <c r="O167" s="47">
        <f t="shared" si="33"/>
        <v>0</v>
      </c>
      <c r="P167" s="189"/>
      <c r="Q167" s="49">
        <f>ROUND(P167,0)</f>
        <v>0</v>
      </c>
      <c r="R167" s="50" t="e">
        <f t="shared" si="35"/>
        <v>#DIV/0!</v>
      </c>
      <c r="S167" s="68"/>
      <c r="T167" s="1"/>
      <c r="U167" s="1"/>
    </row>
    <row r="168" spans="2:22" ht="15.75" customHeight="1" collapsed="1" x14ac:dyDescent="0.25">
      <c r="B168" s="84" t="s">
        <v>414</v>
      </c>
      <c r="C168" s="175" t="s">
        <v>412</v>
      </c>
      <c r="D168" s="190" t="s">
        <v>415</v>
      </c>
      <c r="E168" s="47"/>
      <c r="F168" s="47"/>
      <c r="G168" s="47"/>
      <c r="H168" s="47"/>
      <c r="I168" s="47"/>
      <c r="J168" s="47"/>
      <c r="K168" s="47">
        <v>160572.14087500004</v>
      </c>
      <c r="L168" s="47">
        <v>160572.14087500004</v>
      </c>
      <c r="M168" s="47">
        <v>160572.14087500004</v>
      </c>
      <c r="N168" s="47">
        <f>ROUND(M168,0)</f>
        <v>160572</v>
      </c>
      <c r="O168" s="47">
        <f t="shared" si="33"/>
        <v>-0.14087500004097819</v>
      </c>
      <c r="P168" s="191"/>
      <c r="Q168" s="49">
        <v>34574</v>
      </c>
      <c r="R168" s="50">
        <f t="shared" si="35"/>
        <v>0.21531773908277907</v>
      </c>
      <c r="S168" s="68"/>
    </row>
    <row r="169" spans="2:22" ht="13.9" customHeight="1" x14ac:dyDescent="0.25">
      <c r="B169" s="84" t="s">
        <v>416</v>
      </c>
      <c r="C169" s="175" t="s">
        <v>417</v>
      </c>
      <c r="D169" s="185" t="s">
        <v>418</v>
      </c>
      <c r="E169" s="47">
        <v>72387</v>
      </c>
      <c r="F169" s="47"/>
      <c r="G169" s="47"/>
      <c r="H169" s="47"/>
      <c r="I169" s="47"/>
      <c r="J169" s="47">
        <v>283314</v>
      </c>
      <c r="K169" s="47"/>
      <c r="L169" s="192">
        <v>355701</v>
      </c>
      <c r="M169" s="47">
        <v>355701</v>
      </c>
      <c r="N169" s="47">
        <f t="shared" ref="N169:N181" si="51">ROUND(M169,0)</f>
        <v>355701</v>
      </c>
      <c r="O169" s="47">
        <f t="shared" si="33"/>
        <v>0</v>
      </c>
      <c r="P169" s="181"/>
      <c r="Q169" s="49">
        <v>163247</v>
      </c>
      <c r="R169" s="50">
        <f t="shared" si="35"/>
        <v>0.45894445053570276</v>
      </c>
      <c r="S169" s="49"/>
    </row>
    <row r="170" spans="2:22" ht="27" customHeight="1" x14ac:dyDescent="0.25">
      <c r="B170" s="84" t="s">
        <v>193</v>
      </c>
      <c r="C170" s="183" t="s">
        <v>419</v>
      </c>
      <c r="D170" s="185" t="s">
        <v>311</v>
      </c>
      <c r="E170" s="47">
        <v>90431.9</v>
      </c>
      <c r="F170" s="47"/>
      <c r="G170" s="47">
        <v>109839.1</v>
      </c>
      <c r="H170" s="47">
        <v>624704</v>
      </c>
      <c r="I170" s="47"/>
      <c r="J170" s="47">
        <v>66164</v>
      </c>
      <c r="K170" s="47"/>
      <c r="L170" s="47">
        <v>891139</v>
      </c>
      <c r="M170" s="47">
        <v>891139</v>
      </c>
      <c r="N170" s="47">
        <f t="shared" si="51"/>
        <v>891139</v>
      </c>
      <c r="O170" s="47">
        <f t="shared" si="33"/>
        <v>0</v>
      </c>
      <c r="P170" s="181"/>
      <c r="Q170" s="49">
        <v>6588</v>
      </c>
      <c r="R170" s="50">
        <f t="shared" si="35"/>
        <v>7.3927860861212448E-3</v>
      </c>
      <c r="S170" s="49" t="s">
        <v>395</v>
      </c>
    </row>
    <row r="171" spans="2:22" ht="25.9" customHeight="1" x14ac:dyDescent="0.25">
      <c r="B171" s="84" t="s">
        <v>420</v>
      </c>
      <c r="C171" s="175" t="s">
        <v>421</v>
      </c>
      <c r="D171" s="190" t="s">
        <v>422</v>
      </c>
      <c r="E171" s="193">
        <v>0</v>
      </c>
      <c r="F171" s="47"/>
      <c r="G171" s="47"/>
      <c r="H171" s="47"/>
      <c r="I171" s="105">
        <v>3779449</v>
      </c>
      <c r="J171" s="105"/>
      <c r="K171" s="47"/>
      <c r="L171" s="192">
        <v>3779449</v>
      </c>
      <c r="M171" s="47">
        <v>3779449</v>
      </c>
      <c r="N171" s="47">
        <f t="shared" si="51"/>
        <v>3779449</v>
      </c>
      <c r="O171" s="47">
        <f t="shared" si="33"/>
        <v>0</v>
      </c>
      <c r="P171" s="181"/>
      <c r="Q171" s="194">
        <v>869609</v>
      </c>
      <c r="R171" s="50">
        <f t="shared" si="35"/>
        <v>0.23008883040887707</v>
      </c>
      <c r="S171" s="49"/>
    </row>
    <row r="172" spans="2:22" ht="32.25" customHeight="1" x14ac:dyDescent="0.25">
      <c r="B172" s="84" t="s">
        <v>9</v>
      </c>
      <c r="C172" s="175" t="s">
        <v>423</v>
      </c>
      <c r="D172" s="190" t="s">
        <v>424</v>
      </c>
      <c r="E172" s="47"/>
      <c r="F172" s="47"/>
      <c r="G172" s="47"/>
      <c r="H172" s="47"/>
      <c r="I172" s="47">
        <v>4641663.8361329995</v>
      </c>
      <c r="J172" s="47">
        <v>733906.5</v>
      </c>
      <c r="K172" s="47">
        <v>177204.66029999999</v>
      </c>
      <c r="L172" s="192">
        <v>5552774.9964329991</v>
      </c>
      <c r="M172" s="105">
        <v>5552774.9964329991</v>
      </c>
      <c r="N172" s="105">
        <f>SUM(N173:N175)</f>
        <v>5552775</v>
      </c>
      <c r="O172" s="47">
        <f t="shared" si="33"/>
        <v>3.5670008510351181E-3</v>
      </c>
      <c r="P172" s="181"/>
      <c r="Q172" s="195">
        <f>SUM(Q173:Q175)</f>
        <v>921744.3600000001</v>
      </c>
      <c r="R172" s="196">
        <f t="shared" si="35"/>
        <v>0.16599706633169903</v>
      </c>
      <c r="S172" s="195"/>
      <c r="V172" s="4"/>
    </row>
    <row r="173" spans="2:22" ht="16.899999999999999" customHeight="1" x14ac:dyDescent="0.25">
      <c r="B173" s="84"/>
      <c r="C173" s="197" t="s">
        <v>425</v>
      </c>
      <c r="D173" s="198" t="s">
        <v>426</v>
      </c>
      <c r="E173" s="47"/>
      <c r="F173" s="47"/>
      <c r="G173" s="47"/>
      <c r="H173" s="47"/>
      <c r="I173" s="199">
        <v>4346663.8361329995</v>
      </c>
      <c r="J173" s="200">
        <v>649376.5</v>
      </c>
      <c r="K173" s="200"/>
      <c r="L173" s="201">
        <v>4996040.3361329995</v>
      </c>
      <c r="M173" s="105">
        <v>4996040.3361329995</v>
      </c>
      <c r="N173" s="105">
        <f t="shared" si="51"/>
        <v>4996040</v>
      </c>
      <c r="O173" s="47">
        <f t="shared" si="33"/>
        <v>-0.33613299950957298</v>
      </c>
      <c r="P173" s="181"/>
      <c r="Q173" s="195">
        <f>730286+23472</f>
        <v>753758</v>
      </c>
      <c r="R173" s="196">
        <f t="shared" si="35"/>
        <v>0.15087108990320333</v>
      </c>
      <c r="S173" s="195" t="s">
        <v>427</v>
      </c>
      <c r="T173" s="4"/>
      <c r="U173" s="4"/>
      <c r="V173" s="4"/>
    </row>
    <row r="174" spans="2:22" ht="16.899999999999999" customHeight="1" x14ac:dyDescent="0.25">
      <c r="B174" s="84"/>
      <c r="C174" s="197" t="s">
        <v>428</v>
      </c>
      <c r="D174" s="198" t="s">
        <v>429</v>
      </c>
      <c r="E174" s="47"/>
      <c r="F174" s="47"/>
      <c r="G174" s="47"/>
      <c r="H174" s="47"/>
      <c r="I174" s="199">
        <v>295000</v>
      </c>
      <c r="J174" s="202"/>
      <c r="K174" s="200"/>
      <c r="L174" s="201">
        <v>295000</v>
      </c>
      <c r="M174" s="105">
        <v>295000</v>
      </c>
      <c r="N174" s="105">
        <f t="shared" si="51"/>
        <v>295000</v>
      </c>
      <c r="O174" s="47">
        <f t="shared" si="33"/>
        <v>0</v>
      </c>
      <c r="P174" s="181"/>
      <c r="Q174" s="195">
        <f>20544+87929</f>
        <v>108473</v>
      </c>
      <c r="R174" s="196">
        <f t="shared" si="35"/>
        <v>0.36770508474576269</v>
      </c>
      <c r="S174" s="195" t="s">
        <v>430</v>
      </c>
      <c r="T174" s="4"/>
      <c r="U174" s="4"/>
      <c r="V174" s="4"/>
    </row>
    <row r="175" spans="2:22" ht="16.899999999999999" customHeight="1" x14ac:dyDescent="0.25">
      <c r="B175" s="84"/>
      <c r="C175" s="197" t="s">
        <v>431</v>
      </c>
      <c r="D175" s="198" t="s">
        <v>432</v>
      </c>
      <c r="E175" s="47"/>
      <c r="F175" s="47"/>
      <c r="G175" s="47"/>
      <c r="H175" s="47"/>
      <c r="I175" s="200"/>
      <c r="J175" s="200">
        <v>84530</v>
      </c>
      <c r="K175" s="200">
        <v>177204.66029999999</v>
      </c>
      <c r="L175" s="201">
        <v>261734.66029999999</v>
      </c>
      <c r="M175" s="105">
        <v>261734.66029999999</v>
      </c>
      <c r="N175" s="105">
        <f t="shared" si="51"/>
        <v>261735</v>
      </c>
      <c r="O175" s="47">
        <f t="shared" si="33"/>
        <v>0.33970000001136214</v>
      </c>
      <c r="P175" s="181"/>
      <c r="Q175" s="195">
        <f>1526484.36-Q169-23472-20544-1259708</f>
        <v>59513.360000000102</v>
      </c>
      <c r="R175" s="196">
        <f t="shared" si="35"/>
        <v>0.22738021281066767</v>
      </c>
      <c r="S175" s="195"/>
      <c r="T175" s="4"/>
      <c r="U175" s="4"/>
      <c r="V175" s="4"/>
    </row>
    <row r="176" spans="2:22" ht="29.25" hidden="1" customHeight="1" outlineLevel="1" x14ac:dyDescent="0.25">
      <c r="B176" s="84" t="s">
        <v>433</v>
      </c>
      <c r="C176" s="175" t="s">
        <v>434</v>
      </c>
      <c r="D176" s="190" t="s">
        <v>435</v>
      </c>
      <c r="E176" s="47"/>
      <c r="F176" s="47"/>
      <c r="G176" s="47"/>
      <c r="H176" s="47"/>
      <c r="I176" s="47"/>
      <c r="J176" s="47"/>
      <c r="K176" s="47"/>
      <c r="L176" s="47">
        <v>0</v>
      </c>
      <c r="M176" s="47">
        <v>0</v>
      </c>
      <c r="N176" s="47">
        <f t="shared" si="51"/>
        <v>0</v>
      </c>
      <c r="O176" s="47">
        <f t="shared" si="33"/>
        <v>0</v>
      </c>
      <c r="P176" s="67"/>
      <c r="Q176" s="49">
        <f t="shared" ref="Q176:Q180" si="52">ROUND(P176,0)</f>
        <v>0</v>
      </c>
      <c r="R176" s="50"/>
      <c r="S176" s="49"/>
      <c r="U176" s="37">
        <f>U172+U168+U167</f>
        <v>0</v>
      </c>
    </row>
    <row r="177" spans="2:19" ht="39.6" customHeight="1" collapsed="1" x14ac:dyDescent="0.25">
      <c r="B177" s="84" t="s">
        <v>436</v>
      </c>
      <c r="C177" s="183" t="s">
        <v>437</v>
      </c>
      <c r="D177" s="185" t="s">
        <v>202</v>
      </c>
      <c r="E177" s="203">
        <v>71104</v>
      </c>
      <c r="F177" s="203"/>
      <c r="G177" s="203"/>
      <c r="H177" s="203">
        <v>320141.00220000005</v>
      </c>
      <c r="I177" s="203"/>
      <c r="J177" s="203">
        <v>0.34999999997671694</v>
      </c>
      <c r="K177" s="203"/>
      <c r="L177" s="47">
        <v>391245.35220000002</v>
      </c>
      <c r="M177" s="47">
        <v>391245.35220000002</v>
      </c>
      <c r="N177" s="47">
        <f t="shared" si="51"/>
        <v>391245</v>
      </c>
      <c r="O177" s="47">
        <f t="shared" si="33"/>
        <v>-0.35220000002300367</v>
      </c>
      <c r="P177" s="181"/>
      <c r="Q177" s="49">
        <v>10390</v>
      </c>
      <c r="R177" s="50">
        <f t="shared" si="35"/>
        <v>2.6556249920126774E-2</v>
      </c>
      <c r="S177" s="49" t="s">
        <v>395</v>
      </c>
    </row>
    <row r="178" spans="2:19" ht="16.149999999999999" customHeight="1" x14ac:dyDescent="0.25">
      <c r="B178" s="84"/>
      <c r="C178" s="183" t="s">
        <v>438</v>
      </c>
      <c r="D178" s="185" t="s">
        <v>439</v>
      </c>
      <c r="E178" s="203"/>
      <c r="F178" s="203"/>
      <c r="G178" s="203">
        <v>16000</v>
      </c>
      <c r="H178" s="203"/>
      <c r="I178" s="203"/>
      <c r="J178" s="203">
        <v>16000</v>
      </c>
      <c r="K178" s="203"/>
      <c r="L178" s="47">
        <v>32000</v>
      </c>
      <c r="M178" s="47">
        <v>32000</v>
      </c>
      <c r="N178" s="47">
        <f t="shared" si="51"/>
        <v>32000</v>
      </c>
      <c r="O178" s="47">
        <f t="shared" si="33"/>
        <v>0</v>
      </c>
      <c r="P178" s="181"/>
      <c r="Q178" s="204">
        <f t="shared" si="52"/>
        <v>0</v>
      </c>
      <c r="R178" s="50">
        <f t="shared" si="35"/>
        <v>0</v>
      </c>
      <c r="S178" s="49" t="s">
        <v>440</v>
      </c>
    </row>
    <row r="179" spans="2:19" ht="25.9" customHeight="1" x14ac:dyDescent="0.25">
      <c r="B179" s="84"/>
      <c r="C179" s="183" t="s">
        <v>441</v>
      </c>
      <c r="D179" s="185" t="s">
        <v>322</v>
      </c>
      <c r="E179" s="203"/>
      <c r="F179" s="203"/>
      <c r="G179" s="203"/>
      <c r="H179" s="203">
        <v>203000</v>
      </c>
      <c r="I179" s="203"/>
      <c r="J179" s="203">
        <v>90146</v>
      </c>
      <c r="K179" s="203"/>
      <c r="L179" s="192">
        <v>293146</v>
      </c>
      <c r="M179" s="47">
        <v>293146</v>
      </c>
      <c r="N179" s="47">
        <f t="shared" si="51"/>
        <v>293146</v>
      </c>
      <c r="O179" s="47">
        <f t="shared" si="33"/>
        <v>0</v>
      </c>
      <c r="P179" s="181"/>
      <c r="Q179" s="204">
        <f t="shared" si="52"/>
        <v>0</v>
      </c>
      <c r="R179" s="50">
        <f t="shared" si="35"/>
        <v>0</v>
      </c>
      <c r="S179" s="49" t="s">
        <v>440</v>
      </c>
    </row>
    <row r="180" spans="2:19" ht="28.15" customHeight="1" x14ac:dyDescent="0.25">
      <c r="B180" s="84"/>
      <c r="C180" s="183" t="s">
        <v>442</v>
      </c>
      <c r="D180" s="185" t="s">
        <v>324</v>
      </c>
      <c r="E180" s="203"/>
      <c r="F180" s="203"/>
      <c r="G180" s="203"/>
      <c r="H180" s="203">
        <v>126000</v>
      </c>
      <c r="I180" s="203"/>
      <c r="J180" s="203">
        <v>54000</v>
      </c>
      <c r="K180" s="203"/>
      <c r="L180" s="192">
        <v>180000</v>
      </c>
      <c r="M180" s="47">
        <v>180000</v>
      </c>
      <c r="N180" s="47">
        <f t="shared" si="51"/>
        <v>180000</v>
      </c>
      <c r="O180" s="47">
        <f t="shared" si="33"/>
        <v>0</v>
      </c>
      <c r="P180" s="181"/>
      <c r="Q180" s="204">
        <f t="shared" si="52"/>
        <v>0</v>
      </c>
      <c r="R180" s="50">
        <f t="shared" si="35"/>
        <v>0</v>
      </c>
      <c r="S180" s="49" t="s">
        <v>440</v>
      </c>
    </row>
    <row r="181" spans="2:19" ht="18.600000000000001" customHeight="1" x14ac:dyDescent="0.25">
      <c r="B181" s="84"/>
      <c r="C181" s="183" t="s">
        <v>443</v>
      </c>
      <c r="D181" s="190" t="s">
        <v>318</v>
      </c>
      <c r="E181" s="203"/>
      <c r="F181" s="203"/>
      <c r="G181" s="203"/>
      <c r="H181" s="203">
        <v>645000</v>
      </c>
      <c r="I181" s="203"/>
      <c r="J181" s="203"/>
      <c r="K181" s="203"/>
      <c r="L181" s="192">
        <v>645000</v>
      </c>
      <c r="M181" s="47">
        <v>645000</v>
      </c>
      <c r="N181" s="47">
        <f t="shared" si="51"/>
        <v>645000</v>
      </c>
      <c r="O181" s="47">
        <f t="shared" si="33"/>
        <v>0</v>
      </c>
      <c r="P181" s="181"/>
      <c r="Q181" s="204">
        <v>0</v>
      </c>
      <c r="R181" s="50">
        <f t="shared" si="35"/>
        <v>0</v>
      </c>
      <c r="S181" s="49" t="s">
        <v>395</v>
      </c>
    </row>
    <row r="182" spans="2:19" ht="18.600000000000001" customHeight="1" x14ac:dyDescent="0.25">
      <c r="B182" s="84"/>
      <c r="C182" s="183" t="s">
        <v>444</v>
      </c>
      <c r="D182" s="190" t="s">
        <v>238</v>
      </c>
      <c r="E182" s="203"/>
      <c r="F182" s="203"/>
      <c r="G182" s="98">
        <v>382739</v>
      </c>
      <c r="H182" s="203">
        <v>164032</v>
      </c>
      <c r="I182" s="203"/>
      <c r="J182" s="203"/>
      <c r="K182" s="203"/>
      <c r="L182" s="47">
        <v>546771</v>
      </c>
      <c r="M182" s="47">
        <v>546771</v>
      </c>
      <c r="N182" s="47">
        <f>ROUND(M182,0)</f>
        <v>546771</v>
      </c>
      <c r="O182" s="47">
        <f>N182-M182</f>
        <v>0</v>
      </c>
      <c r="P182" s="181"/>
      <c r="Q182" s="204">
        <f>ROUND(P182,0)</f>
        <v>0</v>
      </c>
      <c r="R182" s="50">
        <f t="shared" si="35"/>
        <v>0</v>
      </c>
      <c r="S182" s="49" t="s">
        <v>395</v>
      </c>
    </row>
    <row r="183" spans="2:19" ht="18" customHeight="1" x14ac:dyDescent="0.25">
      <c r="B183" s="84"/>
      <c r="C183" s="183" t="s">
        <v>445</v>
      </c>
      <c r="D183" s="190" t="s">
        <v>240</v>
      </c>
      <c r="E183" s="203"/>
      <c r="F183" s="203"/>
      <c r="G183" s="98">
        <v>297245</v>
      </c>
      <c r="H183" s="203">
        <v>907235</v>
      </c>
      <c r="I183" s="203"/>
      <c r="J183" s="203"/>
      <c r="K183" s="203"/>
      <c r="L183" s="192">
        <v>1204480</v>
      </c>
      <c r="M183" s="47">
        <v>1204480</v>
      </c>
      <c r="N183" s="47">
        <f>ROUND(M183,0)</f>
        <v>1204480</v>
      </c>
      <c r="O183" s="47">
        <f>N183-M183</f>
        <v>0</v>
      </c>
      <c r="P183" s="181"/>
      <c r="Q183" s="204">
        <f>ROUND(P183,0)</f>
        <v>0</v>
      </c>
      <c r="R183" s="50">
        <f t="shared" si="35"/>
        <v>0</v>
      </c>
      <c r="S183" s="49" t="s">
        <v>395</v>
      </c>
    </row>
    <row r="184" spans="2:19" ht="27.6" customHeight="1" x14ac:dyDescent="0.25">
      <c r="B184" s="84" t="s">
        <v>446</v>
      </c>
      <c r="C184" s="183" t="s">
        <v>447</v>
      </c>
      <c r="D184" s="190" t="s">
        <v>448</v>
      </c>
      <c r="E184" s="98">
        <v>0</v>
      </c>
      <c r="F184" s="47">
        <v>0</v>
      </c>
      <c r="G184" s="98">
        <v>40898</v>
      </c>
      <c r="H184" s="105"/>
      <c r="I184" s="47"/>
      <c r="J184" s="47">
        <v>0</v>
      </c>
      <c r="K184" s="47"/>
      <c r="L184" s="47">
        <v>40898</v>
      </c>
      <c r="M184" s="47">
        <v>40898</v>
      </c>
      <c r="N184" s="47">
        <f>ROUND(M184,0)</f>
        <v>40898</v>
      </c>
      <c r="O184" s="47">
        <f>N184-M184</f>
        <v>0</v>
      </c>
      <c r="P184" s="67"/>
      <c r="Q184" s="205">
        <f>ROUND(P184,0)</f>
        <v>0</v>
      </c>
      <c r="R184" s="50">
        <f t="shared" si="35"/>
        <v>0</v>
      </c>
      <c r="S184" s="68" t="s">
        <v>440</v>
      </c>
    </row>
    <row r="185" spans="2:19" x14ac:dyDescent="0.25">
      <c r="C185" s="171" t="s">
        <v>103</v>
      </c>
      <c r="D185" s="172" t="s">
        <v>449</v>
      </c>
      <c r="E185" s="53">
        <v>15704</v>
      </c>
      <c r="F185" s="53">
        <v>13088</v>
      </c>
      <c r="G185" s="53">
        <v>202410</v>
      </c>
      <c r="H185" s="53">
        <v>0</v>
      </c>
      <c r="I185" s="53">
        <v>0</v>
      </c>
      <c r="J185" s="53">
        <v>597179.64</v>
      </c>
      <c r="K185" s="53">
        <v>1658616.7036900001</v>
      </c>
      <c r="L185" s="53">
        <v>2486998.34369</v>
      </c>
      <c r="M185" s="53">
        <v>2486998.34369</v>
      </c>
      <c r="N185" s="53">
        <f t="shared" ref="N185" si="53">SUM(N186,N190:N197)</f>
        <v>2486999</v>
      </c>
      <c r="O185" s="53">
        <f>SUM(O186,O191:O197)</f>
        <v>0.25630999998065818</v>
      </c>
      <c r="P185" s="53"/>
      <c r="Q185" s="55">
        <f t="shared" ref="Q185" si="54">SUM(Q186,Q190:Q197)</f>
        <v>400358</v>
      </c>
      <c r="R185" s="56">
        <f t="shared" si="35"/>
        <v>0.16098036227598</v>
      </c>
      <c r="S185" s="55"/>
    </row>
    <row r="186" spans="2:19" ht="23.25" customHeight="1" x14ac:dyDescent="0.25">
      <c r="C186" s="168" t="s">
        <v>106</v>
      </c>
      <c r="D186" s="169" t="s">
        <v>450</v>
      </c>
      <c r="E186" s="72">
        <v>0</v>
      </c>
      <c r="F186" s="72">
        <v>13088</v>
      </c>
      <c r="G186" s="72">
        <v>0</v>
      </c>
      <c r="H186" s="72">
        <v>0</v>
      </c>
      <c r="I186" s="72">
        <v>0</v>
      </c>
      <c r="J186" s="72">
        <v>297862</v>
      </c>
      <c r="K186" s="72">
        <v>876157.66266999999</v>
      </c>
      <c r="L186" s="72">
        <v>1187107.66267</v>
      </c>
      <c r="M186" s="72">
        <v>1187107.66267</v>
      </c>
      <c r="N186" s="72">
        <f t="shared" ref="N186:O186" si="55">SUM(N187:N189)</f>
        <v>1187108</v>
      </c>
      <c r="O186" s="72">
        <f t="shared" si="55"/>
        <v>0.3373299999802839</v>
      </c>
      <c r="P186" s="72"/>
      <c r="Q186" s="89">
        <f t="shared" ref="Q186" si="56">SUM(Q187:Q189)</f>
        <v>153232</v>
      </c>
      <c r="R186" s="90">
        <f t="shared" si="35"/>
        <v>0.12908008369920851</v>
      </c>
      <c r="S186" s="173"/>
    </row>
    <row r="187" spans="2:19" ht="13.9" customHeight="1" x14ac:dyDescent="0.25">
      <c r="B187" s="84" t="s">
        <v>451</v>
      </c>
      <c r="C187" s="175" t="s">
        <v>452</v>
      </c>
      <c r="D187" s="176" t="s">
        <v>453</v>
      </c>
      <c r="E187" s="47"/>
      <c r="F187" s="47">
        <v>8329</v>
      </c>
      <c r="G187" s="47"/>
      <c r="H187" s="47"/>
      <c r="I187" s="47"/>
      <c r="J187" s="47">
        <v>160362</v>
      </c>
      <c r="K187" s="47">
        <v>420416.49502000003</v>
      </c>
      <c r="L187" s="47">
        <v>589107.49502000003</v>
      </c>
      <c r="M187" s="47">
        <v>589107.49502000003</v>
      </c>
      <c r="N187" s="47">
        <f>ROUND(M187,0)</f>
        <v>589107</v>
      </c>
      <c r="O187" s="47">
        <f t="shared" si="33"/>
        <v>-0.49502000003121793</v>
      </c>
      <c r="P187" s="181"/>
      <c r="Q187" s="49">
        <v>68539</v>
      </c>
      <c r="R187" s="50">
        <f t="shared" si="35"/>
        <v>0.11634388998942467</v>
      </c>
      <c r="S187" s="49" t="s">
        <v>454</v>
      </c>
    </row>
    <row r="188" spans="2:19" ht="18" customHeight="1" x14ac:dyDescent="0.25">
      <c r="B188" s="84" t="s">
        <v>455</v>
      </c>
      <c r="C188" s="175" t="s">
        <v>456</v>
      </c>
      <c r="D188" s="176" t="s">
        <v>457</v>
      </c>
      <c r="E188" s="47"/>
      <c r="F188" s="47">
        <v>4759</v>
      </c>
      <c r="G188" s="47"/>
      <c r="H188" s="47"/>
      <c r="I188" s="47"/>
      <c r="J188" s="47">
        <v>135000</v>
      </c>
      <c r="K188" s="47">
        <v>269874.66324999998</v>
      </c>
      <c r="L188" s="47">
        <v>409633.66324999998</v>
      </c>
      <c r="M188" s="47">
        <v>409633.66324999998</v>
      </c>
      <c r="N188" s="47">
        <f>ROUND(M188,0)</f>
        <v>409634</v>
      </c>
      <c r="O188" s="47">
        <f t="shared" si="33"/>
        <v>0.33675000001676381</v>
      </c>
      <c r="P188" s="181"/>
      <c r="Q188" s="49">
        <v>54639</v>
      </c>
      <c r="R188" s="50">
        <f t="shared" si="35"/>
        <v>0.13338492410297972</v>
      </c>
      <c r="S188" s="49" t="s">
        <v>458</v>
      </c>
    </row>
    <row r="189" spans="2:19" ht="13.15" customHeight="1" x14ac:dyDescent="0.25">
      <c r="B189" s="84" t="s">
        <v>459</v>
      </c>
      <c r="C189" s="175" t="s">
        <v>460</v>
      </c>
      <c r="D189" s="176" t="s">
        <v>461</v>
      </c>
      <c r="E189" s="47"/>
      <c r="F189" s="47"/>
      <c r="G189" s="47"/>
      <c r="H189" s="47"/>
      <c r="I189" s="47"/>
      <c r="J189" s="47">
        <v>2500</v>
      </c>
      <c r="K189" s="47">
        <v>185866.50440000001</v>
      </c>
      <c r="L189" s="47">
        <v>188366.50440000001</v>
      </c>
      <c r="M189" s="47">
        <v>188366.50440000001</v>
      </c>
      <c r="N189" s="47">
        <f>ROUND(M189,0)</f>
        <v>188367</v>
      </c>
      <c r="O189" s="47">
        <f t="shared" si="33"/>
        <v>0.49559999999473803</v>
      </c>
      <c r="P189" s="67"/>
      <c r="Q189" s="49">
        <v>30054</v>
      </c>
      <c r="R189" s="50">
        <f t="shared" si="35"/>
        <v>0.15955023969166574</v>
      </c>
      <c r="S189" s="49"/>
    </row>
    <row r="190" spans="2:19" ht="16.149999999999999" customHeight="1" x14ac:dyDescent="0.25">
      <c r="B190" s="84" t="s">
        <v>462</v>
      </c>
      <c r="C190" s="206" t="s">
        <v>108</v>
      </c>
      <c r="D190" s="169" t="s">
        <v>463</v>
      </c>
      <c r="E190" s="72"/>
      <c r="F190" s="72"/>
      <c r="G190" s="72"/>
      <c r="H190" s="72"/>
      <c r="I190" s="72"/>
      <c r="J190" s="72">
        <v>135145.60000000001</v>
      </c>
      <c r="K190" s="72"/>
      <c r="L190" s="72">
        <v>135145.60000000001</v>
      </c>
      <c r="M190" s="72">
        <v>135145.60000000001</v>
      </c>
      <c r="N190" s="72">
        <f>ROUND(M190,0)</f>
        <v>135146</v>
      </c>
      <c r="O190" s="72">
        <f>N190-M190</f>
        <v>0.39999999999417923</v>
      </c>
      <c r="P190" s="207"/>
      <c r="Q190" s="89">
        <v>2508</v>
      </c>
      <c r="R190" s="90">
        <f t="shared" si="35"/>
        <v>1.8557707960279994E-2</v>
      </c>
      <c r="S190" s="89"/>
    </row>
    <row r="191" spans="2:19" ht="29.45" customHeight="1" x14ac:dyDescent="0.25">
      <c r="B191" s="84" t="s">
        <v>464</v>
      </c>
      <c r="C191" s="206" t="s">
        <v>465</v>
      </c>
      <c r="D191" s="169" t="s">
        <v>466</v>
      </c>
      <c r="E191" s="72">
        <v>0</v>
      </c>
      <c r="F191" s="72"/>
      <c r="G191" s="72">
        <v>202410</v>
      </c>
      <c r="H191" s="72"/>
      <c r="I191" s="72"/>
      <c r="J191" s="72">
        <v>10012.110000000015</v>
      </c>
      <c r="K191" s="72"/>
      <c r="L191" s="72">
        <v>212422.11000000002</v>
      </c>
      <c r="M191" s="72">
        <v>212422.11000000002</v>
      </c>
      <c r="N191" s="72">
        <f t="shared" ref="N191:N197" si="57">ROUND(M191,0)</f>
        <v>212422</v>
      </c>
      <c r="O191" s="72">
        <f t="shared" si="33"/>
        <v>-0.11000000001513399</v>
      </c>
      <c r="P191" s="207"/>
      <c r="Q191" s="89">
        <v>0</v>
      </c>
      <c r="R191" s="90">
        <f t="shared" si="35"/>
        <v>0</v>
      </c>
      <c r="S191" s="89" t="s">
        <v>395</v>
      </c>
    </row>
    <row r="192" spans="2:19" ht="27" customHeight="1" x14ac:dyDescent="0.25">
      <c r="B192" s="84" t="s">
        <v>467</v>
      </c>
      <c r="C192" s="206" t="s">
        <v>468</v>
      </c>
      <c r="D192" s="169" t="s">
        <v>227</v>
      </c>
      <c r="E192" s="72">
        <v>15704</v>
      </c>
      <c r="F192" s="72"/>
      <c r="G192" s="72"/>
      <c r="H192" s="72"/>
      <c r="I192" s="72"/>
      <c r="J192" s="72">
        <v>3.0000000000654836E-2</v>
      </c>
      <c r="K192" s="72"/>
      <c r="L192" s="72">
        <v>15704.03</v>
      </c>
      <c r="M192" s="72">
        <v>15704.03</v>
      </c>
      <c r="N192" s="72">
        <f t="shared" si="57"/>
        <v>15704</v>
      </c>
      <c r="O192" s="72">
        <f t="shared" si="33"/>
        <v>-3.0000000000654836E-2</v>
      </c>
      <c r="P192" s="88"/>
      <c r="Q192" s="89">
        <v>0</v>
      </c>
      <c r="R192" s="90">
        <f t="shared" si="35"/>
        <v>0</v>
      </c>
      <c r="S192" s="89" t="s">
        <v>395</v>
      </c>
    </row>
    <row r="193" spans="2:20" ht="15.6" customHeight="1" x14ac:dyDescent="0.25">
      <c r="B193" s="84" t="s">
        <v>469</v>
      </c>
      <c r="C193" s="168" t="s">
        <v>470</v>
      </c>
      <c r="D193" s="169" t="s">
        <v>471</v>
      </c>
      <c r="E193" s="72"/>
      <c r="F193" s="72"/>
      <c r="G193" s="72"/>
      <c r="H193" s="72"/>
      <c r="I193" s="72"/>
      <c r="J193" s="72"/>
      <c r="K193" s="72">
        <v>121138.2865</v>
      </c>
      <c r="L193" s="72">
        <v>121138.2865</v>
      </c>
      <c r="M193" s="72">
        <v>121138.2865</v>
      </c>
      <c r="N193" s="72">
        <f t="shared" si="57"/>
        <v>121138</v>
      </c>
      <c r="O193" s="72">
        <f t="shared" si="33"/>
        <v>-0.28650000000197906</v>
      </c>
      <c r="P193" s="207"/>
      <c r="Q193" s="89">
        <v>23958</v>
      </c>
      <c r="R193" s="90">
        <f t="shared" si="35"/>
        <v>0.19777443906949099</v>
      </c>
      <c r="S193" s="89"/>
    </row>
    <row r="194" spans="2:20" ht="15.6" customHeight="1" x14ac:dyDescent="0.25">
      <c r="B194" s="84" t="s">
        <v>472</v>
      </c>
      <c r="C194" s="168" t="s">
        <v>473</v>
      </c>
      <c r="D194" s="169" t="s">
        <v>474</v>
      </c>
      <c r="E194" s="72"/>
      <c r="F194" s="72"/>
      <c r="G194" s="72"/>
      <c r="H194" s="72"/>
      <c r="I194" s="72"/>
      <c r="J194" s="72"/>
      <c r="K194" s="72">
        <v>62655.829250000003</v>
      </c>
      <c r="L194" s="72">
        <v>62655.829250000003</v>
      </c>
      <c r="M194" s="72">
        <v>62655.829250000003</v>
      </c>
      <c r="N194" s="72">
        <f t="shared" si="57"/>
        <v>62656</v>
      </c>
      <c r="O194" s="72">
        <f t="shared" si="33"/>
        <v>0.17074999999749707</v>
      </c>
      <c r="P194" s="207"/>
      <c r="Q194" s="89">
        <v>11775</v>
      </c>
      <c r="R194" s="90">
        <f t="shared" si="35"/>
        <v>0.18793092441266598</v>
      </c>
      <c r="S194" s="89"/>
    </row>
    <row r="195" spans="2:20" ht="17.25" customHeight="1" x14ac:dyDescent="0.25">
      <c r="B195" s="84" t="s">
        <v>285</v>
      </c>
      <c r="C195" s="168" t="s">
        <v>475</v>
      </c>
      <c r="D195" s="169" t="s">
        <v>476</v>
      </c>
      <c r="E195" s="72"/>
      <c r="F195" s="72"/>
      <c r="G195" s="72"/>
      <c r="H195" s="72"/>
      <c r="I195" s="72"/>
      <c r="J195" s="72">
        <v>150159.9</v>
      </c>
      <c r="K195" s="72">
        <v>579436.75136999995</v>
      </c>
      <c r="L195" s="72">
        <v>729596.65136999998</v>
      </c>
      <c r="M195" s="72">
        <v>729596.65136999998</v>
      </c>
      <c r="N195" s="72">
        <f t="shared" si="57"/>
        <v>729597</v>
      </c>
      <c r="O195" s="72">
        <f t="shared" ref="O195:O258" si="58">N195-M195</f>
        <v>0.34863000002223998</v>
      </c>
      <c r="P195" s="88"/>
      <c r="Q195" s="89">
        <v>206885</v>
      </c>
      <c r="R195" s="90">
        <f t="shared" ref="R195:R258" si="59">Q195/N195</f>
        <v>0.28356065060574537</v>
      </c>
      <c r="S195" s="89" t="s">
        <v>477</v>
      </c>
      <c r="T195" s="4"/>
    </row>
    <row r="196" spans="2:20" ht="15.6" customHeight="1" x14ac:dyDescent="0.25">
      <c r="B196" s="84" t="s">
        <v>478</v>
      </c>
      <c r="C196" s="168" t="s">
        <v>479</v>
      </c>
      <c r="D196" s="169" t="s">
        <v>480</v>
      </c>
      <c r="E196" s="72"/>
      <c r="F196" s="72"/>
      <c r="G196" s="72"/>
      <c r="H196" s="72"/>
      <c r="I196" s="72"/>
      <c r="J196" s="72">
        <v>4000</v>
      </c>
      <c r="K196" s="72"/>
      <c r="L196" s="72">
        <v>4000</v>
      </c>
      <c r="M196" s="72">
        <v>4000</v>
      </c>
      <c r="N196" s="72">
        <f t="shared" si="57"/>
        <v>4000</v>
      </c>
      <c r="O196" s="72">
        <f t="shared" si="58"/>
        <v>0</v>
      </c>
      <c r="P196" s="170"/>
      <c r="Q196" s="89">
        <v>2000</v>
      </c>
      <c r="R196" s="90">
        <f t="shared" si="59"/>
        <v>0.5</v>
      </c>
      <c r="S196" s="89"/>
    </row>
    <row r="197" spans="2:20" ht="15.6" customHeight="1" x14ac:dyDescent="0.25">
      <c r="B197" s="84" t="s">
        <v>481</v>
      </c>
      <c r="C197" s="168" t="s">
        <v>482</v>
      </c>
      <c r="D197" s="169" t="s">
        <v>483</v>
      </c>
      <c r="E197" s="72"/>
      <c r="F197" s="72"/>
      <c r="G197" s="72"/>
      <c r="H197" s="72"/>
      <c r="I197" s="72"/>
      <c r="J197" s="72"/>
      <c r="K197" s="72">
        <v>19228.173900000002</v>
      </c>
      <c r="L197" s="72">
        <v>19228.173900000002</v>
      </c>
      <c r="M197" s="72">
        <v>19228.173900000002</v>
      </c>
      <c r="N197" s="72">
        <f t="shared" si="57"/>
        <v>19228</v>
      </c>
      <c r="O197" s="72">
        <f t="shared" si="58"/>
        <v>-0.17390000000159489</v>
      </c>
      <c r="P197" s="170"/>
      <c r="Q197" s="89">
        <v>0</v>
      </c>
      <c r="R197" s="90">
        <f t="shared" si="59"/>
        <v>0</v>
      </c>
      <c r="S197" s="89"/>
    </row>
    <row r="198" spans="2:20" s="157" customFormat="1" ht="15.6" customHeight="1" x14ac:dyDescent="0.2">
      <c r="C198" s="171" t="s">
        <v>111</v>
      </c>
      <c r="D198" s="172" t="s">
        <v>484</v>
      </c>
      <c r="E198" s="53">
        <v>384771.79</v>
      </c>
      <c r="F198" s="53">
        <v>1041263</v>
      </c>
      <c r="G198" s="53">
        <v>409094</v>
      </c>
      <c r="H198" s="53">
        <v>0</v>
      </c>
      <c r="I198" s="53">
        <v>0</v>
      </c>
      <c r="J198" s="53">
        <v>134489</v>
      </c>
      <c r="K198" s="53">
        <v>2231559.0900725001</v>
      </c>
      <c r="L198" s="53">
        <v>4201176.8800725006</v>
      </c>
      <c r="M198" s="53">
        <v>4201176.8811799996</v>
      </c>
      <c r="N198" s="53">
        <f t="shared" ref="N198" si="60">N199+N205+N208+N212+N213+N214+N215+N216</f>
        <v>4201177</v>
      </c>
      <c r="O198" s="53">
        <f>O199+O205+O208+O212+O213+O214</f>
        <v>0.11881999997422099</v>
      </c>
      <c r="P198" s="53"/>
      <c r="Q198" s="55">
        <f t="shared" ref="Q198" si="61">Q199+Q205+Q208+Q212+Q213+Q214+Q215+Q216</f>
        <v>969168</v>
      </c>
      <c r="R198" s="56">
        <f t="shared" si="59"/>
        <v>0.23068963768962841</v>
      </c>
      <c r="S198" s="55"/>
    </row>
    <row r="199" spans="2:20" s="157" customFormat="1" ht="15" customHeight="1" x14ac:dyDescent="0.25">
      <c r="C199" s="168" t="s">
        <v>114</v>
      </c>
      <c r="D199" s="169" t="s">
        <v>485</v>
      </c>
      <c r="E199" s="72">
        <v>0</v>
      </c>
      <c r="F199" s="72">
        <v>583846</v>
      </c>
      <c r="G199" s="72">
        <v>0</v>
      </c>
      <c r="H199" s="72">
        <v>0</v>
      </c>
      <c r="I199" s="72">
        <v>0</v>
      </c>
      <c r="J199" s="72">
        <v>95000</v>
      </c>
      <c r="K199" s="72">
        <v>1749809.2481999998</v>
      </c>
      <c r="L199" s="72">
        <v>2428655.2481999998</v>
      </c>
      <c r="M199" s="72">
        <v>2428655</v>
      </c>
      <c r="N199" s="72">
        <f t="shared" ref="N199:O199" si="62">N200+N201+N202+N203+N204</f>
        <v>2428655</v>
      </c>
      <c r="O199" s="72">
        <f t="shared" si="62"/>
        <v>0</v>
      </c>
      <c r="P199" s="72"/>
      <c r="Q199" s="89">
        <f t="shared" ref="Q199" si="63">Q200+Q201+Q202+Q203+Q204</f>
        <v>460618</v>
      </c>
      <c r="R199" s="90">
        <f t="shared" si="59"/>
        <v>0.1896597087688453</v>
      </c>
      <c r="S199" s="89"/>
    </row>
    <row r="200" spans="2:20" s="208" customFormat="1" ht="18.600000000000001" customHeight="1" outlineLevel="1" x14ac:dyDescent="0.25">
      <c r="B200" s="208">
        <v>1010</v>
      </c>
      <c r="C200" s="209" t="s">
        <v>486</v>
      </c>
      <c r="D200" s="210" t="s">
        <v>487</v>
      </c>
      <c r="E200" s="203"/>
      <c r="F200" s="203">
        <v>13800</v>
      </c>
      <c r="G200" s="203"/>
      <c r="H200" s="203"/>
      <c r="I200" s="203"/>
      <c r="J200" s="203">
        <v>15000</v>
      </c>
      <c r="K200" s="203">
        <v>573019.2481999998</v>
      </c>
      <c r="L200" s="203">
        <v>601819.2481999998</v>
      </c>
      <c r="M200" s="203">
        <v>601819</v>
      </c>
      <c r="N200" s="203">
        <f>ROUND(M200,0)</f>
        <v>601819</v>
      </c>
      <c r="O200" s="203">
        <f t="shared" si="58"/>
        <v>0</v>
      </c>
      <c r="P200" s="211"/>
      <c r="Q200" s="212">
        <f>387267-Q202-Q201</f>
        <v>117526.25</v>
      </c>
      <c r="R200" s="213">
        <f t="shared" si="59"/>
        <v>0.19528504417441125</v>
      </c>
      <c r="S200" s="212"/>
    </row>
    <row r="201" spans="2:20" s="208" customFormat="1" ht="18.600000000000001" customHeight="1" outlineLevel="1" x14ac:dyDescent="0.25">
      <c r="B201" s="208">
        <v>1010</v>
      </c>
      <c r="C201" s="209" t="s">
        <v>488</v>
      </c>
      <c r="D201" s="210" t="s">
        <v>489</v>
      </c>
      <c r="E201" s="203"/>
      <c r="F201" s="203">
        <v>123000</v>
      </c>
      <c r="G201" s="203"/>
      <c r="H201" s="203"/>
      <c r="I201" s="203"/>
      <c r="J201" s="203">
        <v>80000</v>
      </c>
      <c r="K201" s="203">
        <v>1170990</v>
      </c>
      <c r="L201" s="203">
        <v>1373990</v>
      </c>
      <c r="M201" s="203">
        <v>1373990</v>
      </c>
      <c r="N201" s="203">
        <f>ROUND(M201,0)</f>
        <v>1373990</v>
      </c>
      <c r="O201" s="203">
        <f t="shared" si="58"/>
        <v>0</v>
      </c>
      <c r="P201" s="88"/>
      <c r="Q201" s="212">
        <v>263240.75</v>
      </c>
      <c r="R201" s="213">
        <f t="shared" si="59"/>
        <v>0.19158854867939359</v>
      </c>
      <c r="S201" s="212"/>
    </row>
    <row r="202" spans="2:20" s="208" customFormat="1" ht="17.45" customHeight="1" outlineLevel="1" x14ac:dyDescent="0.25">
      <c r="B202" s="208">
        <v>1010</v>
      </c>
      <c r="C202" s="209" t="s">
        <v>490</v>
      </c>
      <c r="D202" s="210" t="s">
        <v>491</v>
      </c>
      <c r="E202" s="203"/>
      <c r="F202" s="203">
        <v>25954</v>
      </c>
      <c r="G202" s="203"/>
      <c r="H202" s="203"/>
      <c r="I202" s="203"/>
      <c r="J202" s="203"/>
      <c r="K202" s="203"/>
      <c r="L202" s="203">
        <v>25954</v>
      </c>
      <c r="M202" s="203">
        <v>25954</v>
      </c>
      <c r="N202" s="203">
        <f>ROUND(M202,0)</f>
        <v>25954</v>
      </c>
      <c r="O202" s="203">
        <f t="shared" si="58"/>
        <v>0</v>
      </c>
      <c r="P202" s="92"/>
      <c r="Q202" s="49">
        <v>6500</v>
      </c>
      <c r="R202" s="213">
        <f t="shared" si="59"/>
        <v>0.25044309162364181</v>
      </c>
      <c r="S202" s="212"/>
    </row>
    <row r="203" spans="2:20" s="208" customFormat="1" outlineLevel="1" x14ac:dyDescent="0.25">
      <c r="B203" s="208">
        <v>1012</v>
      </c>
      <c r="C203" s="209" t="s">
        <v>492</v>
      </c>
      <c r="D203" s="210" t="s">
        <v>493</v>
      </c>
      <c r="E203" s="203"/>
      <c r="F203" s="203">
        <v>421092</v>
      </c>
      <c r="G203" s="203"/>
      <c r="H203" s="203"/>
      <c r="I203" s="203"/>
      <c r="J203" s="203"/>
      <c r="K203" s="203"/>
      <c r="L203" s="203">
        <v>421092</v>
      </c>
      <c r="M203" s="203">
        <v>421092</v>
      </c>
      <c r="N203" s="203">
        <f>ROUND(M203,0)</f>
        <v>421092</v>
      </c>
      <c r="O203" s="203">
        <f t="shared" si="58"/>
        <v>0</v>
      </c>
      <c r="P203" s="211"/>
      <c r="Q203" s="212">
        <v>71847</v>
      </c>
      <c r="R203" s="213">
        <f t="shared" si="59"/>
        <v>0.17062067196717107</v>
      </c>
      <c r="S203" s="212"/>
    </row>
    <row r="204" spans="2:20" s="208" customFormat="1" outlineLevel="1" x14ac:dyDescent="0.25">
      <c r="B204" s="208">
        <v>1015</v>
      </c>
      <c r="C204" s="209" t="s">
        <v>494</v>
      </c>
      <c r="D204" s="210" t="s">
        <v>495</v>
      </c>
      <c r="E204" s="203"/>
      <c r="F204" s="203"/>
      <c r="G204" s="203"/>
      <c r="H204" s="203"/>
      <c r="I204" s="203"/>
      <c r="J204" s="203"/>
      <c r="K204" s="203">
        <v>5800</v>
      </c>
      <c r="L204" s="203">
        <v>5800</v>
      </c>
      <c r="M204" s="203">
        <v>5800</v>
      </c>
      <c r="N204" s="203">
        <f>ROUND(M204,0)</f>
        <v>5800</v>
      </c>
      <c r="O204" s="203">
        <f t="shared" si="58"/>
        <v>0</v>
      </c>
      <c r="P204" s="211"/>
      <c r="Q204" s="212">
        <v>1504</v>
      </c>
      <c r="R204" s="213">
        <f t="shared" si="59"/>
        <v>0.25931034482758619</v>
      </c>
      <c r="S204" s="212"/>
    </row>
    <row r="205" spans="2:20" s="157" customFormat="1" ht="19.5" customHeight="1" x14ac:dyDescent="0.25">
      <c r="C205" s="168" t="s">
        <v>119</v>
      </c>
      <c r="D205" s="169" t="s">
        <v>496</v>
      </c>
      <c r="E205" s="72">
        <v>1214</v>
      </c>
      <c r="F205" s="72">
        <v>7417</v>
      </c>
      <c r="G205" s="72">
        <v>0</v>
      </c>
      <c r="H205" s="72">
        <v>0</v>
      </c>
      <c r="I205" s="72">
        <v>0</v>
      </c>
      <c r="J205" s="72">
        <v>0</v>
      </c>
      <c r="K205" s="72">
        <v>1407</v>
      </c>
      <c r="L205" s="72">
        <v>10038</v>
      </c>
      <c r="M205" s="72">
        <v>10038</v>
      </c>
      <c r="N205" s="72">
        <f>N206+N207</f>
        <v>10038</v>
      </c>
      <c r="O205" s="72">
        <f t="shared" si="58"/>
        <v>0</v>
      </c>
      <c r="P205" s="88"/>
      <c r="Q205" s="89">
        <f>Q206+Q207</f>
        <v>715</v>
      </c>
      <c r="R205" s="90">
        <f t="shared" si="59"/>
        <v>7.1229328551504281E-2</v>
      </c>
      <c r="S205" s="89"/>
    </row>
    <row r="206" spans="2:20" s="208" customFormat="1" outlineLevel="1" x14ac:dyDescent="0.25">
      <c r="B206" s="208">
        <v>1011</v>
      </c>
      <c r="C206" s="209" t="s">
        <v>497</v>
      </c>
      <c r="D206" s="210" t="s">
        <v>498</v>
      </c>
      <c r="E206" s="203"/>
      <c r="F206" s="203"/>
      <c r="G206" s="203"/>
      <c r="H206" s="203"/>
      <c r="I206" s="203"/>
      <c r="J206" s="203"/>
      <c r="K206" s="203">
        <v>1407</v>
      </c>
      <c r="L206" s="203">
        <v>1407</v>
      </c>
      <c r="M206" s="203">
        <v>1407</v>
      </c>
      <c r="N206" s="203">
        <f>ROUND(M206,0)</f>
        <v>1407</v>
      </c>
      <c r="O206" s="203">
        <f t="shared" si="58"/>
        <v>0</v>
      </c>
      <c r="P206" s="211"/>
      <c r="Q206" s="212">
        <v>93.3</v>
      </c>
      <c r="R206" s="213">
        <f t="shared" si="59"/>
        <v>6.6311300639658843E-2</v>
      </c>
      <c r="S206" s="212"/>
    </row>
    <row r="207" spans="2:20" s="208" customFormat="1" outlineLevel="1" x14ac:dyDescent="0.25">
      <c r="B207" s="208">
        <v>1011</v>
      </c>
      <c r="C207" s="209" t="s">
        <v>499</v>
      </c>
      <c r="D207" s="210" t="s">
        <v>500</v>
      </c>
      <c r="E207" s="203">
        <v>1214</v>
      </c>
      <c r="F207" s="203">
        <v>7417</v>
      </c>
      <c r="G207" s="203"/>
      <c r="H207" s="203"/>
      <c r="I207" s="203"/>
      <c r="J207" s="203"/>
      <c r="K207" s="203"/>
      <c r="L207" s="203">
        <v>8631</v>
      </c>
      <c r="M207" s="203">
        <v>8631</v>
      </c>
      <c r="N207" s="203">
        <f>ROUND(M207,0)</f>
        <v>8631</v>
      </c>
      <c r="O207" s="203">
        <f t="shared" si="58"/>
        <v>0</v>
      </c>
      <c r="P207" s="211"/>
      <c r="Q207" s="212">
        <f>715-Q206</f>
        <v>621.70000000000005</v>
      </c>
      <c r="R207" s="213">
        <f t="shared" si="59"/>
        <v>7.2031050863167662E-2</v>
      </c>
      <c r="S207" s="212"/>
    </row>
    <row r="208" spans="2:20" s="157" customFormat="1" ht="30.6" customHeight="1" x14ac:dyDescent="0.25">
      <c r="C208" s="168" t="s">
        <v>121</v>
      </c>
      <c r="D208" s="169" t="s">
        <v>501</v>
      </c>
      <c r="E208" s="214">
        <v>43177</v>
      </c>
      <c r="F208" s="214">
        <v>0</v>
      </c>
      <c r="G208" s="214">
        <v>409094</v>
      </c>
      <c r="H208" s="214">
        <v>0</v>
      </c>
      <c r="I208" s="214">
        <v>0</v>
      </c>
      <c r="J208" s="214">
        <v>39489</v>
      </c>
      <c r="K208" s="214">
        <v>347837.75069250003</v>
      </c>
      <c r="L208" s="214">
        <v>839597.75069250003</v>
      </c>
      <c r="M208" s="214">
        <v>839598</v>
      </c>
      <c r="N208" s="214">
        <f t="shared" ref="N208:O208" si="64">SUM(N209:N211)</f>
        <v>839598</v>
      </c>
      <c r="O208" s="214">
        <f t="shared" si="64"/>
        <v>0</v>
      </c>
      <c r="P208" s="170"/>
      <c r="Q208" s="215">
        <f t="shared" ref="Q208" si="65">SUM(Q209:Q211)</f>
        <v>127246</v>
      </c>
      <c r="R208" s="216">
        <f t="shared" si="59"/>
        <v>0.15155586363950366</v>
      </c>
      <c r="S208" s="215"/>
    </row>
    <row r="209" spans="2:19" s="157" customFormat="1" ht="15.75" customHeight="1" x14ac:dyDescent="0.25">
      <c r="B209" s="1" t="s">
        <v>502</v>
      </c>
      <c r="C209" s="217" t="s">
        <v>503</v>
      </c>
      <c r="D209" s="218" t="s">
        <v>504</v>
      </c>
      <c r="E209" s="47"/>
      <c r="F209" s="47"/>
      <c r="G209" s="47"/>
      <c r="H209" s="47"/>
      <c r="I209" s="47"/>
      <c r="J209" s="47"/>
      <c r="K209" s="47">
        <v>347837.39069250005</v>
      </c>
      <c r="L209" s="47">
        <v>347837.39069250005</v>
      </c>
      <c r="M209" s="47">
        <v>347838</v>
      </c>
      <c r="N209" s="47">
        <f t="shared" ref="N209:N214" si="66">ROUND(M209,0)</f>
        <v>347838</v>
      </c>
      <c r="O209" s="47">
        <f t="shared" si="58"/>
        <v>0</v>
      </c>
      <c r="P209" s="48"/>
      <c r="Q209" s="49">
        <v>48221</v>
      </c>
      <c r="R209" s="50">
        <f t="shared" si="59"/>
        <v>0.13863062690102865</v>
      </c>
      <c r="S209" s="49" t="s">
        <v>505</v>
      </c>
    </row>
    <row r="210" spans="2:19" s="157" customFormat="1" ht="15.75" customHeight="1" x14ac:dyDescent="0.25">
      <c r="B210" s="1" t="s">
        <v>502</v>
      </c>
      <c r="C210" s="219" t="s">
        <v>506</v>
      </c>
      <c r="D210" s="218" t="s">
        <v>507</v>
      </c>
      <c r="E210" s="47">
        <v>4454</v>
      </c>
      <c r="F210" s="47"/>
      <c r="G210" s="47">
        <v>117147</v>
      </c>
      <c r="H210" s="47"/>
      <c r="I210" s="47">
        <v>0</v>
      </c>
      <c r="J210" s="47">
        <v>39489</v>
      </c>
      <c r="K210" s="47"/>
      <c r="L210" s="47">
        <v>161090</v>
      </c>
      <c r="M210" s="47">
        <v>161090</v>
      </c>
      <c r="N210" s="47">
        <f t="shared" si="66"/>
        <v>161090</v>
      </c>
      <c r="O210" s="47">
        <f t="shared" si="58"/>
        <v>0</v>
      </c>
      <c r="P210" s="48"/>
      <c r="Q210" s="49">
        <v>0</v>
      </c>
      <c r="R210" s="50">
        <f t="shared" si="59"/>
        <v>0</v>
      </c>
      <c r="S210" s="49" t="s">
        <v>395</v>
      </c>
    </row>
    <row r="211" spans="2:19" s="157" customFormat="1" ht="15.6" customHeight="1" x14ac:dyDescent="0.25">
      <c r="B211" s="1" t="s">
        <v>508</v>
      </c>
      <c r="C211" s="217" t="s">
        <v>509</v>
      </c>
      <c r="D211" s="218" t="s">
        <v>510</v>
      </c>
      <c r="E211" s="47">
        <v>38723</v>
      </c>
      <c r="F211" s="47"/>
      <c r="G211" s="47">
        <v>291947</v>
      </c>
      <c r="H211" s="47"/>
      <c r="I211" s="47">
        <v>0</v>
      </c>
      <c r="J211" s="47">
        <v>0</v>
      </c>
      <c r="K211" s="47">
        <v>0.35999999998603016</v>
      </c>
      <c r="L211" s="47">
        <v>330670.36</v>
      </c>
      <c r="M211" s="47">
        <v>330670</v>
      </c>
      <c r="N211" s="47">
        <f t="shared" si="66"/>
        <v>330670</v>
      </c>
      <c r="O211" s="47">
        <f t="shared" si="58"/>
        <v>0</v>
      </c>
      <c r="P211" s="48"/>
      <c r="Q211" s="49">
        <v>79025</v>
      </c>
      <c r="R211" s="50">
        <f t="shared" si="59"/>
        <v>0.23898448604348746</v>
      </c>
      <c r="S211" s="49"/>
    </row>
    <row r="212" spans="2:19" s="157" customFormat="1" ht="18.75" customHeight="1" x14ac:dyDescent="0.25">
      <c r="C212" s="168" t="s">
        <v>511</v>
      </c>
      <c r="D212" s="169" t="s">
        <v>512</v>
      </c>
      <c r="E212" s="72"/>
      <c r="F212" s="72"/>
      <c r="G212" s="72"/>
      <c r="H212" s="72"/>
      <c r="I212" s="72"/>
      <c r="J212" s="72"/>
      <c r="K212" s="72">
        <v>132505.09117999999</v>
      </c>
      <c r="L212" s="72">
        <v>132505.09117999999</v>
      </c>
      <c r="M212" s="72">
        <v>132505.09117999999</v>
      </c>
      <c r="N212" s="72">
        <f t="shared" si="66"/>
        <v>132505</v>
      </c>
      <c r="O212" s="72">
        <f t="shared" si="58"/>
        <v>-9.1179999988526106E-2</v>
      </c>
      <c r="P212" s="170"/>
      <c r="Q212" s="89">
        <v>23485</v>
      </c>
      <c r="R212" s="90">
        <f t="shared" si="59"/>
        <v>0.17723859477000867</v>
      </c>
      <c r="S212" s="89"/>
    </row>
    <row r="213" spans="2:19" s="157" customFormat="1" ht="18.75" customHeight="1" x14ac:dyDescent="0.25">
      <c r="B213" s="1">
        <v>1016</v>
      </c>
      <c r="C213" s="168" t="s">
        <v>513</v>
      </c>
      <c r="D213" s="169" t="s">
        <v>180</v>
      </c>
      <c r="E213" s="72"/>
      <c r="F213" s="72">
        <v>50000</v>
      </c>
      <c r="G213" s="72"/>
      <c r="H213" s="72"/>
      <c r="I213" s="72"/>
      <c r="J213" s="72"/>
      <c r="K213" s="72"/>
      <c r="L213" s="72">
        <v>50000</v>
      </c>
      <c r="M213" s="72">
        <v>50000</v>
      </c>
      <c r="N213" s="72">
        <f t="shared" si="66"/>
        <v>50000</v>
      </c>
      <c r="O213" s="72">
        <f t="shared" si="58"/>
        <v>0</v>
      </c>
      <c r="P213" s="170"/>
      <c r="Q213" s="89">
        <v>28287</v>
      </c>
      <c r="R213" s="90">
        <f t="shared" si="59"/>
        <v>0.56574000000000002</v>
      </c>
      <c r="S213" s="89" t="s">
        <v>514</v>
      </c>
    </row>
    <row r="214" spans="2:19" s="157" customFormat="1" ht="18.75" customHeight="1" x14ac:dyDescent="0.25">
      <c r="B214" s="1">
        <v>1017</v>
      </c>
      <c r="C214" s="168" t="s">
        <v>515</v>
      </c>
      <c r="D214" s="169" t="s">
        <v>182</v>
      </c>
      <c r="E214" s="72">
        <v>298343.78999999998</v>
      </c>
      <c r="F214" s="72">
        <v>400000</v>
      </c>
      <c r="G214" s="72"/>
      <c r="H214" s="72"/>
      <c r="I214" s="72"/>
      <c r="J214" s="72"/>
      <c r="K214" s="72"/>
      <c r="L214" s="72">
        <v>698343.79</v>
      </c>
      <c r="M214" s="72">
        <v>698343.79</v>
      </c>
      <c r="N214" s="72">
        <f t="shared" si="66"/>
        <v>698344</v>
      </c>
      <c r="O214" s="72">
        <f t="shared" si="58"/>
        <v>0.2099999999627471</v>
      </c>
      <c r="P214" s="170"/>
      <c r="Q214" s="89">
        <v>327359</v>
      </c>
      <c r="R214" s="90">
        <f t="shared" si="59"/>
        <v>0.46876467758010376</v>
      </c>
      <c r="S214" s="89" t="s">
        <v>514</v>
      </c>
    </row>
    <row r="215" spans="2:19" ht="40.9" customHeight="1" x14ac:dyDescent="0.25">
      <c r="B215" s="1" t="s">
        <v>516</v>
      </c>
      <c r="C215" s="168" t="s">
        <v>517</v>
      </c>
      <c r="D215" s="169" t="s">
        <v>518</v>
      </c>
      <c r="E215" s="72">
        <v>23597</v>
      </c>
      <c r="F215" s="72"/>
      <c r="G215" s="72"/>
      <c r="H215" s="72"/>
      <c r="I215" s="72"/>
      <c r="J215" s="72">
        <v>0</v>
      </c>
      <c r="K215" s="72"/>
      <c r="L215" s="72">
        <v>23597</v>
      </c>
      <c r="M215" s="47">
        <v>23597</v>
      </c>
      <c r="N215" s="47">
        <f>ROUND(M215,0)</f>
        <v>23597</v>
      </c>
      <c r="O215" s="47">
        <f>N215-M215</f>
        <v>0</v>
      </c>
      <c r="P215" s="181"/>
      <c r="Q215" s="49">
        <v>550</v>
      </c>
      <c r="R215" s="50">
        <f t="shared" si="59"/>
        <v>2.330804763317371E-2</v>
      </c>
      <c r="S215" s="68" t="s">
        <v>395</v>
      </c>
    </row>
    <row r="216" spans="2:19" ht="44.45" customHeight="1" x14ac:dyDescent="0.25">
      <c r="B216" s="1" t="s">
        <v>519</v>
      </c>
      <c r="C216" s="168" t="s">
        <v>520</v>
      </c>
      <c r="D216" s="169" t="s">
        <v>521</v>
      </c>
      <c r="E216" s="72">
        <v>18440</v>
      </c>
      <c r="F216" s="72"/>
      <c r="G216" s="72"/>
      <c r="H216" s="72"/>
      <c r="I216" s="72"/>
      <c r="J216" s="72">
        <v>0</v>
      </c>
      <c r="K216" s="72"/>
      <c r="L216" s="72">
        <v>18440</v>
      </c>
      <c r="M216" s="47">
        <v>18440</v>
      </c>
      <c r="N216" s="47">
        <f>ROUND(M216,0)</f>
        <v>18440</v>
      </c>
      <c r="O216" s="47">
        <f>N216-M216</f>
        <v>0</v>
      </c>
      <c r="P216" s="181"/>
      <c r="Q216" s="49">
        <v>908</v>
      </c>
      <c r="R216" s="50">
        <f t="shared" si="59"/>
        <v>4.9240780911062904E-2</v>
      </c>
      <c r="S216" s="68" t="s">
        <v>395</v>
      </c>
    </row>
    <row r="217" spans="2:19" x14ac:dyDescent="0.25">
      <c r="C217" s="171" t="s">
        <v>124</v>
      </c>
      <c r="D217" s="172" t="s">
        <v>522</v>
      </c>
      <c r="E217" s="53">
        <v>515317</v>
      </c>
      <c r="F217" s="53">
        <v>6485502</v>
      </c>
      <c r="G217" s="53">
        <v>84178</v>
      </c>
      <c r="H217" s="53">
        <v>972946</v>
      </c>
      <c r="I217" s="53">
        <v>560177</v>
      </c>
      <c r="J217" s="53">
        <v>512964.39</v>
      </c>
      <c r="K217" s="53">
        <v>12386769.775859235</v>
      </c>
      <c r="L217" s="53">
        <v>21517854.165859237</v>
      </c>
      <c r="M217" s="53">
        <v>21517854.165859237</v>
      </c>
      <c r="N217" s="53">
        <f>N218+N219+N222+N225+N229+N233+N237+N245+N246+N257+N260+N263+N264+N265+N266+N267+N268</f>
        <v>21576210</v>
      </c>
      <c r="O217" s="53">
        <f>O218+O219+O222+O225+O229+O233+O237+O246+O257+O260+O263+O264+O265+O266+O267+O268</f>
        <v>58356.224140764331</v>
      </c>
      <c r="P217" s="53"/>
      <c r="Q217" s="55">
        <f>Q218+Q219+Q222+Q225+Q229+Q233+Q237+Q245+Q246+Q257+Q260+Q263+Q264+Q265+Q266+Q267+Q268</f>
        <v>3496476</v>
      </c>
      <c r="R217" s="56">
        <f t="shared" si="59"/>
        <v>0.16205237157035457</v>
      </c>
      <c r="S217" s="55"/>
    </row>
    <row r="218" spans="2:19" ht="27.6" customHeight="1" x14ac:dyDescent="0.25">
      <c r="B218" s="220" t="s">
        <v>523</v>
      </c>
      <c r="C218" s="168" t="s">
        <v>524</v>
      </c>
      <c r="D218" s="177" t="s">
        <v>525</v>
      </c>
      <c r="E218" s="72"/>
      <c r="F218" s="72"/>
      <c r="G218" s="72"/>
      <c r="H218" s="72"/>
      <c r="I218" s="72"/>
      <c r="J218" s="72"/>
      <c r="K218" s="72">
        <v>1009440</v>
      </c>
      <c r="L218" s="72">
        <v>1009440</v>
      </c>
      <c r="M218" s="72">
        <v>1009440</v>
      </c>
      <c r="N218" s="72">
        <f>ROUND(M218,0)</f>
        <v>1009440</v>
      </c>
      <c r="O218" s="72">
        <f t="shared" si="58"/>
        <v>0</v>
      </c>
      <c r="P218" s="88"/>
      <c r="Q218" s="89">
        <v>22814</v>
      </c>
      <c r="R218" s="90">
        <f t="shared" si="59"/>
        <v>2.2600649865271834E-2</v>
      </c>
      <c r="S218" s="89" t="s">
        <v>526</v>
      </c>
    </row>
    <row r="219" spans="2:19" ht="18" customHeight="1" x14ac:dyDescent="0.25">
      <c r="C219" s="168" t="s">
        <v>527</v>
      </c>
      <c r="D219" s="177" t="s">
        <v>528</v>
      </c>
      <c r="E219" s="72">
        <v>60</v>
      </c>
      <c r="F219" s="72">
        <v>273701</v>
      </c>
      <c r="G219" s="72">
        <v>0</v>
      </c>
      <c r="H219" s="72">
        <v>0</v>
      </c>
      <c r="I219" s="72">
        <v>0</v>
      </c>
      <c r="J219" s="72">
        <v>73022</v>
      </c>
      <c r="K219" s="72">
        <v>1597136.3519472245</v>
      </c>
      <c r="L219" s="72">
        <v>1943919.3519472245</v>
      </c>
      <c r="M219" s="72">
        <v>1943919.3519472245</v>
      </c>
      <c r="N219" s="72">
        <f t="shared" ref="N219" si="67">SUM(N220:N221)</f>
        <v>1943919</v>
      </c>
      <c r="O219" s="72">
        <f t="shared" si="58"/>
        <v>-0.35194722446613014</v>
      </c>
      <c r="P219" s="170"/>
      <c r="Q219" s="89">
        <f t="shared" ref="Q219" si="68">SUM(Q220:Q221)</f>
        <v>320673</v>
      </c>
      <c r="R219" s="90">
        <f t="shared" si="59"/>
        <v>0.16496212033526089</v>
      </c>
      <c r="S219" s="89"/>
    </row>
    <row r="220" spans="2:19" ht="16.149999999999999" customHeight="1" x14ac:dyDescent="0.25">
      <c r="B220" s="84" t="s">
        <v>529</v>
      </c>
      <c r="C220" s="175" t="s">
        <v>530</v>
      </c>
      <c r="D220" s="140" t="s">
        <v>531</v>
      </c>
      <c r="E220" s="221">
        <v>60</v>
      </c>
      <c r="F220" s="221">
        <v>273701</v>
      </c>
      <c r="G220" s="222"/>
      <c r="H220" s="222"/>
      <c r="I220" s="222"/>
      <c r="J220" s="222"/>
      <c r="K220" s="222"/>
      <c r="L220" s="222">
        <v>273761</v>
      </c>
      <c r="M220" s="222">
        <v>273761</v>
      </c>
      <c r="N220" s="222">
        <f>ROUND(M220,0)</f>
        <v>273761</v>
      </c>
      <c r="O220" s="222">
        <f t="shared" si="58"/>
        <v>0</v>
      </c>
      <c r="P220" s="67"/>
      <c r="Q220" s="223">
        <v>46561</v>
      </c>
      <c r="R220" s="224">
        <f t="shared" si="59"/>
        <v>0.17007901052377805</v>
      </c>
      <c r="S220" s="223"/>
    </row>
    <row r="221" spans="2:19" ht="16.149999999999999" customHeight="1" x14ac:dyDescent="0.25">
      <c r="B221" s="84" t="s">
        <v>532</v>
      </c>
      <c r="C221" s="175" t="s">
        <v>533</v>
      </c>
      <c r="D221" s="140" t="s">
        <v>534</v>
      </c>
      <c r="E221" s="222"/>
      <c r="F221" s="222"/>
      <c r="G221" s="222"/>
      <c r="H221" s="222"/>
      <c r="I221" s="222"/>
      <c r="J221" s="222">
        <v>73022</v>
      </c>
      <c r="K221" s="222">
        <v>1597136.3519472245</v>
      </c>
      <c r="L221" s="222">
        <v>1670158.3519472245</v>
      </c>
      <c r="M221" s="222">
        <v>1670158.3519472245</v>
      </c>
      <c r="N221" s="222">
        <f>ROUND(M221,0)</f>
        <v>1670158</v>
      </c>
      <c r="O221" s="222">
        <f t="shared" si="58"/>
        <v>-0.35194722446613014</v>
      </c>
      <c r="P221" s="225"/>
      <c r="Q221" s="223">
        <v>274112</v>
      </c>
      <c r="R221" s="224">
        <f t="shared" si="59"/>
        <v>0.16412339431359188</v>
      </c>
      <c r="S221" s="223" t="s">
        <v>535</v>
      </c>
    </row>
    <row r="222" spans="2:19" ht="18" customHeight="1" x14ac:dyDescent="0.25">
      <c r="C222" s="168" t="s">
        <v>536</v>
      </c>
      <c r="D222" s="177" t="s">
        <v>537</v>
      </c>
      <c r="E222" s="72">
        <v>4</v>
      </c>
      <c r="F222" s="72">
        <v>113939</v>
      </c>
      <c r="G222" s="72">
        <v>0</v>
      </c>
      <c r="H222" s="72">
        <v>0</v>
      </c>
      <c r="I222" s="72">
        <v>0</v>
      </c>
      <c r="J222" s="72">
        <v>0</v>
      </c>
      <c r="K222" s="72">
        <v>1123630.6494368</v>
      </c>
      <c r="L222" s="72">
        <v>1237573.6494368</v>
      </c>
      <c r="M222" s="72">
        <v>1237573.6494368</v>
      </c>
      <c r="N222" s="72">
        <f>N223+N224</f>
        <v>1237574</v>
      </c>
      <c r="O222" s="72">
        <f t="shared" si="58"/>
        <v>0.35056319995783269</v>
      </c>
      <c r="P222" s="170"/>
      <c r="Q222" s="89">
        <f>Q223+Q224</f>
        <v>188565</v>
      </c>
      <c r="R222" s="90">
        <f t="shared" si="59"/>
        <v>0.15236664635811678</v>
      </c>
      <c r="S222" s="89"/>
    </row>
    <row r="223" spans="2:19" ht="16.5" customHeight="1" x14ac:dyDescent="0.25">
      <c r="B223" s="84" t="s">
        <v>538</v>
      </c>
      <c r="C223" s="175" t="s">
        <v>539</v>
      </c>
      <c r="D223" s="140" t="s">
        <v>531</v>
      </c>
      <c r="E223" s="221">
        <v>4</v>
      </c>
      <c r="F223" s="221">
        <v>113939</v>
      </c>
      <c r="G223" s="47"/>
      <c r="H223" s="47"/>
      <c r="I223" s="47"/>
      <c r="J223" s="47"/>
      <c r="K223" s="47"/>
      <c r="L223" s="47">
        <v>113943</v>
      </c>
      <c r="M223" s="47">
        <v>113943</v>
      </c>
      <c r="N223" s="47">
        <f>ROUND(M223,0)</f>
        <v>113943</v>
      </c>
      <c r="O223" s="47">
        <f t="shared" si="58"/>
        <v>0</v>
      </c>
      <c r="P223" s="67"/>
      <c r="Q223" s="49">
        <v>18451</v>
      </c>
      <c r="R223" s="50">
        <f t="shared" si="59"/>
        <v>0.16193184311453973</v>
      </c>
      <c r="S223" s="49"/>
    </row>
    <row r="224" spans="2:19" ht="15" customHeight="1" x14ac:dyDescent="0.25">
      <c r="B224" s="84" t="s">
        <v>540</v>
      </c>
      <c r="C224" s="175" t="s">
        <v>541</v>
      </c>
      <c r="D224" s="140" t="s">
        <v>534</v>
      </c>
      <c r="E224" s="47"/>
      <c r="F224" s="47"/>
      <c r="G224" s="47"/>
      <c r="H224" s="47"/>
      <c r="I224" s="47"/>
      <c r="J224" s="47"/>
      <c r="K224" s="47">
        <v>1123630.6494368</v>
      </c>
      <c r="L224" s="47">
        <v>1123630.6494368</v>
      </c>
      <c r="M224" s="47">
        <v>1123630.6494368</v>
      </c>
      <c r="N224" s="47">
        <f>ROUND(M224,0)</f>
        <v>1123631</v>
      </c>
      <c r="O224" s="47">
        <f t="shared" si="58"/>
        <v>0.35056319995783269</v>
      </c>
      <c r="P224" s="67"/>
      <c r="Q224" s="49">
        <v>170114</v>
      </c>
      <c r="R224" s="50">
        <f t="shared" si="59"/>
        <v>0.15139667737896159</v>
      </c>
      <c r="S224" s="49" t="s">
        <v>535</v>
      </c>
    </row>
    <row r="225" spans="2:19" ht="18" customHeight="1" x14ac:dyDescent="0.25">
      <c r="C225" s="226" t="s">
        <v>542</v>
      </c>
      <c r="D225" s="177" t="s">
        <v>543</v>
      </c>
      <c r="E225" s="72">
        <v>1843</v>
      </c>
      <c r="F225" s="72">
        <v>190168</v>
      </c>
      <c r="G225" s="72">
        <v>0</v>
      </c>
      <c r="H225" s="72">
        <v>0</v>
      </c>
      <c r="I225" s="72">
        <v>160349</v>
      </c>
      <c r="J225" s="72">
        <v>1000</v>
      </c>
      <c r="K225" s="72">
        <v>967536.30678672018</v>
      </c>
      <c r="L225" s="72">
        <v>1320896.3067867202</v>
      </c>
      <c r="M225" s="72">
        <v>1320896.3067867202</v>
      </c>
      <c r="N225" s="72">
        <f>N226+N227+N228</f>
        <v>1320896</v>
      </c>
      <c r="O225" s="72">
        <f t="shared" si="58"/>
        <v>-0.30678672017529607</v>
      </c>
      <c r="P225" s="170"/>
      <c r="Q225" s="89">
        <f>Q226+Q227+Q228</f>
        <v>224934</v>
      </c>
      <c r="R225" s="90">
        <f t="shared" si="59"/>
        <v>0.17028895537574495</v>
      </c>
      <c r="S225" s="89"/>
    </row>
    <row r="226" spans="2:19" ht="13.5" customHeight="1" x14ac:dyDescent="0.25">
      <c r="B226" s="1" t="s">
        <v>544</v>
      </c>
      <c r="C226" s="175" t="s">
        <v>545</v>
      </c>
      <c r="D226" s="140" t="s">
        <v>531</v>
      </c>
      <c r="E226" s="221">
        <v>1843</v>
      </c>
      <c r="F226" s="221">
        <v>190168</v>
      </c>
      <c r="G226" s="47"/>
      <c r="H226" s="47"/>
      <c r="I226" s="47"/>
      <c r="J226" s="47"/>
      <c r="K226" s="47"/>
      <c r="L226" s="47">
        <v>192011</v>
      </c>
      <c r="M226" s="47">
        <v>192011</v>
      </c>
      <c r="N226" s="47">
        <f>ROUND(M226,0)</f>
        <v>192011</v>
      </c>
      <c r="O226" s="47">
        <f t="shared" si="58"/>
        <v>0</v>
      </c>
      <c r="P226" s="67"/>
      <c r="Q226" s="49">
        <v>33240</v>
      </c>
      <c r="R226" s="50">
        <f t="shared" si="59"/>
        <v>0.17311508194843003</v>
      </c>
      <c r="S226" s="49"/>
    </row>
    <row r="227" spans="2:19" ht="17.45" customHeight="1" x14ac:dyDescent="0.25">
      <c r="B227" s="1" t="s">
        <v>546</v>
      </c>
      <c r="C227" s="175" t="s">
        <v>547</v>
      </c>
      <c r="D227" s="140" t="s">
        <v>534</v>
      </c>
      <c r="E227" s="47"/>
      <c r="F227" s="47"/>
      <c r="G227" s="47"/>
      <c r="H227" s="47"/>
      <c r="I227" s="47"/>
      <c r="J227" s="47">
        <v>1000</v>
      </c>
      <c r="K227" s="47">
        <v>967536.30678672018</v>
      </c>
      <c r="L227" s="47">
        <v>968536.30678672018</v>
      </c>
      <c r="M227" s="47">
        <v>968536.30678672018</v>
      </c>
      <c r="N227" s="47">
        <f>ROUND(M227,0)</f>
        <v>968536</v>
      </c>
      <c r="O227" s="47">
        <f t="shared" si="58"/>
        <v>-0.30678672017529607</v>
      </c>
      <c r="P227" s="67"/>
      <c r="Q227" s="49">
        <v>162347</v>
      </c>
      <c r="R227" s="50">
        <f t="shared" si="59"/>
        <v>0.16762102802580389</v>
      </c>
      <c r="S227" s="49" t="s">
        <v>535</v>
      </c>
    </row>
    <row r="228" spans="2:19" ht="17.45" customHeight="1" x14ac:dyDescent="0.25">
      <c r="C228" s="175" t="s">
        <v>548</v>
      </c>
      <c r="D228" s="140" t="s">
        <v>549</v>
      </c>
      <c r="E228" s="47"/>
      <c r="F228" s="47"/>
      <c r="G228" s="47"/>
      <c r="H228" s="47"/>
      <c r="I228" s="87">
        <v>160349</v>
      </c>
      <c r="J228" s="47"/>
      <c r="K228" s="47"/>
      <c r="L228" s="47">
        <v>160349</v>
      </c>
      <c r="M228" s="47">
        <v>160349</v>
      </c>
      <c r="N228" s="47">
        <f>ROUND(M228,0)</f>
        <v>160349</v>
      </c>
      <c r="O228" s="47">
        <f>N228-M228</f>
        <v>0</v>
      </c>
      <c r="P228" s="67"/>
      <c r="Q228" s="204">
        <v>29347</v>
      </c>
      <c r="R228" s="50">
        <f t="shared" si="59"/>
        <v>0.18301953863136033</v>
      </c>
      <c r="S228" s="49"/>
    </row>
    <row r="229" spans="2:19" x14ac:dyDescent="0.25">
      <c r="B229" s="1" t="s">
        <v>550</v>
      </c>
      <c r="C229" s="226" t="s">
        <v>551</v>
      </c>
      <c r="D229" s="177" t="s">
        <v>552</v>
      </c>
      <c r="E229" s="72">
        <v>540</v>
      </c>
      <c r="F229" s="72">
        <v>70593</v>
      </c>
      <c r="G229" s="72">
        <v>0</v>
      </c>
      <c r="H229" s="72">
        <v>0</v>
      </c>
      <c r="I229" s="72">
        <v>158747</v>
      </c>
      <c r="J229" s="72">
        <v>13500</v>
      </c>
      <c r="K229" s="72">
        <v>988268.29365084018</v>
      </c>
      <c r="L229" s="72">
        <v>1231648.2936508402</v>
      </c>
      <c r="M229" s="72">
        <v>1231648.2936508402</v>
      </c>
      <c r="N229" s="72">
        <f t="shared" ref="N229" si="69">SUM(N230:N232)</f>
        <v>1231648</v>
      </c>
      <c r="O229" s="72">
        <f t="shared" si="58"/>
        <v>-0.29365084017626941</v>
      </c>
      <c r="P229" s="170"/>
      <c r="Q229" s="89">
        <f t="shared" ref="Q229" si="70">SUM(Q230:Q232)</f>
        <v>184591</v>
      </c>
      <c r="R229" s="90">
        <f t="shared" si="59"/>
        <v>0.14987317805087166</v>
      </c>
      <c r="S229" s="89"/>
    </row>
    <row r="230" spans="2:19" s="228" customFormat="1" ht="17.25" customHeight="1" x14ac:dyDescent="0.25">
      <c r="B230" s="227" t="s">
        <v>553</v>
      </c>
      <c r="C230" s="175" t="s">
        <v>554</v>
      </c>
      <c r="D230" s="140" t="s">
        <v>531</v>
      </c>
      <c r="E230" s="221">
        <v>540</v>
      </c>
      <c r="F230" s="221">
        <v>70593</v>
      </c>
      <c r="G230" s="222"/>
      <c r="H230" s="222"/>
      <c r="I230" s="222"/>
      <c r="J230" s="222"/>
      <c r="K230" s="222"/>
      <c r="L230" s="47">
        <v>71133</v>
      </c>
      <c r="M230" s="47">
        <v>71133</v>
      </c>
      <c r="N230" s="47">
        <f>ROUND(M230,0)</f>
        <v>71133</v>
      </c>
      <c r="O230" s="222">
        <f t="shared" si="58"/>
        <v>0</v>
      </c>
      <c r="P230" s="48"/>
      <c r="Q230" s="49">
        <v>11791</v>
      </c>
      <c r="R230" s="50">
        <f t="shared" si="59"/>
        <v>0.16575991452630987</v>
      </c>
      <c r="S230" s="49"/>
    </row>
    <row r="231" spans="2:19" s="228" customFormat="1" ht="18" customHeight="1" x14ac:dyDescent="0.25">
      <c r="C231" s="175" t="s">
        <v>555</v>
      </c>
      <c r="D231" s="140" t="s">
        <v>534</v>
      </c>
      <c r="E231" s="222"/>
      <c r="F231" s="222"/>
      <c r="G231" s="222"/>
      <c r="H231" s="222"/>
      <c r="I231" s="222"/>
      <c r="J231" s="222">
        <v>13500</v>
      </c>
      <c r="K231" s="222">
        <v>988268.29365084018</v>
      </c>
      <c r="L231" s="47">
        <v>1001768.2936508402</v>
      </c>
      <c r="M231" s="47">
        <v>1001768.2936508402</v>
      </c>
      <c r="N231" s="47">
        <f>ROUND(M231,0)</f>
        <v>1001768</v>
      </c>
      <c r="O231" s="222">
        <f t="shared" si="58"/>
        <v>-0.29365084017626941</v>
      </c>
      <c r="P231" s="67"/>
      <c r="Q231" s="49">
        <v>140245</v>
      </c>
      <c r="R231" s="50">
        <f t="shared" si="59"/>
        <v>0.13999748444749682</v>
      </c>
      <c r="S231" s="49" t="s">
        <v>535</v>
      </c>
    </row>
    <row r="232" spans="2:19" s="228" customFormat="1" ht="18" customHeight="1" x14ac:dyDescent="0.25">
      <c r="C232" s="175" t="s">
        <v>556</v>
      </c>
      <c r="D232" s="140" t="s">
        <v>549</v>
      </c>
      <c r="E232" s="222"/>
      <c r="F232" s="222"/>
      <c r="G232" s="222"/>
      <c r="H232" s="222"/>
      <c r="I232" s="87">
        <v>158747</v>
      </c>
      <c r="J232" s="222"/>
      <c r="K232" s="222"/>
      <c r="L232" s="47">
        <v>158747</v>
      </c>
      <c r="M232" s="47">
        <v>158747</v>
      </c>
      <c r="N232" s="47">
        <f>ROUND(M232,0)</f>
        <v>158747</v>
      </c>
      <c r="O232" s="222">
        <f>N232-M232</f>
        <v>0</v>
      </c>
      <c r="P232" s="67"/>
      <c r="Q232" s="204">
        <v>32555</v>
      </c>
      <c r="R232" s="50">
        <f t="shared" si="59"/>
        <v>0.20507474156991942</v>
      </c>
      <c r="S232" s="49"/>
    </row>
    <row r="233" spans="2:19" x14ac:dyDescent="0.25">
      <c r="C233" s="226" t="s">
        <v>557</v>
      </c>
      <c r="D233" s="177" t="s">
        <v>558</v>
      </c>
      <c r="E233" s="72">
        <v>4009</v>
      </c>
      <c r="F233" s="72">
        <v>77879</v>
      </c>
      <c r="G233" s="72">
        <v>0</v>
      </c>
      <c r="H233" s="72">
        <v>0</v>
      </c>
      <c r="I233" s="72">
        <v>0</v>
      </c>
      <c r="J233" s="72">
        <v>0</v>
      </c>
      <c r="K233" s="72">
        <v>2056111</v>
      </c>
      <c r="L233" s="72">
        <v>2137999</v>
      </c>
      <c r="M233" s="72">
        <v>2137999</v>
      </c>
      <c r="N233" s="72">
        <f>N234+N235+N236</f>
        <v>2137999</v>
      </c>
      <c r="O233" s="72">
        <f t="shared" si="58"/>
        <v>0</v>
      </c>
      <c r="P233" s="170"/>
      <c r="Q233" s="89">
        <f>Q234+Q235+Q236</f>
        <v>510585</v>
      </c>
      <c r="R233" s="90">
        <f t="shared" si="59"/>
        <v>0.2388144241414519</v>
      </c>
      <c r="S233" s="89"/>
    </row>
    <row r="234" spans="2:19" s="228" customFormat="1" x14ac:dyDescent="0.25">
      <c r="B234" s="227" t="s">
        <v>559</v>
      </c>
      <c r="C234" s="229" t="s">
        <v>560</v>
      </c>
      <c r="D234" s="230" t="s">
        <v>561</v>
      </c>
      <c r="E234" s="47">
        <v>4009</v>
      </c>
      <c r="F234" s="222">
        <v>77879</v>
      </c>
      <c r="G234" s="222"/>
      <c r="H234" s="222"/>
      <c r="I234" s="222"/>
      <c r="J234" s="222"/>
      <c r="K234" s="222">
        <v>543319</v>
      </c>
      <c r="L234" s="47">
        <v>625207</v>
      </c>
      <c r="M234" s="47">
        <v>625207</v>
      </c>
      <c r="N234" s="47">
        <f>ROUND(M234,0)</f>
        <v>625207</v>
      </c>
      <c r="O234" s="222">
        <f t="shared" si="58"/>
        <v>0</v>
      </c>
      <c r="P234" s="48"/>
      <c r="Q234" s="49">
        <v>138269</v>
      </c>
      <c r="R234" s="50">
        <f t="shared" si="59"/>
        <v>0.22115715275100886</v>
      </c>
      <c r="S234" s="49"/>
    </row>
    <row r="235" spans="2:19" s="228" customFormat="1" ht="16.149999999999999" customHeight="1" x14ac:dyDescent="0.25">
      <c r="B235" s="227" t="s">
        <v>562</v>
      </c>
      <c r="C235" s="229" t="s">
        <v>563</v>
      </c>
      <c r="D235" s="230" t="s">
        <v>564</v>
      </c>
      <c r="E235" s="222"/>
      <c r="F235" s="222"/>
      <c r="G235" s="222"/>
      <c r="H235" s="222"/>
      <c r="I235" s="222"/>
      <c r="J235" s="222"/>
      <c r="K235" s="222">
        <v>135000</v>
      </c>
      <c r="L235" s="47">
        <v>135000</v>
      </c>
      <c r="M235" s="47">
        <v>135000</v>
      </c>
      <c r="N235" s="47">
        <f>ROUND(M235,0)</f>
        <v>135000</v>
      </c>
      <c r="O235" s="222">
        <f t="shared" si="58"/>
        <v>0</v>
      </c>
      <c r="P235" s="48"/>
      <c r="Q235" s="262">
        <f>1540+370776</f>
        <v>372316</v>
      </c>
      <c r="R235" s="264">
        <f>Q235/(N235+N236)</f>
        <v>0.24611182502287163</v>
      </c>
      <c r="S235" s="49"/>
    </row>
    <row r="236" spans="2:19" x14ac:dyDescent="0.25">
      <c r="B236" s="84" t="s">
        <v>562</v>
      </c>
      <c r="C236" s="175" t="s">
        <v>565</v>
      </c>
      <c r="D236" s="140" t="s">
        <v>566</v>
      </c>
      <c r="E236" s="222"/>
      <c r="F236" s="222"/>
      <c r="G236" s="222"/>
      <c r="H236" s="222"/>
      <c r="I236" s="222"/>
      <c r="J236" s="222"/>
      <c r="K236" s="222">
        <v>1377792</v>
      </c>
      <c r="L236" s="47">
        <v>1377792</v>
      </c>
      <c r="M236" s="47">
        <v>1377792</v>
      </c>
      <c r="N236" s="47">
        <f>ROUND(M236,0)</f>
        <v>1377792</v>
      </c>
      <c r="O236" s="222">
        <f t="shared" si="58"/>
        <v>0</v>
      </c>
      <c r="P236" s="48"/>
      <c r="Q236" s="263"/>
      <c r="R236" s="265">
        <f t="shared" si="59"/>
        <v>0</v>
      </c>
      <c r="S236" s="49"/>
    </row>
    <row r="237" spans="2:19" s="157" customFormat="1" ht="15.75" customHeight="1" x14ac:dyDescent="0.2">
      <c r="C237" s="226" t="s">
        <v>567</v>
      </c>
      <c r="D237" s="177" t="s">
        <v>568</v>
      </c>
      <c r="E237" s="178">
        <v>85092</v>
      </c>
      <c r="F237" s="178">
        <v>966547</v>
      </c>
      <c r="G237" s="178">
        <v>2464</v>
      </c>
      <c r="H237" s="178">
        <v>0</v>
      </c>
      <c r="I237" s="178">
        <v>241081</v>
      </c>
      <c r="J237" s="178">
        <v>0</v>
      </c>
      <c r="K237" s="178">
        <v>682154.59305699996</v>
      </c>
      <c r="L237" s="178">
        <v>1977338.5930570001</v>
      </c>
      <c r="M237" s="178">
        <v>1977338.5930570001</v>
      </c>
      <c r="N237" s="178">
        <f t="shared" ref="N237" si="71">N238+N239+N240+N241+N242+N243+N244</f>
        <v>1974553</v>
      </c>
      <c r="O237" s="178">
        <f t="shared" si="58"/>
        <v>-2785.5930570000783</v>
      </c>
      <c r="P237" s="186"/>
      <c r="Q237" s="179">
        <f t="shared" ref="Q237" si="72">Q238+Q239+Q240+Q241+Q242+Q243+Q244</f>
        <v>387085</v>
      </c>
      <c r="R237" s="180">
        <f t="shared" si="59"/>
        <v>0.19603677389262278</v>
      </c>
      <c r="S237" s="179"/>
    </row>
    <row r="238" spans="2:19" s="44" customFormat="1" ht="17.25" customHeight="1" x14ac:dyDescent="0.25">
      <c r="B238" s="64" t="s">
        <v>569</v>
      </c>
      <c r="C238" s="175" t="s">
        <v>570</v>
      </c>
      <c r="D238" s="140" t="s">
        <v>531</v>
      </c>
      <c r="E238" s="47">
        <v>15567</v>
      </c>
      <c r="F238" s="47">
        <v>910600</v>
      </c>
      <c r="G238" s="47"/>
      <c r="H238" s="47"/>
      <c r="I238" s="47"/>
      <c r="J238" s="47"/>
      <c r="K238" s="47"/>
      <c r="L238" s="47">
        <v>926167</v>
      </c>
      <c r="M238" s="47">
        <v>926167</v>
      </c>
      <c r="N238" s="47">
        <f>ROUND(M238,0)</f>
        <v>926167</v>
      </c>
      <c r="O238" s="47">
        <f t="shared" si="58"/>
        <v>0</v>
      </c>
      <c r="P238" s="67"/>
      <c r="Q238" s="49">
        <f>159515-Q239</f>
        <v>149685</v>
      </c>
      <c r="R238" s="50">
        <f t="shared" si="59"/>
        <v>0.16161772121010573</v>
      </c>
      <c r="S238" s="49" t="s">
        <v>535</v>
      </c>
    </row>
    <row r="239" spans="2:19" s="44" customFormat="1" x14ac:dyDescent="0.25">
      <c r="B239" s="44" t="s">
        <v>569</v>
      </c>
      <c r="C239" s="175" t="s">
        <v>571</v>
      </c>
      <c r="D239" s="140" t="s">
        <v>572</v>
      </c>
      <c r="E239" s="47">
        <v>25376</v>
      </c>
      <c r="F239" s="47">
        <v>49493</v>
      </c>
      <c r="G239" s="47"/>
      <c r="H239" s="47"/>
      <c r="I239" s="47"/>
      <c r="J239" s="47"/>
      <c r="K239" s="47"/>
      <c r="L239" s="47">
        <v>74869</v>
      </c>
      <c r="M239" s="47">
        <v>74869</v>
      </c>
      <c r="N239" s="47">
        <f>ROUND(M239,0)</f>
        <v>74869</v>
      </c>
      <c r="O239" s="47">
        <f t="shared" si="58"/>
        <v>0</v>
      </c>
      <c r="P239" s="67"/>
      <c r="Q239" s="49">
        <v>9830</v>
      </c>
      <c r="R239" s="50">
        <f t="shared" si="59"/>
        <v>0.13129599700810748</v>
      </c>
      <c r="S239" s="49"/>
    </row>
    <row r="240" spans="2:19" s="44" customFormat="1" ht="17.25" customHeight="1" x14ac:dyDescent="0.25">
      <c r="B240" s="64" t="s">
        <v>573</v>
      </c>
      <c r="C240" s="175" t="s">
        <v>574</v>
      </c>
      <c r="D240" s="140" t="s">
        <v>534</v>
      </c>
      <c r="E240" s="47"/>
      <c r="F240" s="47"/>
      <c r="G240" s="47"/>
      <c r="H240" s="47"/>
      <c r="I240" s="47"/>
      <c r="J240" s="47">
        <v>0</v>
      </c>
      <c r="K240" s="47">
        <v>682154.59305699996</v>
      </c>
      <c r="L240" s="47">
        <v>682154.59305699996</v>
      </c>
      <c r="M240" s="47">
        <v>682154.59305699996</v>
      </c>
      <c r="N240" s="47">
        <f t="shared" ref="N240:N245" si="73">ROUND(M240,0)</f>
        <v>682155</v>
      </c>
      <c r="O240" s="47">
        <f t="shared" si="58"/>
        <v>0.40694300003815442</v>
      </c>
      <c r="P240" s="67"/>
      <c r="Q240" s="49">
        <v>144474</v>
      </c>
      <c r="R240" s="50">
        <f t="shared" si="59"/>
        <v>0.21179057545572488</v>
      </c>
      <c r="S240" s="49"/>
    </row>
    <row r="241" spans="2:19" s="44" customFormat="1" ht="17.25" customHeight="1" x14ac:dyDescent="0.25">
      <c r="B241" s="64"/>
      <c r="C241" s="175" t="s">
        <v>575</v>
      </c>
      <c r="D241" s="140" t="s">
        <v>549</v>
      </c>
      <c r="E241" s="47"/>
      <c r="F241" s="47"/>
      <c r="G241" s="47"/>
      <c r="H241" s="47"/>
      <c r="I241" s="87">
        <v>241081</v>
      </c>
      <c r="J241" s="47"/>
      <c r="K241" s="47"/>
      <c r="L241" s="47">
        <v>241081</v>
      </c>
      <c r="M241" s="47">
        <v>241081</v>
      </c>
      <c r="N241" s="47">
        <f t="shared" si="73"/>
        <v>241081</v>
      </c>
      <c r="O241" s="47">
        <f t="shared" si="58"/>
        <v>0</v>
      </c>
      <c r="P241" s="67"/>
      <c r="Q241" s="204">
        <v>58667</v>
      </c>
      <c r="R241" s="50">
        <f t="shared" si="59"/>
        <v>0.24334974552121486</v>
      </c>
      <c r="S241" s="49"/>
    </row>
    <row r="242" spans="2:19" s="44" customFormat="1" ht="16.899999999999999" customHeight="1" x14ac:dyDescent="0.25">
      <c r="B242" s="64" t="s">
        <v>576</v>
      </c>
      <c r="C242" s="175" t="s">
        <v>577</v>
      </c>
      <c r="D242" s="140" t="s">
        <v>578</v>
      </c>
      <c r="E242" s="47">
        <v>0</v>
      </c>
      <c r="F242" s="47">
        <v>6454</v>
      </c>
      <c r="G242" s="47"/>
      <c r="H242" s="47"/>
      <c r="I242" s="47"/>
      <c r="J242" s="47">
        <v>0</v>
      </c>
      <c r="K242" s="47"/>
      <c r="L242" s="47">
        <v>6454</v>
      </c>
      <c r="M242" s="47">
        <v>6454</v>
      </c>
      <c r="N242" s="47">
        <f>ROUND(M242,0)-2786</f>
        <v>3668</v>
      </c>
      <c r="O242" s="47">
        <f t="shared" si="58"/>
        <v>-2786</v>
      </c>
      <c r="P242" s="48" t="s">
        <v>165</v>
      </c>
      <c r="Q242" s="49">
        <v>344</v>
      </c>
      <c r="R242" s="50">
        <f t="shared" si="59"/>
        <v>9.3784078516902944E-2</v>
      </c>
      <c r="S242" s="49"/>
    </row>
    <row r="243" spans="2:19" s="157" customFormat="1" ht="18.75" customHeight="1" x14ac:dyDescent="0.25">
      <c r="B243" s="84" t="s">
        <v>579</v>
      </c>
      <c r="C243" s="175" t="s">
        <v>580</v>
      </c>
      <c r="D243" s="140" t="s">
        <v>581</v>
      </c>
      <c r="E243" s="47">
        <v>44149</v>
      </c>
      <c r="F243" s="47"/>
      <c r="G243" s="47">
        <v>2464</v>
      </c>
      <c r="H243" s="47"/>
      <c r="I243" s="47"/>
      <c r="J243" s="47">
        <v>0</v>
      </c>
      <c r="K243" s="47"/>
      <c r="L243" s="47">
        <v>46613</v>
      </c>
      <c r="M243" s="47">
        <v>46613</v>
      </c>
      <c r="N243" s="47">
        <f t="shared" si="73"/>
        <v>46613</v>
      </c>
      <c r="O243" s="47">
        <f t="shared" si="58"/>
        <v>0</v>
      </c>
      <c r="P243" s="48"/>
      <c r="Q243" s="49">
        <v>24085</v>
      </c>
      <c r="R243" s="50">
        <f t="shared" si="59"/>
        <v>0.51670134940896317</v>
      </c>
      <c r="S243" s="49"/>
    </row>
    <row r="244" spans="2:19" s="157" customFormat="1" ht="15" customHeight="1" x14ac:dyDescent="0.25">
      <c r="B244" s="84" t="s">
        <v>582</v>
      </c>
      <c r="C244" s="175" t="s">
        <v>583</v>
      </c>
      <c r="D244" s="140" t="s">
        <v>584</v>
      </c>
      <c r="E244" s="47"/>
      <c r="F244" s="47"/>
      <c r="G244" s="47"/>
      <c r="H244" s="47"/>
      <c r="I244" s="47"/>
      <c r="J244" s="47"/>
      <c r="K244" s="47"/>
      <c r="L244" s="47">
        <v>0</v>
      </c>
      <c r="M244" s="47">
        <v>0</v>
      </c>
      <c r="N244" s="47">
        <f t="shared" si="73"/>
        <v>0</v>
      </c>
      <c r="O244" s="47">
        <f t="shared" si="58"/>
        <v>0</v>
      </c>
      <c r="P244" s="48"/>
      <c r="Q244" s="49">
        <f t="shared" ref="Q244" si="74">ROUND(P244,0)</f>
        <v>0</v>
      </c>
      <c r="R244" s="50"/>
      <c r="S244" s="49"/>
    </row>
    <row r="245" spans="2:19" s="44" customFormat="1" ht="15.75" customHeight="1" x14ac:dyDescent="0.25">
      <c r="B245" s="84" t="s">
        <v>585</v>
      </c>
      <c r="C245" s="226" t="s">
        <v>586</v>
      </c>
      <c r="D245" s="177" t="s">
        <v>314</v>
      </c>
      <c r="E245" s="178"/>
      <c r="F245" s="178"/>
      <c r="G245" s="178"/>
      <c r="H245" s="178">
        <v>582946</v>
      </c>
      <c r="I245" s="178"/>
      <c r="J245" s="178">
        <v>253687.39</v>
      </c>
      <c r="K245" s="178"/>
      <c r="L245" s="178">
        <v>836633.39</v>
      </c>
      <c r="M245" s="178">
        <v>836633.39</v>
      </c>
      <c r="N245" s="178">
        <f t="shared" si="73"/>
        <v>836633</v>
      </c>
      <c r="O245" s="178">
        <f>N245-M245</f>
        <v>-0.39000000001396984</v>
      </c>
      <c r="P245" s="88"/>
      <c r="Q245" s="179">
        <v>36481</v>
      </c>
      <c r="R245" s="180">
        <f t="shared" si="59"/>
        <v>4.3604543449756346E-2</v>
      </c>
      <c r="S245" s="89" t="s">
        <v>587</v>
      </c>
    </row>
    <row r="246" spans="2:19" s="44" customFormat="1" ht="15.75" customHeight="1" x14ac:dyDescent="0.25">
      <c r="B246" s="64"/>
      <c r="C246" s="226" t="s">
        <v>588</v>
      </c>
      <c r="D246" s="177" t="s">
        <v>589</v>
      </c>
      <c r="E246" s="178">
        <v>374973</v>
      </c>
      <c r="F246" s="178">
        <v>3899747</v>
      </c>
      <c r="G246" s="178">
        <v>0</v>
      </c>
      <c r="H246" s="178">
        <v>390000</v>
      </c>
      <c r="I246" s="178">
        <v>0</v>
      </c>
      <c r="J246" s="178">
        <v>72120</v>
      </c>
      <c r="K246" s="178">
        <v>2503606.2743386501</v>
      </c>
      <c r="L246" s="178">
        <v>7240446.2743386505</v>
      </c>
      <c r="M246" s="178">
        <v>7240446.2743386505</v>
      </c>
      <c r="N246" s="178">
        <f>N247+N248+N249+N250+N251+N252+N253+N254</f>
        <v>7249299</v>
      </c>
      <c r="O246" s="178">
        <f t="shared" si="58"/>
        <v>8852.7256613494828</v>
      </c>
      <c r="P246" s="88"/>
      <c r="Q246" s="179">
        <f>Q247+Q248+Q249+Q250+Q251+Q252+Q253+Q254</f>
        <v>1268034</v>
      </c>
      <c r="R246" s="180">
        <f t="shared" si="59"/>
        <v>0.17491815415531903</v>
      </c>
      <c r="S246" s="179"/>
    </row>
    <row r="247" spans="2:19" s="44" customFormat="1" ht="17.25" customHeight="1" x14ac:dyDescent="0.25">
      <c r="B247" s="64" t="s">
        <v>590</v>
      </c>
      <c r="C247" s="175" t="s">
        <v>591</v>
      </c>
      <c r="D247" s="140" t="s">
        <v>531</v>
      </c>
      <c r="E247" s="47">
        <v>108854</v>
      </c>
      <c r="F247" s="47">
        <v>3641789</v>
      </c>
      <c r="G247" s="47"/>
      <c r="H247" s="47"/>
      <c r="I247" s="47"/>
      <c r="J247" s="47"/>
      <c r="K247" s="47"/>
      <c r="L247" s="47">
        <v>3750643</v>
      </c>
      <c r="M247" s="47">
        <v>3750643</v>
      </c>
      <c r="N247" s="47">
        <f>ROUND(M247,0)</f>
        <v>3750643</v>
      </c>
      <c r="O247" s="47">
        <f t="shared" si="58"/>
        <v>0</v>
      </c>
      <c r="P247" s="67"/>
      <c r="Q247" s="49">
        <f>647096-Q253</f>
        <v>619164</v>
      </c>
      <c r="R247" s="50">
        <f t="shared" si="59"/>
        <v>0.16508209392362858</v>
      </c>
      <c r="S247" s="49"/>
    </row>
    <row r="248" spans="2:19" s="44" customFormat="1" ht="19.899999999999999" customHeight="1" x14ac:dyDescent="0.25">
      <c r="B248" s="64" t="s">
        <v>592</v>
      </c>
      <c r="C248" s="175" t="s">
        <v>593</v>
      </c>
      <c r="D248" s="140" t="s">
        <v>534</v>
      </c>
      <c r="E248" s="47"/>
      <c r="F248" s="47"/>
      <c r="G248" s="47"/>
      <c r="H248" s="47"/>
      <c r="I248" s="47"/>
      <c r="J248" s="47">
        <v>69120</v>
      </c>
      <c r="K248" s="47">
        <v>1356697.7494320502</v>
      </c>
      <c r="L248" s="47">
        <v>1425817.7494320502</v>
      </c>
      <c r="M248" s="47">
        <v>1425817.7494320502</v>
      </c>
      <c r="N248" s="47">
        <f>ROUND(M248,0)+10864</f>
        <v>1436682</v>
      </c>
      <c r="O248" s="47">
        <f t="shared" si="58"/>
        <v>10864.250567949843</v>
      </c>
      <c r="P248" s="67" t="s">
        <v>594</v>
      </c>
      <c r="Q248" s="49">
        <v>314944</v>
      </c>
      <c r="R248" s="50">
        <f t="shared" si="59"/>
        <v>0.2192162218222265</v>
      </c>
      <c r="S248" s="49"/>
    </row>
    <row r="249" spans="2:19" s="44" customFormat="1" ht="17.45" customHeight="1" x14ac:dyDescent="0.25">
      <c r="B249" s="44" t="s">
        <v>595</v>
      </c>
      <c r="C249" s="175" t="s">
        <v>596</v>
      </c>
      <c r="D249" s="140" t="s">
        <v>581</v>
      </c>
      <c r="E249" s="47">
        <v>250373</v>
      </c>
      <c r="F249" s="47"/>
      <c r="G249" s="47"/>
      <c r="H249" s="47"/>
      <c r="I249" s="47"/>
      <c r="J249" s="47">
        <v>0</v>
      </c>
      <c r="K249" s="47"/>
      <c r="L249" s="47">
        <v>250373</v>
      </c>
      <c r="M249" s="47">
        <v>250373</v>
      </c>
      <c r="N249" s="47">
        <f>ROUND(M249,0)</f>
        <v>250373</v>
      </c>
      <c r="O249" s="47">
        <f t="shared" si="58"/>
        <v>0</v>
      </c>
      <c r="P249" s="48"/>
      <c r="Q249" s="49">
        <v>83576</v>
      </c>
      <c r="R249" s="50">
        <f t="shared" si="59"/>
        <v>0.3338059615054339</v>
      </c>
      <c r="S249" s="49"/>
    </row>
    <row r="250" spans="2:19" s="44" customFormat="1" ht="16.149999999999999" customHeight="1" x14ac:dyDescent="0.25">
      <c r="B250" s="64" t="s">
        <v>597</v>
      </c>
      <c r="C250" s="175" t="s">
        <v>598</v>
      </c>
      <c r="D250" s="140" t="s">
        <v>578</v>
      </c>
      <c r="E250" s="47">
        <v>54</v>
      </c>
      <c r="F250" s="47">
        <v>16104</v>
      </c>
      <c r="G250" s="47"/>
      <c r="H250" s="47"/>
      <c r="I250" s="47"/>
      <c r="J250" s="47">
        <v>0</v>
      </c>
      <c r="K250" s="47"/>
      <c r="L250" s="47">
        <v>16158</v>
      </c>
      <c r="M250" s="47">
        <v>16158</v>
      </c>
      <c r="N250" s="47">
        <f>ROUND(M250,0)-2011</f>
        <v>14147</v>
      </c>
      <c r="O250" s="47">
        <f t="shared" si="58"/>
        <v>-2011</v>
      </c>
      <c r="P250" s="48" t="s">
        <v>165</v>
      </c>
      <c r="Q250" s="49">
        <v>4069</v>
      </c>
      <c r="R250" s="50">
        <f t="shared" si="59"/>
        <v>0.28762281755849295</v>
      </c>
      <c r="S250" s="49"/>
    </row>
    <row r="251" spans="2:19" s="231" customFormat="1" ht="42" customHeight="1" x14ac:dyDescent="0.25">
      <c r="B251" s="64" t="s">
        <v>592</v>
      </c>
      <c r="C251" s="175" t="s">
        <v>599</v>
      </c>
      <c r="D251" s="140" t="s">
        <v>316</v>
      </c>
      <c r="E251" s="47"/>
      <c r="F251" s="47"/>
      <c r="G251" s="47"/>
      <c r="H251" s="47">
        <v>390000</v>
      </c>
      <c r="I251" s="47"/>
      <c r="J251" s="47">
        <v>0</v>
      </c>
      <c r="K251" s="47"/>
      <c r="L251" s="47">
        <v>390000</v>
      </c>
      <c r="M251" s="47">
        <v>390000</v>
      </c>
      <c r="N251" s="47">
        <f>ROUND(M251,0)</f>
        <v>390000</v>
      </c>
      <c r="O251" s="47">
        <f t="shared" si="58"/>
        <v>0</v>
      </c>
      <c r="P251" s="67"/>
      <c r="Q251" s="49">
        <f>ROUND(P251,0)</f>
        <v>0</v>
      </c>
      <c r="R251" s="50">
        <f t="shared" si="59"/>
        <v>0</v>
      </c>
      <c r="S251" s="49"/>
    </row>
    <row r="252" spans="2:19" s="231" customFormat="1" ht="19.149999999999999" customHeight="1" x14ac:dyDescent="0.25">
      <c r="B252" s="232" t="s">
        <v>600</v>
      </c>
      <c r="C252" s="175" t="s">
        <v>601</v>
      </c>
      <c r="D252" s="140" t="s">
        <v>602</v>
      </c>
      <c r="E252" s="47"/>
      <c r="F252" s="47"/>
      <c r="G252" s="47"/>
      <c r="H252" s="47"/>
      <c r="I252" s="47"/>
      <c r="J252" s="47">
        <v>3000</v>
      </c>
      <c r="K252" s="47">
        <v>835367.24456400005</v>
      </c>
      <c r="L252" s="47">
        <v>838367.24456400005</v>
      </c>
      <c r="M252" s="47">
        <v>838367.24456400005</v>
      </c>
      <c r="N252" s="47">
        <f>ROUND(M252,0)</f>
        <v>838367</v>
      </c>
      <c r="O252" s="47">
        <f t="shared" si="58"/>
        <v>-0.24456400005146861</v>
      </c>
      <c r="P252" s="67" t="s">
        <v>603</v>
      </c>
      <c r="Q252" s="49">
        <v>165814</v>
      </c>
      <c r="R252" s="50">
        <f t="shared" si="59"/>
        <v>0.19778211690107078</v>
      </c>
      <c r="S252" s="49"/>
    </row>
    <row r="253" spans="2:19" s="231" customFormat="1" ht="15" customHeight="1" x14ac:dyDescent="0.25">
      <c r="B253" s="64" t="s">
        <v>590</v>
      </c>
      <c r="C253" s="175" t="s">
        <v>604</v>
      </c>
      <c r="D253" s="140" t="s">
        <v>605</v>
      </c>
      <c r="E253" s="47">
        <v>7451</v>
      </c>
      <c r="F253" s="47">
        <v>166307</v>
      </c>
      <c r="G253" s="47"/>
      <c r="H253" s="47"/>
      <c r="I253" s="47"/>
      <c r="J253" s="47"/>
      <c r="K253" s="47"/>
      <c r="L253" s="47">
        <v>173758</v>
      </c>
      <c r="M253" s="47">
        <v>173758</v>
      </c>
      <c r="N253" s="47">
        <f>ROUND(M253,0)</f>
        <v>173758</v>
      </c>
      <c r="O253" s="47">
        <f t="shared" si="58"/>
        <v>0</v>
      </c>
      <c r="P253" s="48"/>
      <c r="Q253" s="49">
        <v>27932</v>
      </c>
      <c r="R253" s="50">
        <f t="shared" si="59"/>
        <v>0.16075231068497567</v>
      </c>
      <c r="S253" s="49"/>
    </row>
    <row r="254" spans="2:19" s="238" customFormat="1" ht="13.9" customHeight="1" x14ac:dyDescent="0.25">
      <c r="B254" s="232"/>
      <c r="C254" s="233" t="s">
        <v>606</v>
      </c>
      <c r="D254" s="234" t="s">
        <v>607</v>
      </c>
      <c r="E254" s="235">
        <v>8241</v>
      </c>
      <c r="F254" s="235">
        <v>75547</v>
      </c>
      <c r="G254" s="235">
        <v>0</v>
      </c>
      <c r="H254" s="235">
        <v>0</v>
      </c>
      <c r="I254" s="235">
        <v>0</v>
      </c>
      <c r="J254" s="235">
        <v>0</v>
      </c>
      <c r="K254" s="235">
        <v>311541.28034260002</v>
      </c>
      <c r="L254" s="235">
        <v>395329.28034260002</v>
      </c>
      <c r="M254" s="235">
        <v>395329.28034260002</v>
      </c>
      <c r="N254" s="235">
        <f t="shared" ref="N254:O254" si="75">N255+N256</f>
        <v>395329</v>
      </c>
      <c r="O254" s="235">
        <f t="shared" si="75"/>
        <v>-0.28034260001732036</v>
      </c>
      <c r="P254" s="235"/>
      <c r="Q254" s="236">
        <f t="shared" ref="Q254" si="76">Q255+Q256</f>
        <v>52535</v>
      </c>
      <c r="R254" s="237">
        <f t="shared" si="59"/>
        <v>0.13288931497562789</v>
      </c>
      <c r="S254" s="236"/>
    </row>
    <row r="255" spans="2:19" s="231" customFormat="1" ht="12" customHeight="1" x14ac:dyDescent="0.25">
      <c r="B255" s="84" t="s">
        <v>608</v>
      </c>
      <c r="C255" s="239" t="s">
        <v>609</v>
      </c>
      <c r="D255" s="140" t="s">
        <v>610</v>
      </c>
      <c r="E255" s="47">
        <v>8241</v>
      </c>
      <c r="F255" s="47">
        <v>75547</v>
      </c>
      <c r="G255" s="47"/>
      <c r="H255" s="47"/>
      <c r="I255" s="47"/>
      <c r="J255" s="47"/>
      <c r="K255" s="47"/>
      <c r="L255" s="47">
        <v>83788</v>
      </c>
      <c r="M255" s="47">
        <v>83788</v>
      </c>
      <c r="N255" s="47">
        <f>ROUND(M255,0)</f>
        <v>83788</v>
      </c>
      <c r="O255" s="47">
        <f t="shared" si="58"/>
        <v>0</v>
      </c>
      <c r="P255" s="67"/>
      <c r="Q255" s="49">
        <v>11790</v>
      </c>
      <c r="R255" s="50">
        <f t="shared" si="59"/>
        <v>0.1407122738339619</v>
      </c>
      <c r="S255" s="49" t="s">
        <v>535</v>
      </c>
    </row>
    <row r="256" spans="2:19" s="157" customFormat="1" ht="12.6" customHeight="1" x14ac:dyDescent="0.25">
      <c r="B256" s="232" t="s">
        <v>611</v>
      </c>
      <c r="C256" s="239" t="s">
        <v>612</v>
      </c>
      <c r="D256" s="140" t="s">
        <v>613</v>
      </c>
      <c r="E256" s="47"/>
      <c r="F256" s="47"/>
      <c r="G256" s="47"/>
      <c r="H256" s="47"/>
      <c r="I256" s="47"/>
      <c r="J256" s="47"/>
      <c r="K256" s="47">
        <v>311541.28034260002</v>
      </c>
      <c r="L256" s="47">
        <v>311541.28034260002</v>
      </c>
      <c r="M256" s="47">
        <v>311541.28034260002</v>
      </c>
      <c r="N256" s="47">
        <f>ROUND(M256,0)</f>
        <v>311541</v>
      </c>
      <c r="O256" s="47">
        <f t="shared" si="58"/>
        <v>-0.28034260001732036</v>
      </c>
      <c r="P256" s="48"/>
      <c r="Q256" s="49">
        <v>40745</v>
      </c>
      <c r="R256" s="50">
        <f t="shared" si="59"/>
        <v>0.13078535409464564</v>
      </c>
      <c r="S256" s="49"/>
    </row>
    <row r="257" spans="2:19" ht="18" customHeight="1" x14ac:dyDescent="0.25">
      <c r="C257" s="226" t="s">
        <v>614</v>
      </c>
      <c r="D257" s="177" t="s">
        <v>615</v>
      </c>
      <c r="E257" s="178">
        <v>0</v>
      </c>
      <c r="F257" s="178">
        <v>593640</v>
      </c>
      <c r="G257" s="178">
        <v>0</v>
      </c>
      <c r="H257" s="178">
        <v>0</v>
      </c>
      <c r="I257" s="178">
        <v>0</v>
      </c>
      <c r="J257" s="178">
        <v>6000</v>
      </c>
      <c r="K257" s="178">
        <v>889452.98177700012</v>
      </c>
      <c r="L257" s="178">
        <v>1489092.9817770002</v>
      </c>
      <c r="M257" s="178">
        <v>1489092.9817770002</v>
      </c>
      <c r="N257" s="178">
        <f t="shared" ref="N257" si="77">N258+N259</f>
        <v>1541382</v>
      </c>
      <c r="O257" s="178">
        <f t="shared" si="58"/>
        <v>52289.018222999759</v>
      </c>
      <c r="P257" s="178"/>
      <c r="Q257" s="179">
        <f t="shared" ref="Q257" si="78">Q258+Q259</f>
        <v>223030</v>
      </c>
      <c r="R257" s="180">
        <f t="shared" si="59"/>
        <v>0.14469482581216078</v>
      </c>
      <c r="S257" s="179"/>
    </row>
    <row r="258" spans="2:19" ht="13.5" customHeight="1" x14ac:dyDescent="0.25">
      <c r="C258" s="175" t="s">
        <v>616</v>
      </c>
      <c r="D258" s="140" t="s">
        <v>617</v>
      </c>
      <c r="E258" s="47">
        <v>0</v>
      </c>
      <c r="F258" s="221">
        <v>593640</v>
      </c>
      <c r="G258" s="47"/>
      <c r="H258" s="47"/>
      <c r="I258" s="47"/>
      <c r="J258" s="47"/>
      <c r="K258" s="47"/>
      <c r="L258" s="47">
        <v>593640</v>
      </c>
      <c r="M258" s="47">
        <v>593640</v>
      </c>
      <c r="N258" s="47">
        <f>ROUND(M258,0)+52289</f>
        <v>645929</v>
      </c>
      <c r="O258" s="47">
        <f t="shared" si="58"/>
        <v>52289</v>
      </c>
      <c r="P258" s="67" t="s">
        <v>134</v>
      </c>
      <c r="Q258" s="49">
        <v>98334</v>
      </c>
      <c r="R258" s="50">
        <f t="shared" si="59"/>
        <v>0.15223654612194221</v>
      </c>
      <c r="S258" s="49"/>
    </row>
    <row r="259" spans="2:19" ht="28.9" customHeight="1" x14ac:dyDescent="0.25">
      <c r="C259" s="175" t="s">
        <v>618</v>
      </c>
      <c r="D259" s="140" t="s">
        <v>534</v>
      </c>
      <c r="E259" s="47"/>
      <c r="F259" s="47"/>
      <c r="G259" s="47"/>
      <c r="H259" s="47"/>
      <c r="I259" s="47"/>
      <c r="J259" s="47">
        <v>6000</v>
      </c>
      <c r="K259" s="47">
        <v>889452.98177700012</v>
      </c>
      <c r="L259" s="47">
        <v>895452.98177700012</v>
      </c>
      <c r="M259" s="47">
        <v>895452.98177700012</v>
      </c>
      <c r="N259" s="47">
        <f>ROUND(M259,0)</f>
        <v>895453</v>
      </c>
      <c r="O259" s="47">
        <f t="shared" ref="O259:O277" si="79">N259-M259</f>
        <v>1.8222999875433743E-2</v>
      </c>
      <c r="P259" s="240"/>
      <c r="Q259" s="49">
        <f>124689+7</f>
        <v>124696</v>
      </c>
      <c r="R259" s="50">
        <f t="shared" ref="R259:R277" si="80">Q259/N259</f>
        <v>0.1392546565816408</v>
      </c>
      <c r="S259" s="68" t="s">
        <v>619</v>
      </c>
    </row>
    <row r="260" spans="2:19" ht="16.149999999999999" customHeight="1" x14ac:dyDescent="0.25">
      <c r="C260" s="241" t="s">
        <v>620</v>
      </c>
      <c r="D260" s="177" t="s">
        <v>621</v>
      </c>
      <c r="E260" s="178">
        <v>20</v>
      </c>
      <c r="F260" s="178">
        <v>299288</v>
      </c>
      <c r="G260" s="178">
        <v>0</v>
      </c>
      <c r="H260" s="178">
        <v>0</v>
      </c>
      <c r="I260" s="178">
        <v>0</v>
      </c>
      <c r="J260" s="178">
        <v>0</v>
      </c>
      <c r="K260" s="178">
        <v>343948.80554049998</v>
      </c>
      <c r="L260" s="178">
        <v>643256.80554049998</v>
      </c>
      <c r="M260" s="178">
        <v>643256.80554049998</v>
      </c>
      <c r="N260" s="178">
        <f>N261+N262</f>
        <v>643257</v>
      </c>
      <c r="O260" s="178">
        <f t="shared" si="79"/>
        <v>0.19445950002409518</v>
      </c>
      <c r="P260" s="186"/>
      <c r="Q260" s="179">
        <f>Q261+Q262</f>
        <v>84780</v>
      </c>
      <c r="R260" s="180">
        <f t="shared" si="80"/>
        <v>0.1317980216305458</v>
      </c>
      <c r="S260" s="179"/>
    </row>
    <row r="261" spans="2:19" ht="16.5" customHeight="1" x14ac:dyDescent="0.25">
      <c r="B261" s="84" t="s">
        <v>622</v>
      </c>
      <c r="C261" s="175" t="s">
        <v>623</v>
      </c>
      <c r="D261" s="140" t="s">
        <v>617</v>
      </c>
      <c r="E261" s="221">
        <v>20</v>
      </c>
      <c r="F261" s="221">
        <v>299288</v>
      </c>
      <c r="G261" s="47"/>
      <c r="H261" s="47"/>
      <c r="I261" s="47"/>
      <c r="J261" s="47"/>
      <c r="K261" s="47"/>
      <c r="L261" s="47">
        <v>299308</v>
      </c>
      <c r="M261" s="47">
        <v>299308</v>
      </c>
      <c r="N261" s="47">
        <f t="shared" ref="N261:N267" si="81">ROUND(M261,0)</f>
        <v>299308</v>
      </c>
      <c r="O261" s="47">
        <f t="shared" si="79"/>
        <v>0</v>
      </c>
      <c r="P261" s="48"/>
      <c r="Q261" s="49">
        <v>45315</v>
      </c>
      <c r="R261" s="50">
        <f t="shared" si="80"/>
        <v>0.15139922755155225</v>
      </c>
      <c r="S261" s="49"/>
    </row>
    <row r="262" spans="2:19" ht="16.5" customHeight="1" x14ac:dyDescent="0.25">
      <c r="B262" s="84" t="s">
        <v>624</v>
      </c>
      <c r="C262" s="175" t="s">
        <v>625</v>
      </c>
      <c r="D262" s="140" t="s">
        <v>626</v>
      </c>
      <c r="E262" s="47"/>
      <c r="F262" s="47"/>
      <c r="G262" s="47"/>
      <c r="H262" s="47"/>
      <c r="I262" s="47"/>
      <c r="J262" s="47"/>
      <c r="K262" s="47">
        <v>343948.80554049998</v>
      </c>
      <c r="L262" s="47">
        <v>343948.80554049998</v>
      </c>
      <c r="M262" s="47">
        <v>343948.80554049998</v>
      </c>
      <c r="N262" s="47">
        <f t="shared" si="81"/>
        <v>343949</v>
      </c>
      <c r="O262" s="47">
        <f t="shared" si="79"/>
        <v>0.19445950002409518</v>
      </c>
      <c r="P262" s="67"/>
      <c r="Q262" s="49">
        <v>39465</v>
      </c>
      <c r="R262" s="50">
        <f t="shared" si="80"/>
        <v>0.11474084820714699</v>
      </c>
      <c r="S262" s="49"/>
    </row>
    <row r="263" spans="2:19" ht="18.75" customHeight="1" x14ac:dyDescent="0.25">
      <c r="B263" s="84" t="s">
        <v>627</v>
      </c>
      <c r="C263" s="241" t="s">
        <v>628</v>
      </c>
      <c r="D263" s="177" t="s">
        <v>629</v>
      </c>
      <c r="E263" s="214">
        <v>606</v>
      </c>
      <c r="F263" s="214"/>
      <c r="G263" s="214"/>
      <c r="H263" s="214"/>
      <c r="I263" s="214"/>
      <c r="J263" s="214">
        <v>89935</v>
      </c>
      <c r="K263" s="72">
        <v>225484.5193245</v>
      </c>
      <c r="L263" s="72">
        <v>316025.5193245</v>
      </c>
      <c r="M263" s="72">
        <v>316025.5193245</v>
      </c>
      <c r="N263" s="72">
        <f t="shared" si="81"/>
        <v>316026</v>
      </c>
      <c r="O263" s="72">
        <f t="shared" si="79"/>
        <v>0.48067550000268966</v>
      </c>
      <c r="P263" s="88"/>
      <c r="Q263" s="89">
        <v>35162</v>
      </c>
      <c r="R263" s="90">
        <f t="shared" si="80"/>
        <v>0.11126299734831945</v>
      </c>
      <c r="S263" s="89" t="s">
        <v>630</v>
      </c>
    </row>
    <row r="264" spans="2:19" ht="32.450000000000003" customHeight="1" x14ac:dyDescent="0.25">
      <c r="B264" s="84"/>
      <c r="C264" s="241" t="s">
        <v>631</v>
      </c>
      <c r="D264" s="177" t="s">
        <v>632</v>
      </c>
      <c r="E264" s="214"/>
      <c r="F264" s="214"/>
      <c r="G264" s="214"/>
      <c r="H264" s="214"/>
      <c r="I264" s="214"/>
      <c r="J264" s="214">
        <v>3000</v>
      </c>
      <c r="K264" s="72"/>
      <c r="L264" s="72">
        <v>3000</v>
      </c>
      <c r="M264" s="72">
        <v>3000</v>
      </c>
      <c r="N264" s="72">
        <f t="shared" si="81"/>
        <v>3000</v>
      </c>
      <c r="O264" s="72"/>
      <c r="P264" s="88"/>
      <c r="Q264" s="89">
        <v>0</v>
      </c>
      <c r="R264" s="90">
        <f t="shared" si="80"/>
        <v>0</v>
      </c>
      <c r="S264" s="89"/>
    </row>
    <row r="265" spans="2:19" ht="43.9" customHeight="1" x14ac:dyDescent="0.25">
      <c r="B265" s="84" t="s">
        <v>633</v>
      </c>
      <c r="C265" s="241" t="s">
        <v>634</v>
      </c>
      <c r="D265" s="177" t="s">
        <v>635</v>
      </c>
      <c r="E265" s="214">
        <v>16292</v>
      </c>
      <c r="F265" s="214"/>
      <c r="G265" s="214"/>
      <c r="H265" s="214"/>
      <c r="I265" s="214"/>
      <c r="J265" s="214">
        <v>0</v>
      </c>
      <c r="K265" s="214"/>
      <c r="L265" s="72">
        <v>16292</v>
      </c>
      <c r="M265" s="72">
        <v>16292</v>
      </c>
      <c r="N265" s="72">
        <f t="shared" si="81"/>
        <v>16292</v>
      </c>
      <c r="O265" s="72">
        <f t="shared" si="79"/>
        <v>0</v>
      </c>
      <c r="P265" s="88"/>
      <c r="Q265" s="89">
        <v>1927</v>
      </c>
      <c r="R265" s="90">
        <f t="shared" si="80"/>
        <v>0.11827890989442671</v>
      </c>
      <c r="S265" s="89"/>
    </row>
    <row r="266" spans="2:19" ht="27" customHeight="1" x14ac:dyDescent="0.25">
      <c r="B266" s="84" t="s">
        <v>636</v>
      </c>
      <c r="C266" s="241" t="s">
        <v>637</v>
      </c>
      <c r="D266" s="177" t="s">
        <v>220</v>
      </c>
      <c r="E266" s="214">
        <v>1049</v>
      </c>
      <c r="F266" s="214"/>
      <c r="G266" s="214"/>
      <c r="H266" s="214"/>
      <c r="I266" s="214"/>
      <c r="J266" s="214">
        <v>0</v>
      </c>
      <c r="K266" s="214"/>
      <c r="L266" s="72">
        <v>1049</v>
      </c>
      <c r="M266" s="72">
        <v>1049</v>
      </c>
      <c r="N266" s="72">
        <f t="shared" si="81"/>
        <v>1049</v>
      </c>
      <c r="O266" s="72">
        <f t="shared" si="79"/>
        <v>0</v>
      </c>
      <c r="P266" s="88"/>
      <c r="Q266" s="89">
        <v>0</v>
      </c>
      <c r="R266" s="90">
        <f t="shared" si="80"/>
        <v>0</v>
      </c>
      <c r="S266" s="89" t="s">
        <v>638</v>
      </c>
    </row>
    <row r="267" spans="2:19" ht="57.6" customHeight="1" x14ac:dyDescent="0.25">
      <c r="B267" s="84" t="s">
        <v>639</v>
      </c>
      <c r="C267" s="241" t="s">
        <v>640</v>
      </c>
      <c r="D267" s="177" t="s">
        <v>641</v>
      </c>
      <c r="E267" s="214">
        <v>6300</v>
      </c>
      <c r="F267" s="214"/>
      <c r="G267" s="214"/>
      <c r="H267" s="214"/>
      <c r="I267" s="214"/>
      <c r="J267" s="214">
        <v>700</v>
      </c>
      <c r="K267" s="214"/>
      <c r="L267" s="72">
        <v>7000</v>
      </c>
      <c r="M267" s="72">
        <v>7000</v>
      </c>
      <c r="N267" s="72">
        <f t="shared" si="81"/>
        <v>7000</v>
      </c>
      <c r="O267" s="72">
        <f t="shared" si="79"/>
        <v>0</v>
      </c>
      <c r="P267" s="88"/>
      <c r="Q267" s="89">
        <v>370</v>
      </c>
      <c r="R267" s="90">
        <f t="shared" si="80"/>
        <v>5.2857142857142859E-2</v>
      </c>
      <c r="S267" s="89"/>
    </row>
    <row r="268" spans="2:19" ht="27" customHeight="1" x14ac:dyDescent="0.25">
      <c r="C268" s="226" t="s">
        <v>642</v>
      </c>
      <c r="D268" s="177" t="s">
        <v>208</v>
      </c>
      <c r="E268" s="214">
        <v>24529</v>
      </c>
      <c r="F268" s="214">
        <v>0</v>
      </c>
      <c r="G268" s="214">
        <v>81714</v>
      </c>
      <c r="H268" s="214">
        <v>0</v>
      </c>
      <c r="I268" s="214">
        <v>0</v>
      </c>
      <c r="J268" s="214">
        <v>0</v>
      </c>
      <c r="K268" s="214">
        <v>0</v>
      </c>
      <c r="L268" s="214">
        <v>106243</v>
      </c>
      <c r="M268" s="214">
        <v>106243</v>
      </c>
      <c r="N268" s="214">
        <f>N269+N270</f>
        <v>106243</v>
      </c>
      <c r="O268" s="72">
        <f t="shared" si="79"/>
        <v>0</v>
      </c>
      <c r="P268" s="88"/>
      <c r="Q268" s="215">
        <f>Q269+Q270</f>
        <v>7445</v>
      </c>
      <c r="R268" s="216">
        <f t="shared" si="80"/>
        <v>7.0075204954679365E-2</v>
      </c>
      <c r="S268" s="215"/>
    </row>
    <row r="269" spans="2:19" ht="14.45" customHeight="1" x14ac:dyDescent="0.25">
      <c r="B269" s="84" t="s">
        <v>643</v>
      </c>
      <c r="C269" s="175" t="s">
        <v>644</v>
      </c>
      <c r="D269" s="140" t="s">
        <v>645</v>
      </c>
      <c r="E269" s="47">
        <v>24529</v>
      </c>
      <c r="F269" s="47"/>
      <c r="G269" s="47">
        <v>46414</v>
      </c>
      <c r="H269" s="47"/>
      <c r="I269" s="47"/>
      <c r="J269" s="47">
        <v>0</v>
      </c>
      <c r="K269" s="47"/>
      <c r="L269" s="47">
        <v>70943</v>
      </c>
      <c r="M269" s="47">
        <v>70943</v>
      </c>
      <c r="N269" s="47">
        <f>ROUND(M269,0)</f>
        <v>70943</v>
      </c>
      <c r="O269" s="47">
        <f t="shared" si="79"/>
        <v>0</v>
      </c>
      <c r="P269" s="67"/>
      <c r="Q269" s="49">
        <v>7445</v>
      </c>
      <c r="R269" s="50">
        <f t="shared" si="80"/>
        <v>0.10494340526901878</v>
      </c>
      <c r="S269" s="49"/>
    </row>
    <row r="270" spans="2:19" s="157" customFormat="1" ht="15" customHeight="1" thickBot="1" x14ac:dyDescent="0.3">
      <c r="B270" s="84" t="s">
        <v>646</v>
      </c>
      <c r="C270" s="175" t="s">
        <v>647</v>
      </c>
      <c r="D270" s="140" t="s">
        <v>648</v>
      </c>
      <c r="E270" s="47"/>
      <c r="F270" s="47"/>
      <c r="G270" s="47">
        <v>35300</v>
      </c>
      <c r="H270" s="47"/>
      <c r="I270" s="47"/>
      <c r="J270" s="47">
        <v>0</v>
      </c>
      <c r="K270" s="47"/>
      <c r="L270" s="47">
        <v>35300</v>
      </c>
      <c r="M270" s="47">
        <v>35300</v>
      </c>
      <c r="N270" s="47">
        <f>ROUND(M270,0)</f>
        <v>35300</v>
      </c>
      <c r="O270" s="47">
        <f t="shared" si="79"/>
        <v>0</v>
      </c>
      <c r="P270" s="67"/>
      <c r="Q270" s="49">
        <v>0</v>
      </c>
      <c r="R270" s="50">
        <f t="shared" si="80"/>
        <v>0</v>
      </c>
      <c r="S270" s="49"/>
    </row>
    <row r="271" spans="2:19" s="157" customFormat="1" ht="17.45" hidden="1" customHeight="1" outlineLevel="1" x14ac:dyDescent="0.2">
      <c r="C271" s="171" t="s">
        <v>649</v>
      </c>
      <c r="D271" s="172" t="s">
        <v>650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>
        <v>0</v>
      </c>
      <c r="K271" s="53">
        <v>0</v>
      </c>
      <c r="L271" s="53">
        <v>0</v>
      </c>
      <c r="M271" s="53">
        <v>0</v>
      </c>
      <c r="N271" s="53">
        <f>SUM(N272:N273)</f>
        <v>0</v>
      </c>
      <c r="O271" s="53">
        <f t="shared" si="79"/>
        <v>0</v>
      </c>
      <c r="P271" s="54"/>
      <c r="Q271" s="55">
        <f>SUM(Q272:Q273)</f>
        <v>0</v>
      </c>
      <c r="R271" s="56"/>
      <c r="S271" s="55"/>
    </row>
    <row r="272" spans="2:19" ht="17.25" hidden="1" customHeight="1" outlineLevel="1" x14ac:dyDescent="0.25">
      <c r="C272" s="168" t="s">
        <v>128</v>
      </c>
      <c r="D272" s="169" t="s">
        <v>651</v>
      </c>
      <c r="E272" s="72"/>
      <c r="F272" s="72"/>
      <c r="G272" s="72"/>
      <c r="H272" s="72"/>
      <c r="I272" s="72"/>
      <c r="J272" s="178"/>
      <c r="K272" s="72"/>
      <c r="L272" s="72">
        <v>0</v>
      </c>
      <c r="M272" s="72"/>
      <c r="N272" s="72"/>
      <c r="O272" s="72">
        <f t="shared" si="79"/>
        <v>0</v>
      </c>
      <c r="P272" s="88"/>
      <c r="Q272" s="89"/>
      <c r="R272" s="90"/>
      <c r="S272" s="89"/>
    </row>
    <row r="273" spans="3:19" ht="15.75" hidden="1" outlineLevel="1" thickBot="1" x14ac:dyDescent="0.3">
      <c r="C273" s="168" t="s">
        <v>188</v>
      </c>
      <c r="D273" s="169" t="s">
        <v>652</v>
      </c>
      <c r="E273" s="72"/>
      <c r="F273" s="72"/>
      <c r="G273" s="72"/>
      <c r="H273" s="72"/>
      <c r="I273" s="72"/>
      <c r="J273" s="72"/>
      <c r="K273" s="72"/>
      <c r="L273" s="72">
        <v>0</v>
      </c>
      <c r="M273" s="72"/>
      <c r="N273" s="72"/>
      <c r="O273" s="72">
        <f t="shared" si="79"/>
        <v>0</v>
      </c>
      <c r="P273" s="88"/>
      <c r="Q273" s="89"/>
      <c r="R273" s="90"/>
      <c r="S273" s="89"/>
    </row>
    <row r="274" spans="3:19" s="157" customFormat="1" ht="30" customHeight="1" collapsed="1" thickBot="1" x14ac:dyDescent="0.25">
      <c r="C274" s="242"/>
      <c r="D274" s="243" t="s">
        <v>653</v>
      </c>
      <c r="E274" s="244">
        <v>1443112.69</v>
      </c>
      <c r="F274" s="244">
        <v>7953316</v>
      </c>
      <c r="G274" s="244">
        <v>1556503.1</v>
      </c>
      <c r="H274" s="244">
        <v>4267404.0022</v>
      </c>
      <c r="I274" s="244">
        <v>8981289.8361329995</v>
      </c>
      <c r="J274" s="244">
        <v>3291651.8800000004</v>
      </c>
      <c r="K274" s="244">
        <v>27040255.615886025</v>
      </c>
      <c r="L274" s="244">
        <v>54533533.12421903</v>
      </c>
      <c r="M274" s="244">
        <v>54533532.808720239</v>
      </c>
      <c r="N274" s="244">
        <f>N131+N141+N143+N144+N149+N151+N185+N198+N217+N271+0.5</f>
        <v>54591888.5</v>
      </c>
      <c r="O274" s="244">
        <f t="shared" si="79"/>
        <v>58355.691279761493</v>
      </c>
      <c r="P274" s="245"/>
      <c r="Q274" s="246">
        <f>Q131+Q141+Q143+Q144+Q149+Q151+Q185+Q198+Q217+Q271+0.5</f>
        <v>9001409.8599999994</v>
      </c>
      <c r="R274" s="247">
        <f t="shared" si="80"/>
        <v>0.16488548220858854</v>
      </c>
      <c r="S274" s="246"/>
    </row>
    <row r="275" spans="3:19" s="44" customFormat="1" ht="15.75" customHeight="1" thickBot="1" x14ac:dyDescent="0.3">
      <c r="C275" s="171" t="s">
        <v>244</v>
      </c>
      <c r="D275" s="172" t="s">
        <v>654</v>
      </c>
      <c r="E275" s="53">
        <v>7851</v>
      </c>
      <c r="F275" s="53"/>
      <c r="G275" s="53">
        <v>104321.39</v>
      </c>
      <c r="H275" s="53"/>
      <c r="I275" s="53"/>
      <c r="J275" s="53">
        <v>-5.9999999997671694E-2</v>
      </c>
      <c r="K275" s="53">
        <v>3489717.8079218101</v>
      </c>
      <c r="L275" s="53">
        <v>3601890.1379218102</v>
      </c>
      <c r="M275" s="53">
        <v>3601890.1379218102</v>
      </c>
      <c r="N275" s="53">
        <f>ROUND(M275,0)</f>
        <v>3601890</v>
      </c>
      <c r="O275" s="53">
        <f t="shared" si="79"/>
        <v>-0.13792181015014648</v>
      </c>
      <c r="P275" s="65"/>
      <c r="Q275" s="55">
        <v>951427</v>
      </c>
      <c r="R275" s="56">
        <f t="shared" si="80"/>
        <v>0.26414660081235131</v>
      </c>
      <c r="S275" s="55"/>
    </row>
    <row r="276" spans="3:19" ht="15.75" thickBot="1" x14ac:dyDescent="0.3">
      <c r="C276" s="242"/>
      <c r="D276" s="243" t="s">
        <v>655</v>
      </c>
      <c r="E276" s="248">
        <v>1450963.69</v>
      </c>
      <c r="F276" s="248">
        <v>7953316</v>
      </c>
      <c r="G276" s="248">
        <v>1660824.49</v>
      </c>
      <c r="H276" s="248">
        <v>4267404.0022</v>
      </c>
      <c r="I276" s="248">
        <v>8981289.8361329995</v>
      </c>
      <c r="J276" s="248">
        <v>3291651.8200000003</v>
      </c>
      <c r="K276" s="248">
        <v>30529973.423807837</v>
      </c>
      <c r="L276" s="248">
        <v>58135423.26214084</v>
      </c>
      <c r="M276" s="248">
        <v>58135422.946642049</v>
      </c>
      <c r="N276" s="248">
        <f>N274+N275</f>
        <v>58193778.5</v>
      </c>
      <c r="O276" s="248">
        <f t="shared" si="79"/>
        <v>58355.553357951343</v>
      </c>
      <c r="P276" s="249"/>
      <c r="Q276" s="250">
        <f>Q274+Q275</f>
        <v>9952836.8599999994</v>
      </c>
      <c r="R276" s="251">
        <f t="shared" si="80"/>
        <v>0.17102922540078747</v>
      </c>
      <c r="S276" s="250"/>
    </row>
    <row r="277" spans="3:19" ht="16.5" thickTop="1" thickBot="1" x14ac:dyDescent="0.3">
      <c r="C277" s="252" t="s">
        <v>656</v>
      </c>
      <c r="D277" s="253" t="s">
        <v>657</v>
      </c>
      <c r="E277" s="254">
        <v>0.25</v>
      </c>
      <c r="F277" s="254">
        <v>0</v>
      </c>
      <c r="G277" s="254">
        <v>0</v>
      </c>
      <c r="H277" s="254">
        <v>0</v>
      </c>
      <c r="I277" s="254">
        <v>-5167738.8361329995</v>
      </c>
      <c r="J277" s="254">
        <v>-3291651.8200000003</v>
      </c>
      <c r="K277" s="254">
        <v>2195706.5761921629</v>
      </c>
      <c r="L277" s="254">
        <v>26873.030059166253</v>
      </c>
      <c r="M277" s="254">
        <v>26873.285557955503</v>
      </c>
      <c r="N277" s="254">
        <f>N125-N276-0.2</f>
        <v>26873.3</v>
      </c>
      <c r="O277" s="254">
        <f t="shared" si="79"/>
        <v>1.4442044495808659E-2</v>
      </c>
      <c r="P277" s="255"/>
      <c r="Q277" s="256">
        <f>Q125-Q276-0.2</f>
        <v>8194221.9400000004</v>
      </c>
      <c r="R277" s="257">
        <f t="shared" si="80"/>
        <v>304.92056948718619</v>
      </c>
      <c r="S277" s="256"/>
    </row>
  </sheetData>
  <mergeCells count="11">
    <mergeCell ref="C2:D2"/>
    <mergeCell ref="C3:D3"/>
    <mergeCell ref="Q54:Q55"/>
    <mergeCell ref="R54:R55"/>
    <mergeCell ref="Q57:Q58"/>
    <mergeCell ref="R57:R58"/>
    <mergeCell ref="C128:D128"/>
    <mergeCell ref="C129:D129"/>
    <mergeCell ref="R157:R158"/>
    <mergeCell ref="Q235:Q236"/>
    <mergeCell ref="R235:R236"/>
  </mergeCells>
  <conditionalFormatting sqref="E277:O277">
    <cfRule type="cellIs" dxfId="1" priority="2" operator="lessThan">
      <formula>0</formula>
    </cfRule>
  </conditionalFormatting>
  <conditionalFormatting sqref="Q277:S277">
    <cfRule type="cellIs" dxfId="0" priority="1" operator="lessThan">
      <formula>0</formula>
    </cfRule>
  </conditionalFormatting>
  <pageMargins left="0.47244094488188981" right="0.47244094488188981" top="0.47244094488188981" bottom="0.47244094488188981" header="0.27559055118110237" footer="0.27559055118110237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2023.gada budzeta plans_apvieno</vt:lpstr>
      <vt:lpstr>'2023.gada budzeta plans_apvieno'!Print_Area</vt:lpstr>
      <vt:lpstr>'2023.gada budzeta plans_apvieno'!Print_Titles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Linda Povlovska</cp:lastModifiedBy>
  <dcterms:created xsi:type="dcterms:W3CDTF">2023-04-13T10:39:42Z</dcterms:created>
  <dcterms:modified xsi:type="dcterms:W3CDTF">2023-04-27T14:08:23Z</dcterms:modified>
</cp:coreProperties>
</file>