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Povlovska\Desktop\"/>
    </mc:Choice>
  </mc:AlternateContent>
  <xr:revisionPtr revIDLastSave="0" documentId="8_{4C74FB42-7163-43DD-AEE8-1B7FD0DF00D9}" xr6:coauthVersionLast="47" xr6:coauthVersionMax="47" xr10:uidLastSave="{00000000-0000-0000-0000-000000000000}"/>
  <bookViews>
    <workbookView xWindow="1935" yWindow="2130" windowWidth="17250" windowHeight="8865" xr2:uid="{8A7000B0-810F-4564-9111-3919F892E58F}"/>
  </bookViews>
  <sheets>
    <sheet name="2023.gada budzeta plans_apvieno" sheetId="4" r:id="rId1"/>
    <sheet name="4.piel_Saistibas" sheetId="5" r:id="rId2"/>
    <sheet name="Investicijas" sheetId="2" r:id="rId3"/>
    <sheet name="Kreditu_procenti" sheetId="3" r:id="rId4"/>
  </sheets>
  <externalReferences>
    <externalReference r:id="rId5"/>
    <externalReference r:id="rId6"/>
    <externalReference r:id="rId7"/>
    <externalReference r:id="rId8"/>
  </externalReferences>
  <definedNames>
    <definedName name="_0812" localSheetId="0">[1]Groz_NIN_12_2014!#REF!</definedName>
    <definedName name="_0812" localSheetId="1">[1]Groz_NIN_12_2014!#REF!</definedName>
    <definedName name="_0812">[1]Groz_NIN_12_2014!#REF!</definedName>
    <definedName name="_xlnm._FilterDatabase" localSheetId="0" hidden="1">'2023.gada budzeta plans_apvieno'!#REF!</definedName>
    <definedName name="Apmaksa" localSheetId="0">[2]Apmaksa!$A:$A</definedName>
    <definedName name="Apmaksa" localSheetId="1">[3]Apmaksa!$A$1:$A$65536</definedName>
    <definedName name="Apmaksa">[3]Apmaksa!$A$1:$A$65536</definedName>
    <definedName name="Darijums" localSheetId="0">[2]Darijums!$A:$A</definedName>
    <definedName name="Darijums" localSheetId="1">[3]Darijums!$A$1:$A$65536</definedName>
    <definedName name="Darijums">[3]Darijums!$A$1:$A$65536</definedName>
    <definedName name="Excel_BuiltIn__FilterDatabase" localSheetId="0">[1]Groz_NIN_12_2014!#REF!</definedName>
    <definedName name="Excel_BuiltIn__FilterDatabase" localSheetId="1">[1]Groz_NIN_12_2014!#REF!</definedName>
    <definedName name="Excel_BuiltIn__FilterDatabase">[1]Groz_NIN_12_2014!#REF!</definedName>
    <definedName name="Firmas" localSheetId="0">[2]Firma!$A:$A</definedName>
    <definedName name="Firmas" localSheetId="1">[3]Firma!$A$1:$A$65536</definedName>
    <definedName name="Firmas">[3]Firma!$A$1:$A$65536</definedName>
    <definedName name="KolonnasNosaukums1">[4]!Piedāvājums[[#Headers],[Apraksts]]</definedName>
    <definedName name="Parvadataji" localSheetId="0">[2]Ligumi!$A:$A</definedName>
    <definedName name="Parvadataji" localSheetId="1">[3]Ligumi!$A$1:$A$65536</definedName>
    <definedName name="Parvadataji">[3]Ligumi!$A$1:$A$65536</definedName>
    <definedName name="_xlnm.Print_Area" localSheetId="0">'2023.gada budzeta plans_apvieno'!#REF!</definedName>
    <definedName name="_xlnm.Print_Area" localSheetId="1">'4.piel_Saistibas'!$A$1:$M$176</definedName>
    <definedName name="_xlnm.Print_Titles" localSheetId="0">'2023.gada budzeta plans_apvieno'!$5:$5</definedName>
    <definedName name="_xlnm.Print_Titles" localSheetId="1">'4.piel_Saistibas'!$6:$6</definedName>
    <definedName name="Saist_apmers_ar_galvojumu">[3]Ligumi!$A$1:$A$65536</definedName>
    <definedName name="Z_1893421C_DBAA_4C10_AA6C_4D0F39122205_.wvu.FilterData" localSheetId="0">[1]Groz_NIN_12_2014!#REF!</definedName>
    <definedName name="Z_1893421C_DBAA_4C10_AA6C_4D0F39122205_.wvu.FilterData" localSheetId="1">[1]Groz_NIN_12_2014!#REF!</definedName>
    <definedName name="Z_1893421C_DBAA_4C10_AA6C_4D0F39122205_.wvu.FilterData">[1]Groz_NIN_12_2014!#REF!</definedName>
    <definedName name="Z_483F8D4B_D649_4D59_A67B_5E8B6C0D2E28_.wvu.FilterData" localSheetId="0">[1]Groz_NIN_12_2014!#REF!</definedName>
    <definedName name="Z_483F8D4B_D649_4D59_A67B_5E8B6C0D2E28_.wvu.FilterData" localSheetId="1">[1]Groz_NIN_12_2014!#REF!</definedName>
    <definedName name="Z_483F8D4B_D649_4D59_A67B_5E8B6C0D2E28_.wvu.FilterData">[1]Groz_NIN_12_2014!#REF!</definedName>
    <definedName name="Z_56A06D27_97E5_4D01_ADCE_F8E0A2A870EF_.wvu.FilterData" localSheetId="0">[1]Groz_NIN_12_2014!#REF!</definedName>
    <definedName name="Z_56A06D27_97E5_4D01_ADCE_F8E0A2A870EF_.wvu.FilterData" localSheetId="1">[1]Groz_NIN_12_2014!#REF!</definedName>
    <definedName name="Z_56A06D27_97E5_4D01_ADCE_F8E0A2A870EF_.wvu.FilterData">[1]Groz_NIN_12_2014!#REF!</definedName>
    <definedName name="Z_81EB1DB6_89AB_4045_90FA_EF2BA7E792F9_.wvu.FilterData" localSheetId="0">[1]Groz_NIN_12_2014!#REF!</definedName>
    <definedName name="Z_81EB1DB6_89AB_4045_90FA_EF2BA7E792F9_.wvu.FilterData" localSheetId="1">[1]Groz_NIN_12_2014!#REF!</definedName>
    <definedName name="Z_81EB1DB6_89AB_4045_90FA_EF2BA7E792F9_.wvu.FilterData">[1]Groz_NIN_12_2014!#REF!</definedName>
    <definedName name="Z_81EB1DB6_89AB_4045_90FA_EF2BA7E792F9_.wvu.PrintArea" localSheetId="0">[1]Groz_NIN_12_2014!#REF!</definedName>
    <definedName name="Z_81EB1DB6_89AB_4045_90FA_EF2BA7E792F9_.wvu.PrintArea" localSheetId="1">[1]Groz_NIN_12_2014!#REF!</definedName>
    <definedName name="Z_81EB1DB6_89AB_4045_90FA_EF2BA7E792F9_.wvu.PrintArea">[1]Groz_NIN_12_2014!#REF!</definedName>
    <definedName name="Z_8545B4E6_A517_4BD7_BFB7_42FEB5F229AD_.wvu.FilterData" localSheetId="0">[1]Groz_NIN_12_2014!#REF!</definedName>
    <definedName name="Z_8545B4E6_A517_4BD7_BFB7_42FEB5F229AD_.wvu.FilterData" localSheetId="1">[1]Groz_NIN_12_2014!#REF!</definedName>
    <definedName name="Z_8545B4E6_A517_4BD7_BFB7_42FEB5F229AD_.wvu.FilterData">[1]Groz_NIN_12_2014!#REF!</definedName>
    <definedName name="Z_877A1030_2452_46B0_88DF_8A068656C08E_.wvu.FilterData" localSheetId="0">[1]Groz_NIN_12_2014!#REF!</definedName>
    <definedName name="Z_877A1030_2452_46B0_88DF_8A068656C08E_.wvu.FilterData" localSheetId="1">[1]Groz_NIN_12_2014!#REF!</definedName>
    <definedName name="Z_877A1030_2452_46B0_88DF_8A068656C08E_.wvu.FilterData">[1]Groz_NIN_12_2014!#REF!</definedName>
    <definedName name="Z_ABD8A783_3A6C_4629_9559_1E4E89E80131_.wvu.FilterData" localSheetId="0">[1]Groz_NIN_12_2014!#REF!</definedName>
    <definedName name="Z_ABD8A783_3A6C_4629_9559_1E4E89E80131_.wvu.FilterData" localSheetId="1">[1]Groz_NIN_12_2014!#REF!</definedName>
    <definedName name="Z_ABD8A783_3A6C_4629_9559_1E4E89E80131_.wvu.FilterData">[1]Groz_NIN_12_2014!#REF!</definedName>
    <definedName name="Z_AF277C95_CBD9_4696_AC72_D010599E9831_.wvu.FilterData" localSheetId="0">[1]Groz_NIN_12_2014!#REF!</definedName>
    <definedName name="Z_AF277C95_CBD9_4696_AC72_D010599E9831_.wvu.FilterData" localSheetId="1">[1]Groz_NIN_12_2014!#REF!</definedName>
    <definedName name="Z_AF277C95_CBD9_4696_AC72_D010599E9831_.wvu.FilterData">[1]Groz_NIN_12_2014!#REF!</definedName>
    <definedName name="Z_B7CBCF06_FF41_423A_9AB3_E1D1F70C6FC5_.wvu.FilterData" localSheetId="0">[1]Groz_NIN_12_2014!#REF!</definedName>
    <definedName name="Z_B7CBCF06_FF41_423A_9AB3_E1D1F70C6FC5_.wvu.FilterData" localSheetId="1">[1]Groz_NIN_12_2014!#REF!</definedName>
    <definedName name="Z_B7CBCF06_FF41_423A_9AB3_E1D1F70C6FC5_.wvu.FilterData">[1]Groz_NIN_12_2014!#REF!</definedName>
    <definedName name="Z_C5511FB8_86C5_41F3_ADCD_B10310F066F5_.wvu.FilterData" localSheetId="0">[1]Groz_NIN_12_2014!#REF!</definedName>
    <definedName name="Z_C5511FB8_86C5_41F3_ADCD_B10310F066F5_.wvu.FilterData" localSheetId="1">[1]Groz_NIN_12_2014!#REF!</definedName>
    <definedName name="Z_C5511FB8_86C5_41F3_ADCD_B10310F066F5_.wvu.FilterData">[1]Groz_NIN_12_2014!#REF!</definedName>
    <definedName name="Z_DB8ECBD1_2D44_4F97_BCC9_F610BA0A3109_.wvu.FilterData" localSheetId="0">[1]Groz_NIN_12_2014!#REF!</definedName>
    <definedName name="Z_DB8ECBD1_2D44_4F97_BCC9_F610BA0A3109_.wvu.FilterData" localSheetId="1">[1]Groz_NIN_12_2014!#REF!</definedName>
    <definedName name="Z_DB8ECBD1_2D44_4F97_BCC9_F610BA0A3109_.wvu.FilterData">[1]Groz_NIN_12_2014!#REF!</definedName>
    <definedName name="Z_DEE3A27E_689A_4E9F_A3EB_C84F1E3B413E_.wvu.FilterData" localSheetId="0">[1]Groz_NIN_12_2014!#REF!</definedName>
    <definedName name="Z_DEE3A27E_689A_4E9F_A3EB_C84F1E3B413E_.wvu.FilterData" localSheetId="1">[1]Groz_NIN_12_2014!#REF!</definedName>
    <definedName name="Z_DEE3A27E_689A_4E9F_A3EB_C84F1E3B413E_.wvu.FilterData">[1]Groz_NIN_12_2014!#REF!</definedName>
    <definedName name="Z_F1F489B9_0F61_4F1F_A151_75EF77465344_.wvu.Cols" localSheetId="0">[1]Groz_NIN_12_2014!#REF!</definedName>
    <definedName name="Z_F1F489B9_0F61_4F1F_A151_75EF77465344_.wvu.Cols" localSheetId="1">[1]Groz_NIN_12_2014!#REF!</definedName>
    <definedName name="Z_F1F489B9_0F61_4F1F_A151_75EF77465344_.wvu.Cols">[1]Groz_NIN_12_2014!#REF!</definedName>
    <definedName name="Z_F1F489B9_0F61_4F1F_A151_75EF77465344_.wvu.FilterData" localSheetId="0">[1]Groz_NIN_12_2014!#REF!</definedName>
    <definedName name="Z_F1F489B9_0F61_4F1F_A151_75EF77465344_.wvu.FilterData" localSheetId="1">[1]Groz_NIN_12_2014!#REF!</definedName>
    <definedName name="Z_F1F489B9_0F61_4F1F_A151_75EF77465344_.wvu.FilterData">[1]Groz_NIN_12_2014!#REF!</definedName>
    <definedName name="Z_F1F489B9_0F61_4F1F_A151_75EF77465344_.wvu.PrintArea" localSheetId="0">[1]Groz_NIN_12_2014!#REF!</definedName>
    <definedName name="Z_F1F489B9_0F61_4F1F_A151_75EF77465344_.wvu.PrintArea" localSheetId="1">[1]Groz_NIN_12_2014!#REF!</definedName>
    <definedName name="Z_F1F489B9_0F61_4F1F_A151_75EF77465344_.wvu.PrintArea">[1]Groz_NIN_12_2014!#REF!</definedName>
    <definedName name="Z_F1F489B9_0F61_4F1F_A151_75EF77465344_.wvu.PrintTitles" localSheetId="0">[1]Groz_NIN_12_2014!#REF!</definedName>
    <definedName name="Z_F1F489B9_0F61_4F1F_A151_75EF77465344_.wvu.PrintTitles" localSheetId="1">[1]Groz_NIN_12_2014!#REF!</definedName>
    <definedName name="Z_F1F489B9_0F61_4F1F_A151_75EF77465344_.wvu.PrintTitles">[1]Groz_NIN_12_2014!#REF!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1" i="4" l="1"/>
  <c r="I174" i="4" l="1"/>
  <c r="B25" i="2"/>
  <c r="I125" i="4"/>
  <c r="I112" i="4" s="1"/>
  <c r="F112" i="4"/>
  <c r="F125" i="4"/>
  <c r="J125" i="4" s="1"/>
  <c r="G125" i="4" l="1"/>
  <c r="B20" i="2"/>
  <c r="E2" i="2" s="1"/>
  <c r="F271" i="4"/>
  <c r="F276" i="4"/>
  <c r="J274" i="4"/>
  <c r="G274" i="4"/>
  <c r="J273" i="4"/>
  <c r="G273" i="4"/>
  <c r="I272" i="4"/>
  <c r="F272" i="4"/>
  <c r="F270" i="4"/>
  <c r="I270" i="4" s="1"/>
  <c r="J270" i="4" s="1"/>
  <c r="F268" i="4"/>
  <c r="F267" i="4"/>
  <c r="I267" i="4" s="1"/>
  <c r="J267" i="4" s="1"/>
  <c r="F266" i="4"/>
  <c r="F265" i="4"/>
  <c r="I265" i="4" s="1"/>
  <c r="J265" i="4" s="1"/>
  <c r="F264" i="4"/>
  <c r="F263" i="4"/>
  <c r="I263" i="4" s="1"/>
  <c r="J263" i="4" s="1"/>
  <c r="F262" i="4"/>
  <c r="F260" i="4"/>
  <c r="F259" i="4"/>
  <c r="I259" i="4" s="1"/>
  <c r="F257" i="4"/>
  <c r="F256" i="4"/>
  <c r="I256" i="4" s="1"/>
  <c r="F254" i="4"/>
  <c r="F253" i="4"/>
  <c r="I253" i="4" s="1"/>
  <c r="J253" i="4" s="1"/>
  <c r="F252" i="4"/>
  <c r="I252" i="4" s="1"/>
  <c r="J252" i="4" s="1"/>
  <c r="F251" i="4"/>
  <c r="I251" i="4" s="1"/>
  <c r="J251" i="4" s="1"/>
  <c r="F250" i="4"/>
  <c r="F249" i="4"/>
  <c r="F248" i="4"/>
  <c r="G248" i="4" s="1"/>
  <c r="F246" i="4"/>
  <c r="G246" i="4" s="1"/>
  <c r="F245" i="4"/>
  <c r="I245" i="4" s="1"/>
  <c r="J245" i="4" s="1"/>
  <c r="F244" i="4"/>
  <c r="F243" i="4"/>
  <c r="F242" i="4"/>
  <c r="I242" i="4" s="1"/>
  <c r="J242" i="4" s="1"/>
  <c r="F241" i="4"/>
  <c r="F240" i="4"/>
  <c r="F239" i="4"/>
  <c r="G239" i="4" s="1"/>
  <c r="F237" i="4"/>
  <c r="I237" i="4" s="1"/>
  <c r="J237" i="4" s="1"/>
  <c r="F236" i="4"/>
  <c r="F235" i="4"/>
  <c r="F233" i="4"/>
  <c r="G233" i="4" s="1"/>
  <c r="F232" i="4"/>
  <c r="I232" i="4" s="1"/>
  <c r="F231" i="4"/>
  <c r="I231" i="4" s="1"/>
  <c r="J231" i="4" s="1"/>
  <c r="F229" i="4"/>
  <c r="F228" i="4"/>
  <c r="G228" i="4" s="1"/>
  <c r="F227" i="4"/>
  <c r="G227" i="4" s="1"/>
  <c r="F225" i="4"/>
  <c r="I225" i="4" s="1"/>
  <c r="J225" i="4" s="1"/>
  <c r="F224" i="4"/>
  <c r="F223" i="4" s="1"/>
  <c r="F222" i="4"/>
  <c r="F221" i="4"/>
  <c r="F219" i="4"/>
  <c r="F217" i="4"/>
  <c r="I217" i="4" s="1"/>
  <c r="J217" i="4" s="1"/>
  <c r="F216" i="4"/>
  <c r="I216" i="4" s="1"/>
  <c r="J216" i="4" s="1"/>
  <c r="F215" i="4"/>
  <c r="I215" i="4" s="1"/>
  <c r="J215" i="4" s="1"/>
  <c r="F214" i="4"/>
  <c r="I214" i="4" s="1"/>
  <c r="J214" i="4" s="1"/>
  <c r="F213" i="4"/>
  <c r="F212" i="4"/>
  <c r="F211" i="4"/>
  <c r="F210" i="4"/>
  <c r="F208" i="4"/>
  <c r="F207" i="4"/>
  <c r="G207" i="4" s="1"/>
  <c r="F205" i="4"/>
  <c r="F204" i="4"/>
  <c r="G204" i="4" s="1"/>
  <c r="F203" i="4"/>
  <c r="F202" i="4"/>
  <c r="G202" i="4" s="1"/>
  <c r="F201" i="4"/>
  <c r="G201" i="4" s="1"/>
  <c r="F198" i="4"/>
  <c r="F197" i="4"/>
  <c r="F196" i="4"/>
  <c r="F195" i="4"/>
  <c r="F194" i="4"/>
  <c r="F193" i="4"/>
  <c r="F192" i="4"/>
  <c r="G192" i="4" s="1"/>
  <c r="F191" i="4"/>
  <c r="J191" i="4" s="1"/>
  <c r="F190" i="4"/>
  <c r="G190" i="4" s="1"/>
  <c r="F189" i="4"/>
  <c r="F188" i="4"/>
  <c r="F185" i="4"/>
  <c r="G185" i="4" s="1"/>
  <c r="F184" i="4"/>
  <c r="I184" i="4" s="1"/>
  <c r="J184" i="4" s="1"/>
  <c r="F183" i="4"/>
  <c r="G183" i="4" s="1"/>
  <c r="F182" i="4"/>
  <c r="F181" i="4"/>
  <c r="I181" i="4" s="1"/>
  <c r="J181" i="4" s="1"/>
  <c r="F180" i="4"/>
  <c r="I180" i="4" s="1"/>
  <c r="J180" i="4" s="1"/>
  <c r="F179" i="4"/>
  <c r="F178" i="4"/>
  <c r="G178" i="4" s="1"/>
  <c r="F177" i="4"/>
  <c r="I177" i="4" s="1"/>
  <c r="J177" i="4" s="1"/>
  <c r="F176" i="4"/>
  <c r="I176" i="4" s="1"/>
  <c r="F175" i="4"/>
  <c r="I175" i="4" s="1"/>
  <c r="J175" i="4" s="1"/>
  <c r="F174" i="4"/>
  <c r="F172" i="4"/>
  <c r="G172" i="4" s="1"/>
  <c r="F171" i="4"/>
  <c r="G171" i="4" s="1"/>
  <c r="F170" i="4"/>
  <c r="F169" i="4"/>
  <c r="F168" i="4"/>
  <c r="I168" i="4" s="1"/>
  <c r="I166" i="4"/>
  <c r="J166" i="4" s="1"/>
  <c r="G166" i="4"/>
  <c r="I165" i="4"/>
  <c r="J165" i="4" s="1"/>
  <c r="G165" i="4"/>
  <c r="I164" i="4"/>
  <c r="F164" i="4"/>
  <c r="G164" i="4" s="1"/>
  <c r="F163" i="4"/>
  <c r="G163" i="4" s="1"/>
  <c r="F162" i="4"/>
  <c r="I162" i="4" s="1"/>
  <c r="J162" i="4" s="1"/>
  <c r="F161" i="4"/>
  <c r="F160" i="4"/>
  <c r="G160" i="4" s="1"/>
  <c r="F159" i="4"/>
  <c r="F158" i="4"/>
  <c r="F157" i="4"/>
  <c r="F155" i="4"/>
  <c r="I155" i="4" s="1"/>
  <c r="J155" i="4" s="1"/>
  <c r="F154" i="4"/>
  <c r="I154" i="4" s="1"/>
  <c r="J154" i="4" s="1"/>
  <c r="F153" i="4"/>
  <c r="I153" i="4" s="1"/>
  <c r="J153" i="4" s="1"/>
  <c r="F151" i="4"/>
  <c r="F150" i="4" s="1"/>
  <c r="G150" i="4" s="1"/>
  <c r="F149" i="4"/>
  <c r="F148" i="4"/>
  <c r="F147" i="4"/>
  <c r="G147" i="4" s="1"/>
  <c r="G146" i="4" s="1"/>
  <c r="F144" i="4"/>
  <c r="F143" i="4"/>
  <c r="G143" i="4" s="1"/>
  <c r="F142" i="4"/>
  <c r="I142" i="4" s="1"/>
  <c r="J142" i="4" s="1"/>
  <c r="F141" i="4"/>
  <c r="G141" i="4" s="1"/>
  <c r="F140" i="4"/>
  <c r="F139" i="4"/>
  <c r="F138" i="4"/>
  <c r="F137" i="4"/>
  <c r="I137" i="4" s="1"/>
  <c r="J137" i="4" s="1"/>
  <c r="F136" i="4"/>
  <c r="F135" i="4"/>
  <c r="G135" i="4" s="1"/>
  <c r="F134" i="4"/>
  <c r="G134" i="4" s="1"/>
  <c r="F133" i="4"/>
  <c r="F124" i="4"/>
  <c r="G124" i="4" s="1"/>
  <c r="F123" i="4"/>
  <c r="G123" i="4" s="1"/>
  <c r="F122" i="4"/>
  <c r="F121" i="4"/>
  <c r="G121" i="4" s="1"/>
  <c r="F120" i="4"/>
  <c r="I120" i="4" s="1"/>
  <c r="J120" i="4" s="1"/>
  <c r="F119" i="4"/>
  <c r="I119" i="4" s="1"/>
  <c r="J119" i="4" s="1"/>
  <c r="F118" i="4"/>
  <c r="I118" i="4" s="1"/>
  <c r="J118" i="4" s="1"/>
  <c r="F117" i="4"/>
  <c r="I117" i="4" s="1"/>
  <c r="J117" i="4" s="1"/>
  <c r="F116" i="4"/>
  <c r="I116" i="4" s="1"/>
  <c r="J116" i="4" s="1"/>
  <c r="F115" i="4"/>
  <c r="I115" i="4" s="1"/>
  <c r="J115" i="4" s="1"/>
  <c r="F114" i="4"/>
  <c r="I114" i="4" s="1"/>
  <c r="J114" i="4" s="1"/>
  <c r="F113" i="4"/>
  <c r="I113" i="4" s="1"/>
  <c r="J113" i="4" s="1"/>
  <c r="F111" i="4"/>
  <c r="I111" i="4" s="1"/>
  <c r="J111" i="4" s="1"/>
  <c r="F110" i="4"/>
  <c r="F107" i="4"/>
  <c r="I107" i="4" s="1"/>
  <c r="J107" i="4" s="1"/>
  <c r="F106" i="4"/>
  <c r="G106" i="4" s="1"/>
  <c r="F105" i="4"/>
  <c r="F104" i="4"/>
  <c r="I104" i="4" s="1"/>
  <c r="J104" i="4" s="1"/>
  <c r="F102" i="4"/>
  <c r="F101" i="4"/>
  <c r="F100" i="4"/>
  <c r="F98" i="4"/>
  <c r="I98" i="4" s="1"/>
  <c r="J98" i="4" s="1"/>
  <c r="J97" i="4"/>
  <c r="G97" i="4"/>
  <c r="F95" i="4"/>
  <c r="I95" i="4" s="1"/>
  <c r="J95" i="4" s="1"/>
  <c r="F94" i="4"/>
  <c r="I94" i="4" s="1"/>
  <c r="F91" i="4"/>
  <c r="I91" i="4" s="1"/>
  <c r="J91" i="4" s="1"/>
  <c r="F90" i="4"/>
  <c r="F88" i="4"/>
  <c r="I88" i="4" s="1"/>
  <c r="J88" i="4" s="1"/>
  <c r="F87" i="4"/>
  <c r="G87" i="4" s="1"/>
  <c r="F86" i="4"/>
  <c r="I86" i="4" s="1"/>
  <c r="J86" i="4" s="1"/>
  <c r="F85" i="4"/>
  <c r="I85" i="4" s="1"/>
  <c r="J85" i="4" s="1"/>
  <c r="F84" i="4"/>
  <c r="G84" i="4" s="1"/>
  <c r="F83" i="4"/>
  <c r="I83" i="4" s="1"/>
  <c r="J83" i="4" s="1"/>
  <c r="F82" i="4"/>
  <c r="F81" i="4"/>
  <c r="G81" i="4" s="1"/>
  <c r="F80" i="4"/>
  <c r="G80" i="4" s="1"/>
  <c r="F79" i="4"/>
  <c r="F78" i="4"/>
  <c r="F77" i="4"/>
  <c r="G77" i="4" s="1"/>
  <c r="F76" i="4"/>
  <c r="I76" i="4" s="1"/>
  <c r="J76" i="4" s="1"/>
  <c r="F75" i="4"/>
  <c r="G75" i="4" s="1"/>
  <c r="F74" i="4"/>
  <c r="G74" i="4" s="1"/>
  <c r="F73" i="4"/>
  <c r="I73" i="4" s="1"/>
  <c r="J73" i="4" s="1"/>
  <c r="F72" i="4"/>
  <c r="I72" i="4" s="1"/>
  <c r="J72" i="4" s="1"/>
  <c r="F71" i="4"/>
  <c r="G71" i="4" s="1"/>
  <c r="F70" i="4"/>
  <c r="I70" i="4" s="1"/>
  <c r="J70" i="4" s="1"/>
  <c r="F69" i="4"/>
  <c r="G69" i="4" s="1"/>
  <c r="F68" i="4"/>
  <c r="F66" i="4"/>
  <c r="I66" i="4" s="1"/>
  <c r="J66" i="4" s="1"/>
  <c r="F65" i="4"/>
  <c r="F64" i="4"/>
  <c r="F63" i="4"/>
  <c r="I63" i="4" s="1"/>
  <c r="J63" i="4" s="1"/>
  <c r="F62" i="4"/>
  <c r="G62" i="4" s="1"/>
  <c r="J61" i="4"/>
  <c r="F60" i="4"/>
  <c r="G60" i="4" s="1"/>
  <c r="F59" i="4"/>
  <c r="F58" i="4"/>
  <c r="F57" i="4"/>
  <c r="F56" i="4"/>
  <c r="I56" i="4" s="1"/>
  <c r="J56" i="4" s="1"/>
  <c r="F55" i="4"/>
  <c r="G55" i="4" s="1"/>
  <c r="F54" i="4"/>
  <c r="F53" i="4"/>
  <c r="I53" i="4" s="1"/>
  <c r="J53" i="4" s="1"/>
  <c r="J51" i="4"/>
  <c r="G51" i="4"/>
  <c r="J50" i="4"/>
  <c r="G50" i="4"/>
  <c r="I49" i="4"/>
  <c r="F49" i="4"/>
  <c r="F48" i="4"/>
  <c r="G48" i="4" s="1"/>
  <c r="F47" i="4"/>
  <c r="I47" i="4" s="1"/>
  <c r="J47" i="4" s="1"/>
  <c r="F46" i="4"/>
  <c r="F43" i="4"/>
  <c r="G43" i="4" s="1"/>
  <c r="F42" i="4"/>
  <c r="F41" i="4"/>
  <c r="I41" i="4" s="1"/>
  <c r="J41" i="4" s="1"/>
  <c r="F40" i="4"/>
  <c r="F38" i="4"/>
  <c r="G38" i="4" s="1"/>
  <c r="F37" i="4"/>
  <c r="I37" i="4" s="1"/>
  <c r="J37" i="4" s="1"/>
  <c r="F35" i="4"/>
  <c r="G35" i="4" s="1"/>
  <c r="F34" i="4"/>
  <c r="F33" i="4"/>
  <c r="F32" i="4"/>
  <c r="G32" i="4" s="1"/>
  <c r="F31" i="4"/>
  <c r="F30" i="4"/>
  <c r="I30" i="4" s="1"/>
  <c r="J30" i="4" s="1"/>
  <c r="F29" i="4"/>
  <c r="F27" i="4"/>
  <c r="I27" i="4" s="1"/>
  <c r="J27" i="4" s="1"/>
  <c r="F26" i="4"/>
  <c r="I26" i="4" s="1"/>
  <c r="J26" i="4" s="1"/>
  <c r="F25" i="4"/>
  <c r="G25" i="4" s="1"/>
  <c r="F22" i="4"/>
  <c r="G22" i="4" s="1"/>
  <c r="F21" i="4"/>
  <c r="F19" i="4"/>
  <c r="F18" i="4"/>
  <c r="F16" i="4"/>
  <c r="F15" i="4"/>
  <c r="F13" i="4"/>
  <c r="G13" i="4" s="1"/>
  <c r="F12" i="4"/>
  <c r="G12" i="4" s="1"/>
  <c r="I9" i="4"/>
  <c r="F9" i="4"/>
  <c r="G9" i="4" s="1"/>
  <c r="F8" i="4"/>
  <c r="J272" i="4" l="1"/>
  <c r="G98" i="4"/>
  <c r="G174" i="4"/>
  <c r="G153" i="4"/>
  <c r="F209" i="4"/>
  <c r="J176" i="4"/>
  <c r="J49" i="4"/>
  <c r="G232" i="4"/>
  <c r="I80" i="4"/>
  <c r="J80" i="4" s="1"/>
  <c r="I202" i="4"/>
  <c r="J202" i="4" s="1"/>
  <c r="G270" i="4"/>
  <c r="I81" i="4"/>
  <c r="J81" i="4" s="1"/>
  <c r="I207" i="4"/>
  <c r="J207" i="4" s="1"/>
  <c r="I239" i="4"/>
  <c r="J239" i="4" s="1"/>
  <c r="J9" i="4"/>
  <c r="I151" i="4"/>
  <c r="J151" i="4" s="1"/>
  <c r="G252" i="4"/>
  <c r="I22" i="4"/>
  <c r="J22" i="4" s="1"/>
  <c r="G189" i="4"/>
  <c r="G193" i="4"/>
  <c r="F220" i="4"/>
  <c r="G245" i="4"/>
  <c r="G30" i="4"/>
  <c r="F14" i="4"/>
  <c r="G14" i="4" s="1"/>
  <c r="G41" i="4"/>
  <c r="G221" i="4"/>
  <c r="I246" i="4"/>
  <c r="J246" i="4" s="1"/>
  <c r="G113" i="4"/>
  <c r="G170" i="4"/>
  <c r="G176" i="4"/>
  <c r="I221" i="4"/>
  <c r="J221" i="4" s="1"/>
  <c r="G154" i="4"/>
  <c r="I170" i="4"/>
  <c r="J170" i="4" s="1"/>
  <c r="G215" i="4"/>
  <c r="G72" i="4"/>
  <c r="G101" i="4"/>
  <c r="I62" i="4"/>
  <c r="J62" i="4" s="1"/>
  <c r="I69" i="4"/>
  <c r="J69" i="4" s="1"/>
  <c r="F96" i="4"/>
  <c r="G96" i="4" s="1"/>
  <c r="I101" i="4"/>
  <c r="J101" i="4" s="1"/>
  <c r="I210" i="4"/>
  <c r="J210" i="4" s="1"/>
  <c r="F269" i="4"/>
  <c r="G269" i="4" s="1"/>
  <c r="G47" i="4"/>
  <c r="I192" i="4"/>
  <c r="J192" i="4" s="1"/>
  <c r="I250" i="4"/>
  <c r="J250" i="4" s="1"/>
  <c r="F20" i="4"/>
  <c r="G20" i="4" s="1"/>
  <c r="G64" i="4"/>
  <c r="G90" i="4"/>
  <c r="I163" i="4"/>
  <c r="J163" i="4" s="1"/>
  <c r="I244" i="4"/>
  <c r="J244" i="4" s="1"/>
  <c r="I64" i="4"/>
  <c r="J64" i="4" s="1"/>
  <c r="G151" i="4"/>
  <c r="G188" i="4"/>
  <c r="G187" i="4" s="1"/>
  <c r="G21" i="4"/>
  <c r="F39" i="4"/>
  <c r="G39" i="4" s="1"/>
  <c r="I87" i="4"/>
  <c r="J87" i="4" s="1"/>
  <c r="G118" i="4"/>
  <c r="G177" i="4"/>
  <c r="I189" i="4"/>
  <c r="J189" i="4" s="1"/>
  <c r="I193" i="4"/>
  <c r="J193" i="4" s="1"/>
  <c r="G210" i="4"/>
  <c r="F226" i="4"/>
  <c r="G226" i="4" s="1"/>
  <c r="G231" i="4"/>
  <c r="G244" i="4"/>
  <c r="G250" i="4"/>
  <c r="G78" i="4"/>
  <c r="G149" i="4"/>
  <c r="I48" i="4"/>
  <c r="J48" i="4" s="1"/>
  <c r="I78" i="4"/>
  <c r="J78" i="4" s="1"/>
  <c r="G83" i="4"/>
  <c r="I106" i="4"/>
  <c r="J106" i="4" s="1"/>
  <c r="G116" i="4"/>
  <c r="I134" i="4"/>
  <c r="J134" i="4" s="1"/>
  <c r="G137" i="4"/>
  <c r="G140" i="4"/>
  <c r="I143" i="4"/>
  <c r="J143" i="4" s="1"/>
  <c r="I149" i="4"/>
  <c r="J149" i="4" s="1"/>
  <c r="G157" i="4"/>
  <c r="I160" i="4"/>
  <c r="J160" i="4" s="1"/>
  <c r="G180" i="4"/>
  <c r="G194" i="4"/>
  <c r="G224" i="4"/>
  <c r="G260" i="4"/>
  <c r="G268" i="4"/>
  <c r="I157" i="4"/>
  <c r="J157" i="4" s="1"/>
  <c r="I194" i="4"/>
  <c r="J194" i="4" s="1"/>
  <c r="I224" i="4"/>
  <c r="I260" i="4"/>
  <c r="J260" i="4" s="1"/>
  <c r="I268" i="4"/>
  <c r="J268" i="4" s="1"/>
  <c r="I140" i="4"/>
  <c r="J140" i="4" s="1"/>
  <c r="I13" i="4"/>
  <c r="J13" i="4" s="1"/>
  <c r="G58" i="4"/>
  <c r="I188" i="4"/>
  <c r="J188" i="4" s="1"/>
  <c r="F255" i="4"/>
  <c r="I21" i="4"/>
  <c r="F36" i="4"/>
  <c r="G36" i="4" s="1"/>
  <c r="I58" i="4"/>
  <c r="J58" i="4" s="1"/>
  <c r="I71" i="4"/>
  <c r="J71" i="4" s="1"/>
  <c r="G104" i="4"/>
  <c r="G111" i="4"/>
  <c r="F11" i="4"/>
  <c r="G15" i="4"/>
  <c r="I35" i="4"/>
  <c r="J35" i="4" s="1"/>
  <c r="G86" i="4"/>
  <c r="G120" i="4"/>
  <c r="I123" i="4"/>
  <c r="J123" i="4" s="1"/>
  <c r="I178" i="4"/>
  <c r="J178" i="4" s="1"/>
  <c r="G195" i="4"/>
  <c r="G198" i="4"/>
  <c r="G203" i="4"/>
  <c r="G211" i="4"/>
  <c r="I227" i="4"/>
  <c r="J227" i="4" s="1"/>
  <c r="G235" i="4"/>
  <c r="G240" i="4"/>
  <c r="I15" i="4"/>
  <c r="J15" i="4" s="1"/>
  <c r="I90" i="4"/>
  <c r="G102" i="4"/>
  <c r="G114" i="4"/>
  <c r="G117" i="4"/>
  <c r="G138" i="4"/>
  <c r="G158" i="4"/>
  <c r="I171" i="4"/>
  <c r="J171" i="4" s="1"/>
  <c r="G181" i="4"/>
  <c r="G191" i="4"/>
  <c r="I195" i="4"/>
  <c r="J195" i="4" s="1"/>
  <c r="I198" i="4"/>
  <c r="J198" i="4" s="1"/>
  <c r="I203" i="4"/>
  <c r="J203" i="4" s="1"/>
  <c r="I211" i="4"/>
  <c r="J211" i="4" s="1"/>
  <c r="G225" i="4"/>
  <c r="I235" i="4"/>
  <c r="J235" i="4" s="1"/>
  <c r="I240" i="4"/>
  <c r="J240" i="4" s="1"/>
  <c r="I84" i="4"/>
  <c r="J84" i="4" s="1"/>
  <c r="I102" i="4"/>
  <c r="J102" i="4" s="1"/>
  <c r="I135" i="4"/>
  <c r="J135" i="4" s="1"/>
  <c r="I138" i="4"/>
  <c r="J138" i="4" s="1"/>
  <c r="G142" i="4"/>
  <c r="I148" i="4"/>
  <c r="J148" i="4" s="1"/>
  <c r="I158" i="4"/>
  <c r="J158" i="4" s="1"/>
  <c r="F93" i="4"/>
  <c r="J259" i="4"/>
  <c r="G271" i="4"/>
  <c r="I271" i="4"/>
  <c r="J271" i="4" s="1"/>
  <c r="G266" i="4"/>
  <c r="I266" i="4"/>
  <c r="J266" i="4" s="1"/>
  <c r="F52" i="4"/>
  <c r="I54" i="4"/>
  <c r="G54" i="4"/>
  <c r="F24" i="4"/>
  <c r="G19" i="4"/>
  <c r="I222" i="4"/>
  <c r="J222" i="4" s="1"/>
  <c r="G222" i="4"/>
  <c r="J224" i="4"/>
  <c r="I223" i="4"/>
  <c r="J223" i="4" s="1"/>
  <c r="F234" i="4"/>
  <c r="G234" i="4" s="1"/>
  <c r="G236" i="4"/>
  <c r="I32" i="4"/>
  <c r="J32" i="4" s="1"/>
  <c r="G34" i="4"/>
  <c r="G49" i="4"/>
  <c r="I12" i="4"/>
  <c r="I19" i="4"/>
  <c r="J19" i="4" s="1"/>
  <c r="I34" i="4"/>
  <c r="J34" i="4" s="1"/>
  <c r="I38" i="4"/>
  <c r="I179" i="4"/>
  <c r="J179" i="4" s="1"/>
  <c r="G179" i="4"/>
  <c r="I205" i="4"/>
  <c r="J205" i="4" s="1"/>
  <c r="G205" i="4"/>
  <c r="I93" i="4"/>
  <c r="J94" i="4"/>
  <c r="G57" i="4"/>
  <c r="F7" i="4"/>
  <c r="I8" i="4"/>
  <c r="G8" i="4"/>
  <c r="I25" i="4"/>
  <c r="I55" i="4"/>
  <c r="J55" i="4" s="1"/>
  <c r="I68" i="4"/>
  <c r="F67" i="4"/>
  <c r="G68" i="4"/>
  <c r="I77" i="4"/>
  <c r="J77" i="4" s="1"/>
  <c r="I96" i="4"/>
  <c r="J96" i="4" s="1"/>
  <c r="I185" i="4"/>
  <c r="J185" i="4" s="1"/>
  <c r="I40" i="4"/>
  <c r="I29" i="4"/>
  <c r="F28" i="4"/>
  <c r="I43" i="4"/>
  <c r="J43" i="4" s="1"/>
  <c r="I236" i="4"/>
  <c r="I75" i="4"/>
  <c r="J75" i="4" s="1"/>
  <c r="I139" i="4"/>
  <c r="J139" i="4" s="1"/>
  <c r="G139" i="4"/>
  <c r="I74" i="4"/>
  <c r="J74" i="4" s="1"/>
  <c r="G220" i="4"/>
  <c r="G40" i="4"/>
  <c r="G27" i="4"/>
  <c r="F99" i="4"/>
  <c r="G99" i="4" s="1"/>
  <c r="G100" i="4"/>
  <c r="I100" i="4"/>
  <c r="G254" i="4"/>
  <c r="G29" i="4"/>
  <c r="I57" i="4"/>
  <c r="J57" i="4" s="1"/>
  <c r="G63" i="4"/>
  <c r="J168" i="4"/>
  <c r="J232" i="4"/>
  <c r="I254" i="4"/>
  <c r="J254" i="4" s="1"/>
  <c r="G66" i="4"/>
  <c r="G144" i="4"/>
  <c r="I60" i="4"/>
  <c r="J60" i="4" s="1"/>
  <c r="F187" i="4"/>
  <c r="F186" i="4" s="1"/>
  <c r="I190" i="4"/>
  <c r="I144" i="4"/>
  <c r="J144" i="4" s="1"/>
  <c r="I136" i="4"/>
  <c r="J136" i="4" s="1"/>
  <c r="G136" i="4"/>
  <c r="I172" i="4"/>
  <c r="J172" i="4" s="1"/>
  <c r="I213" i="4"/>
  <c r="J213" i="4" s="1"/>
  <c r="G213" i="4"/>
  <c r="G85" i="4"/>
  <c r="G88" i="4"/>
  <c r="F103" i="4"/>
  <c r="G103" i="4" s="1"/>
  <c r="I105" i="4"/>
  <c r="J105" i="4" s="1"/>
  <c r="G119" i="4"/>
  <c r="G243" i="4"/>
  <c r="G272" i="4"/>
  <c r="I16" i="4"/>
  <c r="J16" i="4" s="1"/>
  <c r="G18" i="4"/>
  <c r="I31" i="4"/>
  <c r="J31" i="4" s="1"/>
  <c r="G33" i="4"/>
  <c r="G42" i="4"/>
  <c r="G46" i="4"/>
  <c r="G56" i="4"/>
  <c r="I59" i="4"/>
  <c r="J59" i="4" s="1"/>
  <c r="I65" i="4"/>
  <c r="J65" i="4" s="1"/>
  <c r="G79" i="4"/>
  <c r="G82" i="4"/>
  <c r="F89" i="4"/>
  <c r="G105" i="4"/>
  <c r="F109" i="4"/>
  <c r="G115" i="4"/>
  <c r="F132" i="4"/>
  <c r="F156" i="4"/>
  <c r="I159" i="4"/>
  <c r="J159" i="4" s="1"/>
  <c r="G159" i="4"/>
  <c r="G184" i="4"/>
  <c r="G197" i="4"/>
  <c r="G229" i="4"/>
  <c r="I243" i="4"/>
  <c r="J243" i="4" s="1"/>
  <c r="J256" i="4"/>
  <c r="I201" i="4"/>
  <c r="F200" i="4"/>
  <c r="I18" i="4"/>
  <c r="I33" i="4"/>
  <c r="J33" i="4" s="1"/>
  <c r="I42" i="4"/>
  <c r="J42" i="4" s="1"/>
  <c r="I46" i="4"/>
  <c r="J46" i="4" s="1"/>
  <c r="G70" i="4"/>
  <c r="G73" i="4"/>
  <c r="G76" i="4"/>
  <c r="I79" i="4"/>
  <c r="J79" i="4" s="1"/>
  <c r="I82" i="4"/>
  <c r="J82" i="4" s="1"/>
  <c r="G94" i="4"/>
  <c r="G110" i="4"/>
  <c r="I122" i="4"/>
  <c r="J122" i="4" s="1"/>
  <c r="G122" i="4"/>
  <c r="G133" i="4"/>
  <c r="J164" i="4"/>
  <c r="I169" i="4"/>
  <c r="J169" i="4" s="1"/>
  <c r="I182" i="4"/>
  <c r="J182" i="4" s="1"/>
  <c r="G182" i="4"/>
  <c r="I197" i="4"/>
  <c r="J197" i="4" s="1"/>
  <c r="I208" i="4"/>
  <c r="J208" i="4" s="1"/>
  <c r="G208" i="4"/>
  <c r="I229" i="4"/>
  <c r="J229" i="4" s="1"/>
  <c r="I276" i="4"/>
  <c r="J276" i="4" s="1"/>
  <c r="G276" i="4"/>
  <c r="G162" i="4"/>
  <c r="G31" i="4"/>
  <c r="G59" i="4"/>
  <c r="G65" i="4"/>
  <c r="F17" i="4"/>
  <c r="G26" i="4"/>
  <c r="G37" i="4"/>
  <c r="G53" i="4"/>
  <c r="I110" i="4"/>
  <c r="I133" i="4"/>
  <c r="G169" i="4"/>
  <c r="I241" i="4"/>
  <c r="J241" i="4" s="1"/>
  <c r="G241" i="4"/>
  <c r="F238" i="4"/>
  <c r="G238" i="4" s="1"/>
  <c r="G16" i="4"/>
  <c r="F146" i="4"/>
  <c r="F145" i="4" s="1"/>
  <c r="G145" i="4" s="1"/>
  <c r="I147" i="4"/>
  <c r="F173" i="4"/>
  <c r="G173" i="4" s="1"/>
  <c r="I212" i="4"/>
  <c r="J212" i="4" s="1"/>
  <c r="G212" i="4"/>
  <c r="G217" i="4"/>
  <c r="G112" i="4"/>
  <c r="G91" i="4"/>
  <c r="G95" i="4"/>
  <c r="G107" i="4"/>
  <c r="I121" i="4"/>
  <c r="J121" i="4" s="1"/>
  <c r="I124" i="4"/>
  <c r="J124" i="4" s="1"/>
  <c r="I141" i="4"/>
  <c r="J141" i="4" s="1"/>
  <c r="G175" i="4"/>
  <c r="F206" i="4"/>
  <c r="G206" i="4" s="1"/>
  <c r="G263" i="4"/>
  <c r="I204" i="4"/>
  <c r="J204" i="4" s="1"/>
  <c r="I248" i="4"/>
  <c r="F247" i="4"/>
  <c r="G247" i="4" s="1"/>
  <c r="G253" i="4"/>
  <c r="G256" i="4"/>
  <c r="G219" i="4"/>
  <c r="G223" i="4"/>
  <c r="I257" i="4"/>
  <c r="J257" i="4" s="1"/>
  <c r="G257" i="4"/>
  <c r="I262" i="4"/>
  <c r="F261" i="4"/>
  <c r="G261" i="4" s="1"/>
  <c r="G262" i="4"/>
  <c r="G264" i="4"/>
  <c r="I161" i="4"/>
  <c r="J161" i="4" s="1"/>
  <c r="G161" i="4"/>
  <c r="G214" i="4"/>
  <c r="I219" i="4"/>
  <c r="G249" i="4"/>
  <c r="I264" i="4"/>
  <c r="J264" i="4" s="1"/>
  <c r="G237" i="4"/>
  <c r="G242" i="4"/>
  <c r="I249" i="4"/>
  <c r="J249" i="4" s="1"/>
  <c r="I196" i="4"/>
  <c r="J196" i="4" s="1"/>
  <c r="I228" i="4"/>
  <c r="J228" i="4" s="1"/>
  <c r="F230" i="4"/>
  <c r="G168" i="4"/>
  <c r="I183" i="4"/>
  <c r="J183" i="4" s="1"/>
  <c r="G196" i="4"/>
  <c r="I233" i="4"/>
  <c r="J233" i="4" s="1"/>
  <c r="G267" i="4"/>
  <c r="G155" i="4"/>
  <c r="G216" i="4"/>
  <c r="G251" i="4"/>
  <c r="G259" i="4"/>
  <c r="F258" i="4"/>
  <c r="E11" i="3"/>
  <c r="E9" i="3"/>
  <c r="G14" i="3"/>
  <c r="F14" i="3"/>
  <c r="E13" i="3"/>
  <c r="E14" i="3" s="1"/>
  <c r="G43" i="2"/>
  <c r="E43" i="2" s="1"/>
  <c r="B22" i="2" s="1"/>
  <c r="E42" i="2"/>
  <c r="E41" i="2"/>
  <c r="E40" i="2"/>
  <c r="G39" i="2"/>
  <c r="G38" i="2"/>
  <c r="E38" i="2" s="1"/>
  <c r="G37" i="2"/>
  <c r="E36" i="2"/>
  <c r="G35" i="2"/>
  <c r="E35" i="2" s="1"/>
  <c r="E33" i="2"/>
  <c r="E32" i="2"/>
  <c r="I150" i="4" l="1"/>
  <c r="J150" i="4" s="1"/>
  <c r="G200" i="4"/>
  <c r="I258" i="4"/>
  <c r="J258" i="4" s="1"/>
  <c r="F167" i="4"/>
  <c r="G167" i="4" s="1"/>
  <c r="I269" i="4"/>
  <c r="J269" i="4" s="1"/>
  <c r="I20" i="4"/>
  <c r="J20" i="4" s="1"/>
  <c r="G11" i="4"/>
  <c r="G156" i="4"/>
  <c r="G152" i="4" s="1"/>
  <c r="G186" i="4"/>
  <c r="J21" i="4"/>
  <c r="I89" i="4"/>
  <c r="J89" i="4" s="1"/>
  <c r="J90" i="4"/>
  <c r="G93" i="4"/>
  <c r="F152" i="4"/>
  <c r="G209" i="4"/>
  <c r="G199" i="4" s="1"/>
  <c r="I226" i="4"/>
  <c r="J226" i="4" s="1"/>
  <c r="G255" i="4"/>
  <c r="I209" i="4"/>
  <c r="J209" i="4" s="1"/>
  <c r="I14" i="4"/>
  <c r="J14" i="4" s="1"/>
  <c r="G109" i="4"/>
  <c r="I230" i="4"/>
  <c r="J230" i="4" s="1"/>
  <c r="G132" i="4"/>
  <c r="J219" i="4"/>
  <c r="J262" i="4"/>
  <c r="I261" i="4"/>
  <c r="J261" i="4" s="1"/>
  <c r="I238" i="4"/>
  <c r="J238" i="4" s="1"/>
  <c r="J110" i="4"/>
  <c r="I109" i="4"/>
  <c r="J109" i="4" s="1"/>
  <c r="J40" i="4"/>
  <c r="I39" i="4"/>
  <c r="J39" i="4" s="1"/>
  <c r="G67" i="4"/>
  <c r="I7" i="4"/>
  <c r="J8" i="4"/>
  <c r="J38" i="4"/>
  <c r="I36" i="4"/>
  <c r="J36" i="4" s="1"/>
  <c r="J54" i="4"/>
  <c r="I52" i="4"/>
  <c r="I67" i="4"/>
  <c r="J67" i="4" s="1"/>
  <c r="J68" i="4"/>
  <c r="G258" i="4"/>
  <c r="I99" i="4"/>
  <c r="J99" i="4" s="1"/>
  <c r="J100" i="4"/>
  <c r="F92" i="4"/>
  <c r="G7" i="4"/>
  <c r="F6" i="4"/>
  <c r="G6" i="4" s="1"/>
  <c r="G52" i="4"/>
  <c r="F45" i="4"/>
  <c r="J190" i="4"/>
  <c r="I187" i="4"/>
  <c r="I156" i="4"/>
  <c r="I234" i="4"/>
  <c r="J234" i="4" s="1"/>
  <c r="J236" i="4"/>
  <c r="I220" i="4"/>
  <c r="J220" i="4" s="1"/>
  <c r="J112" i="4"/>
  <c r="I24" i="4"/>
  <c r="J25" i="4"/>
  <c r="I206" i="4"/>
  <c r="J206" i="4" s="1"/>
  <c r="I17" i="4"/>
  <c r="J17" i="4" s="1"/>
  <c r="J18" i="4"/>
  <c r="J174" i="4"/>
  <c r="I173" i="4"/>
  <c r="J173" i="4" s="1"/>
  <c r="G89" i="4"/>
  <c r="I103" i="4"/>
  <c r="J103" i="4" s="1"/>
  <c r="G230" i="4"/>
  <c r="G218" i="4" s="1"/>
  <c r="J248" i="4"/>
  <c r="G17" i="4"/>
  <c r="G28" i="4"/>
  <c r="G24" i="4"/>
  <c r="F23" i="4"/>
  <c r="G23" i="4" s="1"/>
  <c r="F199" i="4"/>
  <c r="I200" i="4"/>
  <c r="J201" i="4"/>
  <c r="J12" i="4"/>
  <c r="I11" i="4"/>
  <c r="J147" i="4"/>
  <c r="I146" i="4"/>
  <c r="I255" i="4"/>
  <c r="J255" i="4" s="1"/>
  <c r="J93" i="4"/>
  <c r="F218" i="4"/>
  <c r="F10" i="4"/>
  <c r="G10" i="4" s="1"/>
  <c r="I28" i="4"/>
  <c r="J28" i="4" s="1"/>
  <c r="J29" i="4"/>
  <c r="I132" i="4"/>
  <c r="J133" i="4"/>
  <c r="I39" i="2"/>
  <c r="E39" i="2" s="1"/>
  <c r="G45" i="2"/>
  <c r="I37" i="2"/>
  <c r="E37" i="2" s="1"/>
  <c r="I247" i="4" l="1"/>
  <c r="J247" i="4" s="1"/>
  <c r="F275" i="4"/>
  <c r="G275" i="4" s="1"/>
  <c r="J156" i="4"/>
  <c r="I167" i="4"/>
  <c r="J167" i="4" s="1"/>
  <c r="I186" i="4"/>
  <c r="J186" i="4" s="1"/>
  <c r="J187" i="4"/>
  <c r="J200" i="4"/>
  <c r="I199" i="4"/>
  <c r="J199" i="4" s="1"/>
  <c r="I145" i="4"/>
  <c r="J145" i="4" s="1"/>
  <c r="J146" i="4"/>
  <c r="J24" i="4"/>
  <c r="I23" i="4"/>
  <c r="J23" i="4" s="1"/>
  <c r="J52" i="4"/>
  <c r="I45" i="4"/>
  <c r="J132" i="4"/>
  <c r="J7" i="4"/>
  <c r="I6" i="4"/>
  <c r="J6" i="4" s="1"/>
  <c r="I10" i="4"/>
  <c r="J10" i="4" s="1"/>
  <c r="J11" i="4"/>
  <c r="G45" i="4"/>
  <c r="F44" i="4"/>
  <c r="G44" i="4" s="1"/>
  <c r="G92" i="4"/>
  <c r="I92" i="4"/>
  <c r="J92" i="4" s="1"/>
  <c r="E45" i="2"/>
  <c r="F277" i="4" l="1"/>
  <c r="G277" i="4" s="1"/>
  <c r="I218" i="4"/>
  <c r="J218" i="4" s="1"/>
  <c r="F108" i="4"/>
  <c r="I152" i="4"/>
  <c r="J152" i="4" s="1"/>
  <c r="I44" i="4"/>
  <c r="J45" i="4"/>
  <c r="F126" i="4"/>
  <c r="G108" i="4"/>
  <c r="I275" i="4" l="1"/>
  <c r="J275" i="4" s="1"/>
  <c r="F278" i="4"/>
  <c r="G278" i="4" s="1"/>
  <c r="G126" i="4"/>
  <c r="J44" i="4"/>
  <c r="I108" i="4"/>
  <c r="I277" i="4" l="1"/>
  <c r="J277" i="4" s="1"/>
  <c r="J108" i="4"/>
  <c r="I126" i="4"/>
  <c r="I278" i="4" l="1"/>
  <c r="J126" i="4"/>
  <c r="J27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</authors>
  <commentList>
    <comment ref="F43" authorId="0" shapeId="0" xr:uid="{83C9C87B-8C54-48F4-8D44-912678E80A02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76'000 mežaudze vai koki; 46'000+73'000 Kadaga.</t>
        </r>
      </text>
    </comment>
    <comment ref="I43" authorId="0" shapeId="0" xr:uid="{F67430E2-1B37-4B40-94EF-CFE5913F4E32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76'000 mežaudze vai koki; 46'000+73'000 Kadaga.</t>
        </r>
      </text>
    </comment>
    <comment ref="E268" authorId="0" shapeId="0" xr:uid="{20701E3C-4B81-4A4C-9517-6B569FA8A7D3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  <comment ref="F268" authorId="0" shapeId="0" xr:uid="{F5465F2B-F5FA-4C52-9048-3A7D2FCDEF91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  <comment ref="I268" authorId="0" shapeId="0" xr:uid="{8445513C-5237-439A-9BC7-F34670F855DD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  <author>Baiba Kanča</author>
  </authors>
  <commentList>
    <comment ref="D27" authorId="0" shapeId="0" xr:uid="{E4919D8E-3F28-4F7C-BC1F-8A6DFD7D47C7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EUR 236'297 ĀND daļa
</t>
        </r>
      </text>
    </comment>
    <comment ref="L56" authorId="1" shapeId="0" xr:uid="{32BD45BB-BDEA-4514-80EA-883D5B40A459}">
      <text>
        <r>
          <rPr>
            <b/>
            <sz val="9"/>
            <color indexed="81"/>
            <rFont val="Tahoma"/>
            <family val="2"/>
            <charset val="186"/>
          </rPr>
          <t>Baiba Kanča:</t>
        </r>
        <r>
          <rPr>
            <sz val="9"/>
            <color indexed="81"/>
            <rFont val="Tahoma"/>
            <family val="2"/>
            <charset val="186"/>
          </rPr>
          <t xml:space="preserve">
samazinās uz pusi</t>
        </r>
      </text>
    </comment>
    <comment ref="L58" authorId="1" shapeId="0" xr:uid="{EFC9545E-7944-4691-B8A0-BE15A8A66E71}">
      <text>
        <r>
          <rPr>
            <b/>
            <sz val="9"/>
            <color indexed="81"/>
            <rFont val="Tahoma"/>
            <family val="2"/>
            <charset val="186"/>
          </rPr>
          <t>Baiba Kanča:</t>
        </r>
        <r>
          <rPr>
            <sz val="9"/>
            <color indexed="81"/>
            <rFont val="Tahoma"/>
            <family val="2"/>
            <charset val="186"/>
          </rPr>
          <t xml:space="preserve">
samazinās uz pusi
</t>
        </r>
      </text>
    </comment>
    <comment ref="E121" authorId="0" shapeId="0" xr:uid="{F82E5A71-8E88-4476-8C88-822AC9688046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Cost for Us (41.) atmaksāts 2021., bet 2023.bija atstāta atmaksa EUR 3648</t>
        </r>
      </text>
    </comment>
  </commentList>
</comments>
</file>

<file path=xl/sharedStrings.xml><?xml version="1.0" encoding="utf-8"?>
<sst xmlns="http://schemas.openxmlformats.org/spreadsheetml/2006/main" count="1075" uniqueCount="863">
  <si>
    <t>Ādažu pašvaldības apvienotais budžets</t>
  </si>
  <si>
    <t>2023. gads</t>
  </si>
  <si>
    <t xml:space="preserve">Ieņēmumu daļa </t>
  </si>
  <si>
    <t xml:space="preserve">N.p.k. </t>
  </si>
  <si>
    <t>Sadaļa</t>
  </si>
  <si>
    <t>CKS</t>
  </si>
  <si>
    <t>2023. gada budžets</t>
  </si>
  <si>
    <t>23.03.2023. grozījumi</t>
  </si>
  <si>
    <t>Izmaiņa 23.03.2023. - 26.01.2023.</t>
  </si>
  <si>
    <t xml:space="preserve">Komentāri </t>
  </si>
  <si>
    <t>24.05.2023. grozījumi</t>
  </si>
  <si>
    <t>Izmaiņa 24.05.2023. -23.03.2023.</t>
  </si>
  <si>
    <t>1., 2., 3., 4., 5.1.</t>
  </si>
  <si>
    <t>Nodokļu ieņēmumi</t>
  </si>
  <si>
    <t>1.1.1.0.</t>
  </si>
  <si>
    <t>1.</t>
  </si>
  <si>
    <t>Iedzīvotāju ienākuma nodoklis</t>
  </si>
  <si>
    <t>PB</t>
  </si>
  <si>
    <t>01.1.1.2.</t>
  </si>
  <si>
    <t>1.1.</t>
  </si>
  <si>
    <t>pārskata gada</t>
  </si>
  <si>
    <t>Precizēta summa apstiprinātajos MK Nr.191 11.04.2023</t>
  </si>
  <si>
    <t>1.2.</t>
  </si>
  <si>
    <t>saņemts no Valsts kases sadales konta iepriekšējā gada nesadalītais iedzīvotāju ienākuma nodokļa atlikums</t>
  </si>
  <si>
    <t>1., 2., 3., 4.</t>
  </si>
  <si>
    <t>Nekustamā īpašuma nodokļu ieņēmumi</t>
  </si>
  <si>
    <t>4.1.1.0.</t>
  </si>
  <si>
    <t>2.</t>
  </si>
  <si>
    <t>Nekustamā īpašuma nodoklis par zemi</t>
  </si>
  <si>
    <t>04.1.1.1.</t>
  </si>
  <si>
    <t>2.1.</t>
  </si>
  <si>
    <t>04.1.1.2.</t>
  </si>
  <si>
    <t>2.2.</t>
  </si>
  <si>
    <t>iepriekšējo gadu parādi</t>
  </si>
  <si>
    <t>4.1.2.0.</t>
  </si>
  <si>
    <t>3.</t>
  </si>
  <si>
    <t>Nekustamā īpašuma nodoklis par ēkām</t>
  </si>
  <si>
    <t>04.1.2.1.</t>
  </si>
  <si>
    <t>3.1.</t>
  </si>
  <si>
    <t xml:space="preserve">pārskata gada </t>
  </si>
  <si>
    <t>04.1.2.2.</t>
  </si>
  <si>
    <t>3.2.</t>
  </si>
  <si>
    <t>4.1.3.0.</t>
  </si>
  <si>
    <t>4.</t>
  </si>
  <si>
    <t>Nekustamā īpašuma nodoklis par mājokļiem un inženierbūvēm</t>
  </si>
  <si>
    <t>04.1.3.1.</t>
  </si>
  <si>
    <t>4.1.</t>
  </si>
  <si>
    <t>04.1.3.2.</t>
  </si>
  <si>
    <t>4.2.</t>
  </si>
  <si>
    <t>5.</t>
  </si>
  <si>
    <t>Nodokļi un maksājumi par tiesībām lietot atsevišķas preces</t>
  </si>
  <si>
    <t>5.4.1.0.</t>
  </si>
  <si>
    <t>5.1.</t>
  </si>
  <si>
    <t>Azartspēļu nodoklis</t>
  </si>
  <si>
    <t>5.5.3.1.</t>
  </si>
  <si>
    <t>Dabas resursu nodoklis</t>
  </si>
  <si>
    <t>9.0.0.0.</t>
  </si>
  <si>
    <t>6.</t>
  </si>
  <si>
    <t>Valsts (pašvaldību) un kancelejas nodevas</t>
  </si>
  <si>
    <t>9.4.0.0.</t>
  </si>
  <si>
    <t>6.1.</t>
  </si>
  <si>
    <t>valsts nodevas</t>
  </si>
  <si>
    <t>09.4.2.0.</t>
  </si>
  <si>
    <t>6.1.1.</t>
  </si>
  <si>
    <t>t.sk.: - par apliecinājumiem un citu funkciju pildīšanu bāriņtiesā</t>
  </si>
  <si>
    <t>09.4.5.0.</t>
  </si>
  <si>
    <t>6.1.2.</t>
  </si>
  <si>
    <t>t.sk.: - par civilstāvokļa aktu reģistrēšanu, grozīšanu un papildināšanu</t>
  </si>
  <si>
    <t>09.4.9.0.</t>
  </si>
  <si>
    <t>6.1.3.</t>
  </si>
  <si>
    <t>t.sk.: - pārējās valsts nodevas, kuras ieskaita pašvaldību budžetā</t>
  </si>
  <si>
    <t>9.5.0.0.</t>
  </si>
  <si>
    <t>6.2.</t>
  </si>
  <si>
    <t>pašvaldību nodevas</t>
  </si>
  <si>
    <t>09.5.1.1.</t>
  </si>
  <si>
    <t>6.2.1.</t>
  </si>
  <si>
    <t>t.sk.: - nodeva par domes izstrādāto oficiālo dokumentu saņemšanu</t>
  </si>
  <si>
    <t>09.5.1.2.</t>
  </si>
  <si>
    <t>6.2.2.</t>
  </si>
  <si>
    <t>t.sk.: - nodeva par izklaidējoša rakstura pasākumu sarīkošanu publiskās vietās</t>
  </si>
  <si>
    <t>09.5.1.4.</t>
  </si>
  <si>
    <t>6.2.3.</t>
  </si>
  <si>
    <t>t.sk.: - nodeva par tirdzniecību publiskās vietās</t>
  </si>
  <si>
    <t>09.5.1.5.</t>
  </si>
  <si>
    <t>6.2.4.</t>
  </si>
  <si>
    <t>t.sk.: - nodeva par dzīvnieku turēšanu</t>
  </si>
  <si>
    <t>09.5.1.7.</t>
  </si>
  <si>
    <t>6.2.5.</t>
  </si>
  <si>
    <t>t.sk.: - nodeva par reklāmas, afišu un sludinājumu izvietošanu publiskās vietās</t>
  </si>
  <si>
    <t>09.5.2.1.</t>
  </si>
  <si>
    <t>6.2.6.</t>
  </si>
  <si>
    <t>t.sk.: - nodeva par būvatļaujas saņemšanu</t>
  </si>
  <si>
    <t>09.5.2.9.</t>
  </si>
  <si>
    <t>6.2.7.</t>
  </si>
  <si>
    <t>t.sk.: - pārējās nodevas</t>
  </si>
  <si>
    <t>10.0.0.0.</t>
  </si>
  <si>
    <t>7.</t>
  </si>
  <si>
    <t>Naudas sodi un sankcijas</t>
  </si>
  <si>
    <t>10.1.4.0.</t>
  </si>
  <si>
    <t>7.1.</t>
  </si>
  <si>
    <t>10.1.5.0.</t>
  </si>
  <si>
    <t>7.2.</t>
  </si>
  <si>
    <t>Naudas sodi, ko uzliek par pārkāpumiem ceļu satiksmē</t>
  </si>
  <si>
    <t>12.0.0.0.</t>
  </si>
  <si>
    <t>8.</t>
  </si>
  <si>
    <t>Pārējie nenodokļu ieņēmumi</t>
  </si>
  <si>
    <t>12.3.9.9.; 8.3.9.0.</t>
  </si>
  <si>
    <t>8.1.</t>
  </si>
  <si>
    <t>citi nenodokļu ieņēmumi</t>
  </si>
  <si>
    <t>SIA "Ādažu Namsaimnieks" dividendes, novirzīt caur 0950 izdevumi vidussk.apkures sist.pāreja uz atjaunoj.energoresursiem, Domes lēmums Nr.215.</t>
  </si>
  <si>
    <t>12.3.9.5.</t>
  </si>
  <si>
    <t>8.2.</t>
  </si>
  <si>
    <t>līgumsodi un procentu maksājumi par saistību neizpildi</t>
  </si>
  <si>
    <t>8.3.</t>
  </si>
  <si>
    <t>ieņēmumi no zvejas tiesību nomas</t>
  </si>
  <si>
    <t>13.1.0.0.</t>
  </si>
  <si>
    <t>9.</t>
  </si>
  <si>
    <t>Ieņēmumi no pašvaldības īpašuma pārdošana</t>
  </si>
  <si>
    <t>10.</t>
  </si>
  <si>
    <t>Valsts budžeta transferti un projektu finansējums</t>
  </si>
  <si>
    <t>10.1.</t>
  </si>
  <si>
    <t>Valsts budžeta transferti</t>
  </si>
  <si>
    <t>mērķdotācija</t>
  </si>
  <si>
    <t>18.6.2.3.</t>
  </si>
  <si>
    <t>10.1.1.</t>
  </si>
  <si>
    <t>dotācija mākslas skolas algām</t>
  </si>
  <si>
    <t>Precizēts MD apjoms</t>
  </si>
  <si>
    <t>18.6.2.4.</t>
  </si>
  <si>
    <t>10.1.2.</t>
  </si>
  <si>
    <t>dotācija sporta skolai</t>
  </si>
  <si>
    <t>18.6.2.10.; 18.6.2.11</t>
  </si>
  <si>
    <t>10.1.3.</t>
  </si>
  <si>
    <t>dotācija skolēnu ēdināšanai</t>
  </si>
  <si>
    <t>18.6.2.5.</t>
  </si>
  <si>
    <t>10.1.4.</t>
  </si>
  <si>
    <t>dotācija mācību līdzekļiem</t>
  </si>
  <si>
    <t xml:space="preserve">  10.1.4.1.</t>
  </si>
  <si>
    <t>t.sk.: - dotācija mācību grāmatām</t>
  </si>
  <si>
    <t xml:space="preserve">  10.1.4.2.</t>
  </si>
  <si>
    <t>t.sk.: - dotācija digitālajiem mācību līdzekļiem</t>
  </si>
  <si>
    <t>18.6.2.0.</t>
  </si>
  <si>
    <t>10.1.5.</t>
  </si>
  <si>
    <t>dotācijas pedagogu algām (vsk., PII)</t>
  </si>
  <si>
    <t>18.6.2.2.</t>
  </si>
  <si>
    <t xml:space="preserve">  10.1.5.1.</t>
  </si>
  <si>
    <t>t.sk.: - piecgadīgo bērnu apmācība</t>
  </si>
  <si>
    <t>18.6.2.1.</t>
  </si>
  <si>
    <t xml:space="preserve">  10.1.5.2.</t>
  </si>
  <si>
    <t>t.sk.: - skolotāju algām</t>
  </si>
  <si>
    <t xml:space="preserve">  10.1.5.3.</t>
  </si>
  <si>
    <t>t.sk.: - interešu izglītība</t>
  </si>
  <si>
    <t>18.6.2.9.</t>
  </si>
  <si>
    <t>10.1.6.</t>
  </si>
  <si>
    <t>dotācija māksliniecisko kolektīvu vadītāju atalgojumam</t>
  </si>
  <si>
    <t>18.6.3.1.</t>
  </si>
  <si>
    <t>10.1.7.</t>
  </si>
  <si>
    <t>Projekts "Skolas soma" Ādaži</t>
  </si>
  <si>
    <t>Precizēta summa pēc līguma noslēgšanas</t>
  </si>
  <si>
    <t>10.1.8.</t>
  </si>
  <si>
    <t>Projekts "Skolas soma" Carnikava</t>
  </si>
  <si>
    <t>18.6.2.7.</t>
  </si>
  <si>
    <t>10.1.9.</t>
  </si>
  <si>
    <t>dotācija asistenta pakalpojumu nodrošināšanai</t>
  </si>
  <si>
    <t>10.1.10.</t>
  </si>
  <si>
    <t>dotācija sociālajiem darbiniekiem, kuri strādā ar ģimenēm un bērniem</t>
  </si>
  <si>
    <t>AM līdzfinansējums Mežaparka ceļa izbūvei</t>
  </si>
  <si>
    <t>0420 (18.6.2.9.)</t>
  </si>
  <si>
    <t>10.1.11.</t>
  </si>
  <si>
    <t>valsts dotācija ceļu uzturēšanai</t>
  </si>
  <si>
    <t>Precizēts mērķdotācijas pajoms</t>
  </si>
  <si>
    <r>
      <t xml:space="preserve">Valsts finansējums projektu konkursā "Atbalsts jaunatnes politikas īstenošanai vietējā līmenī" </t>
    </r>
    <r>
      <rPr>
        <sz val="11"/>
        <color theme="8" tint="-0.249977111117893"/>
        <rFont val="Times New Roman"/>
        <family val="1"/>
        <charset val="186"/>
      </rPr>
      <t>Projekts "Mobilais darbs ar jaunatni Ādažu novadā"</t>
    </r>
  </si>
  <si>
    <t>10.1.12.</t>
  </si>
  <si>
    <t>Dotācijas Ukrainas pilsoņu atbalstam</t>
  </si>
  <si>
    <t>Precizēta summa balstoties uz faktisko izpildi</t>
  </si>
  <si>
    <t>10.1.13.</t>
  </si>
  <si>
    <t>Dotācijas "Energoresursu atbalsts"</t>
  </si>
  <si>
    <t>0630</t>
  </si>
  <si>
    <t>18.6.2.9.;</t>
  </si>
  <si>
    <t>10.1.14.</t>
  </si>
  <si>
    <t>pārējās dotācijas</t>
  </si>
  <si>
    <t>10.2.</t>
  </si>
  <si>
    <t>ES struktūrfondu līdzekļi un aktivitāšu līdzfinansējumi</t>
  </si>
  <si>
    <t>18.6.2.6.1.</t>
  </si>
  <si>
    <t>10.2.1.</t>
  </si>
  <si>
    <t>Dotācija nodarbinātības pasākumiem</t>
  </si>
  <si>
    <t>0634</t>
  </si>
  <si>
    <t>18.6.3.6.</t>
  </si>
  <si>
    <t>10.2.2.</t>
  </si>
  <si>
    <t>Plūdu risku projekts</t>
  </si>
  <si>
    <t>10.2.3.</t>
  </si>
  <si>
    <t>Apgaismojuma izbūve uz Salas aizsargdamja D-2 posmā, Carnikavas pagastā</t>
  </si>
  <si>
    <t>18.6.3.4</t>
  </si>
  <si>
    <t>10.2.4.</t>
  </si>
  <si>
    <t>Auto stāvlaukuma Lilastē paplašināšanas un atpūtas vietu labiekārtojuma projektēšana un izbūve ©</t>
  </si>
  <si>
    <t xml:space="preserve">18.6.3.13. </t>
  </si>
  <si>
    <t>10.2.5.</t>
  </si>
  <si>
    <t>SAM 9.2.4.2. projekts "Pasākumi vietējās sabiedrības veselības veicināšanai Ādažu novadā"</t>
  </si>
  <si>
    <t xml:space="preserve">18.6.3.14.  </t>
  </si>
  <si>
    <t>10.2.6.</t>
  </si>
  <si>
    <t>VISA projekts "Atbalsts izglītojamo individuālo kompetenču attīstībai"</t>
  </si>
  <si>
    <t>10.2.8.</t>
  </si>
  <si>
    <t>SAM 9311 Deinstitucionalizācija - Dienas centrs - specializētās darbnīcas</t>
  </si>
  <si>
    <t>10.2.9.</t>
  </si>
  <si>
    <t>Dienas centrs - pakalpojumi (Ā)</t>
  </si>
  <si>
    <t>0632.2</t>
  </si>
  <si>
    <t xml:space="preserve">18.6.3.12. </t>
  </si>
  <si>
    <t>10.2.10.</t>
  </si>
  <si>
    <t>LAD projekts "Laivu ielas un tai piegulošā auto stāvlaukuma projektēšana un būvniecība"</t>
  </si>
  <si>
    <t>10.2.11.</t>
  </si>
  <si>
    <t>KF Ūdenssaimniecība 3.kārta Carnikavā</t>
  </si>
  <si>
    <t>10.2.12.</t>
  </si>
  <si>
    <t>ESF projekts Karjeras atbalsts vispārējās un profesionālās izglītības iestādēs ©</t>
  </si>
  <si>
    <t>10.2.13.</t>
  </si>
  <si>
    <t>ESF projekts Atbalsts priekšlaicīgas mācību pārtraukšanas samazināšanai ©</t>
  </si>
  <si>
    <t>10.2.14.</t>
  </si>
  <si>
    <t>SAM 5.5.1. Kultūras objektu būvniecība ©</t>
  </si>
  <si>
    <t>10.2.15.</t>
  </si>
  <si>
    <t>ES projekts Eiropa pilsoņiem (diskriminētām personām) ©</t>
  </si>
  <si>
    <t>10.2.16.</t>
  </si>
  <si>
    <t>ERASMUS + projekti</t>
  </si>
  <si>
    <t>Precizēta projekta NP</t>
  </si>
  <si>
    <t>10.2.17.</t>
  </si>
  <si>
    <t xml:space="preserve"> ”Mobilitātes punkta infrastruktūras izveidošana Rīgas metropoles areālā – “Carnikava””</t>
  </si>
  <si>
    <t>10.2.18.</t>
  </si>
  <si>
    <t>Maģistrālā  veloceļa izbūve Rīga-Carnikava</t>
  </si>
  <si>
    <t>10.2.19.</t>
  </si>
  <si>
    <t>Ģimenes ārsta prakses izveide_Garā iela 20 (ERAF, SAM 9.3.2. 4.kārta)</t>
  </si>
  <si>
    <t>10.2.20.</t>
  </si>
  <si>
    <t>EKII projekts</t>
  </si>
  <si>
    <t>10.2.21.</t>
  </si>
  <si>
    <t>Katlu mājas pārbūve Carnikavā, Tulpju iela 5</t>
  </si>
  <si>
    <t>18.6.4.0.</t>
  </si>
  <si>
    <t>10.3.</t>
  </si>
  <si>
    <t>IIN budžeta dotācija</t>
  </si>
  <si>
    <t>11.</t>
  </si>
  <si>
    <t>Pašvaldību budžeta transferti</t>
  </si>
  <si>
    <t>19.2.1.0.</t>
  </si>
  <si>
    <t>11.1.</t>
  </si>
  <si>
    <t>no citām pašvaldībām izglītības funkciju nodrošināšanai</t>
  </si>
  <si>
    <t>19.2.2.0.</t>
  </si>
  <si>
    <t>11.2.</t>
  </si>
  <si>
    <t>citi ieņēmumi no citām pašvaldībam</t>
  </si>
  <si>
    <t>12.</t>
  </si>
  <si>
    <t>Budžeta iestāžu ieņēmumi</t>
  </si>
  <si>
    <t>21.3.5.0.</t>
  </si>
  <si>
    <t>12.1.</t>
  </si>
  <si>
    <t>maksa par izglītības pakalpojumiem</t>
  </si>
  <si>
    <t>21.3.5.2.</t>
  </si>
  <si>
    <t>12.1.1.</t>
  </si>
  <si>
    <t>ieņēmumi no vecāku maksām (PII)</t>
  </si>
  <si>
    <t>21.3.5.9.</t>
  </si>
  <si>
    <t>12.1.2.</t>
  </si>
  <si>
    <t>ieņēmumi no vecāku maksām (ĀMMS; BJSS)</t>
  </si>
  <si>
    <t>12.2.</t>
  </si>
  <si>
    <t>pārrobežu projektu ieņēmumi ©</t>
  </si>
  <si>
    <t>12.2.1.</t>
  </si>
  <si>
    <t>ES Padomes projekts LIFE COHABIT ©</t>
  </si>
  <si>
    <t>0630.2</t>
  </si>
  <si>
    <t>12.2.2.</t>
  </si>
  <si>
    <t>pārrobežu EST-LAT projekts "Militārais mantojums</t>
  </si>
  <si>
    <t>21.3.8.0.</t>
  </si>
  <si>
    <t>12.3.</t>
  </si>
  <si>
    <t>ieņēmumi par nomu un īri</t>
  </si>
  <si>
    <t>21.3.8.1.</t>
  </si>
  <si>
    <t>12.3.1.</t>
  </si>
  <si>
    <t>ieņēmumi par telpu nomu</t>
  </si>
  <si>
    <t>21.3.8.4.</t>
  </si>
  <si>
    <t>12.3.2.</t>
  </si>
  <si>
    <t>ieņēmumi par zemes nomu</t>
  </si>
  <si>
    <t>12.3.3.</t>
  </si>
  <si>
    <t>pārējie ieņēmumi par nomu ©</t>
  </si>
  <si>
    <t>21.3.9.0.</t>
  </si>
  <si>
    <t>12.4.</t>
  </si>
  <si>
    <t>budžeta iestāžu maksas pakalpojumi</t>
  </si>
  <si>
    <t>0812</t>
  </si>
  <si>
    <t>12.4.1.</t>
  </si>
  <si>
    <t>12.4.2.</t>
  </si>
  <si>
    <t>ieņēmumi no biļešu realizācijas</t>
  </si>
  <si>
    <t>12.4.3.</t>
  </si>
  <si>
    <t>ieņēmumi no dzīvokļu un komunālajiem pakalpojumiem ©</t>
  </si>
  <si>
    <t>21.3.5.9.; 21.4.9.9.</t>
  </si>
  <si>
    <t>12.6.</t>
  </si>
  <si>
    <t>pārējie ieņēmumi/stāvvietu ieņēmumi</t>
  </si>
  <si>
    <t>KOPĀ IEŅĒMUMI:</t>
  </si>
  <si>
    <t>13.</t>
  </si>
  <si>
    <t>Naudas līdzekļu atlikums gada sākumā</t>
  </si>
  <si>
    <t>13.1.</t>
  </si>
  <si>
    <t>Naudas atlikums iezīmētiem mērķiem</t>
  </si>
  <si>
    <t>13.2.</t>
  </si>
  <si>
    <t>Naudas atlikums pašvaldības līdzekļi</t>
  </si>
  <si>
    <t xml:space="preserve">14. </t>
  </si>
  <si>
    <t>Valsts Kases kredīti</t>
  </si>
  <si>
    <t>14.1.</t>
  </si>
  <si>
    <t>14.2.</t>
  </si>
  <si>
    <t>14.3.</t>
  </si>
  <si>
    <t xml:space="preserve"> "Auto stāvlaukuma Lilastē paplašināšana, atpūtas vietu, labiekārtojuma, labierīcību, kempinga iespēju projektēšana un izbūve" ©</t>
  </si>
  <si>
    <t>F40321210</t>
  </si>
  <si>
    <t>14.4.</t>
  </si>
  <si>
    <t>SAM 5.1.1. Pretplūdu pasākumi Ādažu centra polderī, Ādažu novadā</t>
  </si>
  <si>
    <t>14.5.</t>
  </si>
  <si>
    <t>14.6.</t>
  </si>
  <si>
    <t>Carnikavas stadiona rekonstrukcija</t>
  </si>
  <si>
    <t>14.7.</t>
  </si>
  <si>
    <t>Ādažu vidusskolas ēkas B korpusa un savienojuma daļas starp korpusiem (C un B) fasādes atjaunošana</t>
  </si>
  <si>
    <t>14.8.</t>
  </si>
  <si>
    <t>Kalngales NAI pārbūve</t>
  </si>
  <si>
    <t>14.9.</t>
  </si>
  <si>
    <t>14.10.</t>
  </si>
  <si>
    <t>14.11.</t>
  </si>
  <si>
    <t>Ķiršu ielas III kārta no Saules ielas līdz Attekas ielai 0.17km</t>
  </si>
  <si>
    <t>14.12.</t>
  </si>
  <si>
    <t>Draudzības iela posmā no Saules ielai līdz Podnieku ielai ar ietvi 0.35km</t>
  </si>
  <si>
    <t>PAVISAM KOPĀ IEŅĒMUMI:</t>
  </si>
  <si>
    <t xml:space="preserve">Izdevumu daļa </t>
  </si>
  <si>
    <t>Komentāri</t>
  </si>
  <si>
    <t>Vispārējie valdības dienesti</t>
  </si>
  <si>
    <t>0110</t>
  </si>
  <si>
    <t>pārvalde</t>
  </si>
  <si>
    <t>0111</t>
  </si>
  <si>
    <t>deputāti</t>
  </si>
  <si>
    <t>0130</t>
  </si>
  <si>
    <t>1.3.</t>
  </si>
  <si>
    <t>administratīvā komisija</t>
  </si>
  <si>
    <t>0140</t>
  </si>
  <si>
    <t>1.4.</t>
  </si>
  <si>
    <t>iepirkumu komisija</t>
  </si>
  <si>
    <t>0120</t>
  </si>
  <si>
    <t>1.5.</t>
  </si>
  <si>
    <t>vēlēšanu komisija</t>
  </si>
  <si>
    <t>0150</t>
  </si>
  <si>
    <t>1.6.</t>
  </si>
  <si>
    <t>pārējās komisijas</t>
  </si>
  <si>
    <t>EUR2000 uz PII Piejūra - balva par energotaupības rezultātiem</t>
  </si>
  <si>
    <t>1.7.</t>
  </si>
  <si>
    <t>aizņēmumu procentu maksājumi</t>
  </si>
  <si>
    <t>1.8.</t>
  </si>
  <si>
    <t>Iemaksas PFIF</t>
  </si>
  <si>
    <t>0170</t>
  </si>
  <si>
    <t>1.9.</t>
  </si>
  <si>
    <t>Informācijas tehnoloģiju nodaļa, vispārējas nozīmes dienestu darbība un pakalpojumi - datortīkla uzturēšana ©</t>
  </si>
  <si>
    <t>Pārējie vispārēja rakstura transferti</t>
  </si>
  <si>
    <t>0610</t>
  </si>
  <si>
    <t>Izdevumi neparedzētiem gadījumiem</t>
  </si>
  <si>
    <t>0340</t>
  </si>
  <si>
    <t>Sabiedriskā kārtība un drošība</t>
  </si>
  <si>
    <t>Ekonomiskā darbība</t>
  </si>
  <si>
    <t>0490</t>
  </si>
  <si>
    <t>Sabiedriskās attiecības, laikraksts</t>
  </si>
  <si>
    <t>4.1.1.</t>
  </si>
  <si>
    <t>Sabiedrisko attiecību nodaļa</t>
  </si>
  <si>
    <t>4.1.2.</t>
  </si>
  <si>
    <t>Ādažu vēstis</t>
  </si>
  <si>
    <t>0420</t>
  </si>
  <si>
    <t>Autoceļu fonds</t>
  </si>
  <si>
    <t>Vides aizsardzība</t>
  </si>
  <si>
    <t>0510</t>
  </si>
  <si>
    <t>Dabas resursu nodokļa izlietojums</t>
  </si>
  <si>
    <t>Pašvaldības teritoriju un mājokļu apsaimniekošana</t>
  </si>
  <si>
    <t>0620</t>
  </si>
  <si>
    <t>Būvvalde</t>
  </si>
  <si>
    <t>0660</t>
  </si>
  <si>
    <t>6.3.</t>
  </si>
  <si>
    <t>Teritorijas plānošanas nodaļa</t>
  </si>
  <si>
    <t>6.4.</t>
  </si>
  <si>
    <t>Attīstības un projektu nodaļa</t>
  </si>
  <si>
    <t>6.4.1.</t>
  </si>
  <si>
    <t>nodaļa</t>
  </si>
  <si>
    <t>Life CoHabit projekts noslēdzies - 2) EUR 5033 Gaujas-Baltezera projekta realizācijai (Lēmums #82)</t>
  </si>
  <si>
    <t>0630.1</t>
  </si>
  <si>
    <t>6.4.2.</t>
  </si>
  <si>
    <t>Projekts "Sabiedrība ar dvēseli"</t>
  </si>
  <si>
    <t>6.4.3.</t>
  </si>
  <si>
    <t>Iedzīvotāju iniciatīvas un konkursi.</t>
  </si>
  <si>
    <t>0632.5</t>
  </si>
  <si>
    <t>6.4.4.</t>
  </si>
  <si>
    <t>TEP “Atjaunojamo energoresursu izmantošana Ādažu novadā” (EUCF)</t>
  </si>
  <si>
    <t>EUR 18'000 no atlikuma uz TEP “Atjaunojamo energoresursu izmantošana Ādažu novadā” (EUCF) projektu priekšfinansējumam. (Lēmums #164)</t>
  </si>
  <si>
    <t>0633.1</t>
  </si>
  <si>
    <t>6.4.5.</t>
  </si>
  <si>
    <t>”Mobilitātes punkta infrastruktūras izveidošana Rīgas metropoles areālā – “Carnikava””</t>
  </si>
  <si>
    <t>0633.2</t>
  </si>
  <si>
    <t>6.4.6.</t>
  </si>
  <si>
    <t>0632.4</t>
  </si>
  <si>
    <t>6.4.7.</t>
  </si>
  <si>
    <t>6.4.8.</t>
  </si>
  <si>
    <t xml:space="preserve">  ES Padomes projekts LIFE COHABIT ©</t>
  </si>
  <si>
    <t>Life CoHabit projekts noslēdzies - 1) EUR 18'000 no atlikuma uz TEP “Atjaunojamo energoresursu izmantošana Ādažu novadā” (EUCF) projektu priekšfinansējumam. (Lēmums #164)
2) EUR 5033 Gaujas-Baltezera projekta realizācijai (Lēmums #82)</t>
  </si>
  <si>
    <t>6.4.9.</t>
  </si>
  <si>
    <t>Pārrobežu EST-LAT projekts "Militārais mantojums ©</t>
  </si>
  <si>
    <t>0633.5</t>
  </si>
  <si>
    <t>6.4.10.</t>
  </si>
  <si>
    <t>6.5.</t>
  </si>
  <si>
    <t>Objektu un teritorijas apsaimniekošana un uzturēšana</t>
  </si>
  <si>
    <t>6.5.1.</t>
  </si>
  <si>
    <t>Nekustamo īpašumu uzturēšana (Ā)</t>
  </si>
  <si>
    <t>0670</t>
  </si>
  <si>
    <t xml:space="preserve">Nekustamā īpašumas nodaļa </t>
  </si>
  <si>
    <t>0649</t>
  </si>
  <si>
    <t>6.5.2.</t>
  </si>
  <si>
    <t>Mežaparka ceļš (Ā)</t>
  </si>
  <si>
    <t>6.5.3.</t>
  </si>
  <si>
    <t>CKS_apsaimniek</t>
  </si>
  <si>
    <t>6.5.4.</t>
  </si>
  <si>
    <t>Pašvaldības aģentūra "Carnikavas Komunālserviss"</t>
  </si>
  <si>
    <t>6.5.5.</t>
  </si>
  <si>
    <t>P/A "Carnikavas komunālserviss" teritorijas un īpašumu apsaimniekošana</t>
  </si>
  <si>
    <t>6.5.5.1</t>
  </si>
  <si>
    <t>Dotācija CKS teritorijas uzturēšanai</t>
  </si>
  <si>
    <t>6.5.5.2.</t>
  </si>
  <si>
    <t>Dotācija CKS ceļu uzturēšanai</t>
  </si>
  <si>
    <t>6.5.5.3.</t>
  </si>
  <si>
    <t>Teritorijas uzturēšana (Dome)</t>
  </si>
  <si>
    <t>0650_4</t>
  </si>
  <si>
    <t>6.5.6.</t>
  </si>
  <si>
    <t>Ceļu, ielu infrastruktūras attīstības programma  - pašvaldības ieguldījums ©</t>
  </si>
  <si>
    <t>0633.3</t>
  </si>
  <si>
    <t>6.5.7.</t>
  </si>
  <si>
    <t>6.5.8.</t>
  </si>
  <si>
    <t>Rasiņu ielas seguma atjaunošana</t>
  </si>
  <si>
    <t>6.5.9.</t>
  </si>
  <si>
    <t>6.5.10.</t>
  </si>
  <si>
    <t>6.5.11.</t>
  </si>
  <si>
    <t>6.5.12.</t>
  </si>
  <si>
    <t>6.5.13.</t>
  </si>
  <si>
    <t>0633.4</t>
  </si>
  <si>
    <t>6.5.14.</t>
  </si>
  <si>
    <t>KF Ūdenssaimniecības projekts Carnikavā, 3.kārta ©</t>
  </si>
  <si>
    <t>Atpūta, kultūra un reliģija</t>
  </si>
  <si>
    <t>Kultūra</t>
  </si>
  <si>
    <t>0841.1</t>
  </si>
  <si>
    <t>7.1.1.</t>
  </si>
  <si>
    <t xml:space="preserve">Ādažu kultūras centrs </t>
  </si>
  <si>
    <t>0841.2</t>
  </si>
  <si>
    <t>7.1.2.</t>
  </si>
  <si>
    <t>Tautas nams "Ozolaine" ©</t>
  </si>
  <si>
    <t>0841.3</t>
  </si>
  <si>
    <t>7.1.3.</t>
  </si>
  <si>
    <t>Muzejs un Carnikavas novadpētniecības centrs</t>
  </si>
  <si>
    <t>0841.4</t>
  </si>
  <si>
    <t>Dziesmu svētki 2023</t>
  </si>
  <si>
    <t>0844.1</t>
  </si>
  <si>
    <t>7.3.</t>
  </si>
  <si>
    <t>SAM 5.5.1. Kultūras objektu būvniecība (maksājumi projekta partneriem) ©</t>
  </si>
  <si>
    <t>0844.2</t>
  </si>
  <si>
    <t>7.4.</t>
  </si>
  <si>
    <t>0830</t>
  </si>
  <si>
    <t>7.5.</t>
  </si>
  <si>
    <t xml:space="preserve">Ādažu bibliotēka </t>
  </si>
  <si>
    <t>Saskaņā ar maija sēdes lēmumu par bibliotēkas paplašināšanos</t>
  </si>
  <si>
    <t>0831</t>
  </si>
  <si>
    <t>7.6.</t>
  </si>
  <si>
    <t xml:space="preserve">Carnikavas bibliotēka </t>
  </si>
  <si>
    <t>7.8.</t>
  </si>
  <si>
    <t>Sporta daļa</t>
  </si>
  <si>
    <t>0880</t>
  </si>
  <si>
    <t>7.9.</t>
  </si>
  <si>
    <t>Evaņģēliski luteriskās draudzes</t>
  </si>
  <si>
    <t>0843</t>
  </si>
  <si>
    <t>7.10.</t>
  </si>
  <si>
    <t>Multihalle</t>
  </si>
  <si>
    <t>Sociālā aizsardzība</t>
  </si>
  <si>
    <t>Sociālais dienests</t>
  </si>
  <si>
    <t>8.1.1.</t>
  </si>
  <si>
    <t xml:space="preserve">Sociālās funkcijas nodrošināšana </t>
  </si>
  <si>
    <t>8.1.2.</t>
  </si>
  <si>
    <t>Pabalsti</t>
  </si>
  <si>
    <t>8.1.3.</t>
  </si>
  <si>
    <t>Mērķdotācija</t>
  </si>
  <si>
    <t>8.1.5.</t>
  </si>
  <si>
    <t>Asistentu pakalpojumi</t>
  </si>
  <si>
    <t>8.1.6.</t>
  </si>
  <si>
    <t>Sociālā centra "Kadiķis" uzturēšana</t>
  </si>
  <si>
    <t>Stipendiāti / bezdarbnieki</t>
  </si>
  <si>
    <t>8.2.1.</t>
  </si>
  <si>
    <t>Domes finansējums</t>
  </si>
  <si>
    <t>8.2.2.</t>
  </si>
  <si>
    <t>NVA finansējums</t>
  </si>
  <si>
    <t>SAM 9311 Deinstitucionalizācija - Dienas centrs</t>
  </si>
  <si>
    <t>1014.3</t>
  </si>
  <si>
    <t>8.3.1.</t>
  </si>
  <si>
    <t>DI centra uzturēšanas izdevumi</t>
  </si>
  <si>
    <t>8.3.2.</t>
  </si>
  <si>
    <t>DI projekts- specializētās darbnīcas</t>
  </si>
  <si>
    <t>1014.1</t>
  </si>
  <si>
    <t>8.3.3.</t>
  </si>
  <si>
    <t>DI centra pakalpojumi (projekts)</t>
  </si>
  <si>
    <t>8.4.</t>
  </si>
  <si>
    <t>Bāriņtiesa</t>
  </si>
  <si>
    <t>8.5.</t>
  </si>
  <si>
    <t>8.6.</t>
  </si>
  <si>
    <t>1013.1</t>
  </si>
  <si>
    <t>8.7.</t>
  </si>
  <si>
    <t>SAM 9.2.4.2. projekts "Pasākumi vietējās sabiedrības veselības veicināšanai Ādažu novada pašvaldības Ādažu pagastā"</t>
  </si>
  <si>
    <t>1013.2</t>
  </si>
  <si>
    <t>8.8.</t>
  </si>
  <si>
    <t>SAM 9.2.4.2. projekts "Pasākumi vietējās sabiedrības veselības veicināšanai Ādažu novada pašvaldības Carnikavas pagastā"</t>
  </si>
  <si>
    <t>Izglītība</t>
  </si>
  <si>
    <t>7210 (0940; 0970)</t>
  </si>
  <si>
    <t>9.1.</t>
  </si>
  <si>
    <t>Norēķini ar pašvaldību budžetiem par izglītības iestāžu pakalpojumiem</t>
  </si>
  <si>
    <t>9.2.</t>
  </si>
  <si>
    <t>Ādažu Pirmsskolas izglītības iestāde</t>
  </si>
  <si>
    <t>0911</t>
  </si>
  <si>
    <t>9.2.1.</t>
  </si>
  <si>
    <t>pedagogu algas, grāmatas (mērķdotācija)</t>
  </si>
  <si>
    <t>0910</t>
  </si>
  <si>
    <t>9.2.2.</t>
  </si>
  <si>
    <t>pārējās izmaksas</t>
  </si>
  <si>
    <t>9.3.</t>
  </si>
  <si>
    <t>Kadagas PII</t>
  </si>
  <si>
    <t>0921</t>
  </si>
  <si>
    <t>9.3.1.</t>
  </si>
  <si>
    <t>0920</t>
  </si>
  <si>
    <t>9.3.2.</t>
  </si>
  <si>
    <t>9.4.</t>
  </si>
  <si>
    <t>Pirmsskolas izglītības iestāde "Riekstiņš"</t>
  </si>
  <si>
    <t>09011</t>
  </si>
  <si>
    <t>9.4.1.</t>
  </si>
  <si>
    <t>0901; 650_0901</t>
  </si>
  <si>
    <t>9.4.2.</t>
  </si>
  <si>
    <t>9.4.3.</t>
  </si>
  <si>
    <t>uzturēšanas izmaksas (CKS)</t>
  </si>
  <si>
    <t>0902; 650_0902</t>
  </si>
  <si>
    <t>9.5.</t>
  </si>
  <si>
    <t>Pirmsskolas izglītības iestādes "Piejūra"</t>
  </si>
  <si>
    <t>09021</t>
  </si>
  <si>
    <t>9.5.1.</t>
  </si>
  <si>
    <t>9.5.2.</t>
  </si>
  <si>
    <t>9.5.3.</t>
  </si>
  <si>
    <t>9.6.</t>
  </si>
  <si>
    <t>Privātās izglītības iestādes</t>
  </si>
  <si>
    <t>0970</t>
  </si>
  <si>
    <t>9.6.1.</t>
  </si>
  <si>
    <t>ĀBVS</t>
  </si>
  <si>
    <t>0940</t>
  </si>
  <si>
    <t>9.6.2.</t>
  </si>
  <si>
    <t>Privātās skolas</t>
  </si>
  <si>
    <t>9.6.3.</t>
  </si>
  <si>
    <t>Pārējās privātās PII</t>
  </si>
  <si>
    <t>9.7.</t>
  </si>
  <si>
    <t>Carnikavas pamatskola</t>
  </si>
  <si>
    <t>09821</t>
  </si>
  <si>
    <t>9.7.1.</t>
  </si>
  <si>
    <t>9.7.2.</t>
  </si>
  <si>
    <t>ēdināšana (mērķdotācija)</t>
  </si>
  <si>
    <t>0982; 0650_0982</t>
  </si>
  <si>
    <t>9.7.3.</t>
  </si>
  <si>
    <t>9.7.4.</t>
  </si>
  <si>
    <t>09822</t>
  </si>
  <si>
    <t>9.7.5.</t>
  </si>
  <si>
    <t>projekts "Skolas soma"</t>
  </si>
  <si>
    <t>09825</t>
  </si>
  <si>
    <t>9.7.6.</t>
  </si>
  <si>
    <t>projekts Erasmus+</t>
  </si>
  <si>
    <t>0982</t>
  </si>
  <si>
    <t>9.7.7.</t>
  </si>
  <si>
    <t>mācību vides labiekārtošana</t>
  </si>
  <si>
    <t>09823</t>
  </si>
  <si>
    <t>9.8.</t>
  </si>
  <si>
    <t>9.9.</t>
  </si>
  <si>
    <t>Ādažu vidusskola</t>
  </si>
  <si>
    <t>0954</t>
  </si>
  <si>
    <t>9.9.1.</t>
  </si>
  <si>
    <t>0950</t>
  </si>
  <si>
    <t>9.9.2.</t>
  </si>
  <si>
    <t>1. EUR 7'900 IZM piegādāto ChromeBook (IZM projekts datori 7-9 kl. skolēniem) uzglabāšanas, uzlādes skapji 5 gb. (32 datori vienā skapī). Šos no EKK 5238 uz EKK 5240.
2. EUR 10'864 SIA "Ādažu Namsaimnieks" dividendes, novirzīt caur 0950 izdevumi vidussk.apkures sist.pāreja uz atjaunoj.energoresursiem, Domes lēmums Nr.215.</t>
  </si>
  <si>
    <t>Ugunsdrošības un apziņošanas sistēmas ierīkošana Ādažu vidusskolas korpusā -2023.gadā gala maksājums EUR 43000 no konta atlikuma (nebija iekļauts budžeta plānā)</t>
  </si>
  <si>
    <t>0957</t>
  </si>
  <si>
    <t>9.9.3.</t>
  </si>
  <si>
    <t>0951</t>
  </si>
  <si>
    <t>9.9.4.</t>
  </si>
  <si>
    <t>9.9.5.</t>
  </si>
  <si>
    <t>Ādažu vidusskolas ēkas B korpusa un savienojuma daļas starp korpusiem (C un B) fasādes atjaunošana - pašvaldības līdzfinansējuma daļa (aizņemšanās nosacījumi paredz 10% līdzfin.)</t>
  </si>
  <si>
    <t>0981</t>
  </si>
  <si>
    <t>9.9.6.</t>
  </si>
  <si>
    <t>sākumskolas uzturēšanas izmaksas</t>
  </si>
  <si>
    <t>1. EUR 7'000 no apkures izmaksām (EKK 2221) uz EKK 5239 boilera uzstādīšanai, SIA "Namsaimnieks" nenodrošina silto ūdeni ārpus apkures sezonai.
2. EUR 166'307 pusdienu līdzfinansējums 1.-4.kl. (EKK korekcija)</t>
  </si>
  <si>
    <t>9.9.7.</t>
  </si>
  <si>
    <t>sākumskolas ēdināšana (mērķdotācija)</t>
  </si>
  <si>
    <t>9.9.8.</t>
  </si>
  <si>
    <t xml:space="preserve">PII </t>
  </si>
  <si>
    <t>0952.1</t>
  </si>
  <si>
    <t>9.9.8.1.</t>
  </si>
  <si>
    <t>- pedagogu algas (mērķdotācija)</t>
  </si>
  <si>
    <t>0952</t>
  </si>
  <si>
    <t>9.9.8.2.</t>
  </si>
  <si>
    <t>-  uzturēšana</t>
  </si>
  <si>
    <t>9.10.</t>
  </si>
  <si>
    <t>Ādažu novada  Mākslu skola</t>
  </si>
  <si>
    <t>9.10.1.</t>
  </si>
  <si>
    <t>pedagogu algas (mērķdotācija)</t>
  </si>
  <si>
    <t>9.10.2.</t>
  </si>
  <si>
    <t>9.11.</t>
  </si>
  <si>
    <t>Sporta skola</t>
  </si>
  <si>
    <t>09651</t>
  </si>
  <si>
    <t>9.11.1.</t>
  </si>
  <si>
    <t>0965</t>
  </si>
  <si>
    <t>9.11.2.</t>
  </si>
  <si>
    <t>Pašvaldības finansējums</t>
  </si>
  <si>
    <t>0930</t>
  </si>
  <si>
    <t>9.12.</t>
  </si>
  <si>
    <t xml:space="preserve">Izglītības un jauniešu lietu pārvalde </t>
  </si>
  <si>
    <t>9.13.</t>
  </si>
  <si>
    <t>Aktivitātes jauniešiem, jauniešu projektu konkurss</t>
  </si>
  <si>
    <t>0931</t>
  </si>
  <si>
    <t>9.14.</t>
  </si>
  <si>
    <t>ESF projekts Atbalsts priekšlaicīgas mācību pārtraukšanas samazināšanai © (Pumpurs)</t>
  </si>
  <si>
    <t>0932</t>
  </si>
  <si>
    <t>9.15.</t>
  </si>
  <si>
    <t>0933</t>
  </si>
  <si>
    <t>9.16.</t>
  </si>
  <si>
    <t>Valsts finansējums projektu konkursā "Atbalsts jaunatnes politikas īstenošanai vietējā līmenī"  projekts "Mobilais darbs ar jaunatni Ādažu novadā"</t>
  </si>
  <si>
    <t>9.17.</t>
  </si>
  <si>
    <t>0956</t>
  </si>
  <si>
    <t>9.17.1.</t>
  </si>
  <si>
    <t>Ādaži</t>
  </si>
  <si>
    <t>09824</t>
  </si>
  <si>
    <t>9.17.2.</t>
  </si>
  <si>
    <t>Carnikava</t>
  </si>
  <si>
    <t>10</t>
  </si>
  <si>
    <t>Ieguldījumi uzņēmumu pamatkapitālā</t>
  </si>
  <si>
    <t>SIA "Ādažu ūdens"</t>
  </si>
  <si>
    <t>SIA "Garkalnes ūdens"</t>
  </si>
  <si>
    <t>KOPĀ IZDEVUMI:</t>
  </si>
  <si>
    <t>Kredītu pamatsummas atmaksa</t>
  </si>
  <si>
    <t>PAVISAM KOPĀ IZDEVUMI:</t>
  </si>
  <si>
    <t>-</t>
  </si>
  <si>
    <t>Naudas līdzekļu atlikums uz gada beigām</t>
  </si>
  <si>
    <t>Apdrošināšana tiltam</t>
  </si>
  <si>
    <t>CKS algu ekonomija</t>
  </si>
  <si>
    <t>Algu ekonomija</t>
  </si>
  <si>
    <t>IIN</t>
  </si>
  <si>
    <t xml:space="preserve">ĀVS </t>
  </si>
  <si>
    <t>ĀNS siltināšanas līdzfinansējums</t>
  </si>
  <si>
    <t>Garā 20 (ārstu prakse)</t>
  </si>
  <si>
    <t>Garā 20 apkopēja</t>
  </si>
  <si>
    <t>Ādažu bibliotēka</t>
  </si>
  <si>
    <t>Autobuss dziesmu svētkiem</t>
  </si>
  <si>
    <t>Smilšu ielas izbūves projektēšana</t>
  </si>
  <si>
    <t>Vecštāles caurteka</t>
  </si>
  <si>
    <t>2 dzīvokļu remonts (zemsvītras projekts)</t>
  </si>
  <si>
    <t>ĀPII rotaļu laukums</t>
  </si>
  <si>
    <t>(Strautiņš - defektācijas akts 2022. gadā, kādas būs novēršanas izmaksas?)</t>
  </si>
  <si>
    <t>Papildus ieņēmumi/ ekonomijas</t>
  </si>
  <si>
    <t>CKS piedāvājums infrastruktūras prioritātēm</t>
  </si>
  <si>
    <t>Aizvara izbūve Vecštāles ceļa caurtekai</t>
  </si>
  <si>
    <t>PII Strautiņš</t>
  </si>
  <si>
    <t>Jaunas rotaļiekārtas laukumiņos (1.,2.,9. un 12. grupām)</t>
  </si>
  <si>
    <t>Pašvaldības dzīvokļa remonts Kadaga 10-63</t>
  </si>
  <si>
    <t>Liepu aleja (ir tehniskais projekts)</t>
  </si>
  <si>
    <t>Publisko ūdeņu apsaimniekošanas plāna izstrāde</t>
  </si>
  <si>
    <t>Viršu ielas/atzars uz Sproģu ielu asfaltbetona seguma atjaunošana posmā no Dzērveņu ielas līdz Serģu iela (980 m) Ir izstrādāts tehniskais projekts</t>
  </si>
  <si>
    <t>Baltezera kapu digitalizācija (pogramma Cemety)</t>
  </si>
  <si>
    <t>Bērnu rotaļu komplekss Carnikavas parkā (8-12 gadi)</t>
  </si>
  <si>
    <t>Kļavu ielā divkārtas virsmas apstrāde (350 m). Ir būvprojekts</t>
  </si>
  <si>
    <t>Kultūras centrs</t>
  </si>
  <si>
    <t xml:space="preserve">49 austas rakstainās jostas korim SAKNES </t>
  </si>
  <si>
    <t>Liepu aleja (jauns tehniskais projekts)</t>
  </si>
  <si>
    <t>Zemsvītras ATBALSTĪTĀS investīcijas prioritārā secībā</t>
  </si>
  <si>
    <t>Atlikums</t>
  </si>
  <si>
    <t>Izvērtējamā projekta nosaukums</t>
  </si>
  <si>
    <t>Kopsumma</t>
  </si>
  <si>
    <t>Finansējuma avots</t>
  </si>
  <si>
    <t>Cits finansējums</t>
  </si>
  <si>
    <t>Aizņēmums</t>
  </si>
  <si>
    <t>Struktūrvienība</t>
  </si>
  <si>
    <t>Caurteku rekonstrukcija (sabrukušas) (2gb D500.-12000 EUR Medus ielā un 1gab.Stempja ceļa D800, Āņos</t>
  </si>
  <si>
    <t>Jau uzņemto saistību izpildei nepieciešamais finansējums</t>
  </si>
  <si>
    <t>VK aizņēmumu atmaksas prognoze 2023.g.</t>
  </si>
  <si>
    <t>Pamatsumma</t>
  </si>
  <si>
    <t>Procentu maksa</t>
  </si>
  <si>
    <t>Apkalpošanas maksa</t>
  </si>
  <si>
    <t>1.cet.</t>
  </si>
  <si>
    <t>Budžets</t>
  </si>
  <si>
    <t>Fakts</t>
  </si>
  <si>
    <t>2.cet.</t>
  </si>
  <si>
    <t>3.cet.</t>
  </si>
  <si>
    <t>Prognoze</t>
  </si>
  <si>
    <t>4.cet.</t>
  </si>
  <si>
    <t>Kopā</t>
  </si>
  <si>
    <t>Novirze</t>
  </si>
  <si>
    <t>Plenērs par izglītības kvartālu</t>
  </si>
  <si>
    <t>Ieņēmumi no apdrošināšanas prēmijas tiltam Carnikavā.</t>
  </si>
  <si>
    <t>EKK korekcija (algu ekonomija novirzīta uz KA, atbalstīto zemsvītras investīciju finansēšanai.)</t>
  </si>
  <si>
    <t>+ EUR 15'000 arhitektu plenērs izglītības kvartālam</t>
  </si>
  <si>
    <t>Noslēdzies iepirkums par kopsummu EUR 16'298. EUR 1'298 novirzīt no projekta Militārais mantojums (0630.2/2239) uz Ģimenes ārsta prakses izveide (0633.5/5240).</t>
  </si>
  <si>
    <t>+ EUR 2'498 (49 austas rakstainās jostas korim SAKNES)</t>
  </si>
  <si>
    <t>1. - EUR 7'910 korekcija (algu ekonomija novirzīta uz KA, atbalstīto zemsvītras investīciju finansēšanai.)
2. + EUR 20'000 ĀPII rotaļu laukums</t>
  </si>
  <si>
    <t>EUR 2000 uz PII Piejūra - balva par energotaupības rezultātiem</t>
  </si>
  <si>
    <t xml:space="preserve">Caurteku rekonstrukcija (sabrukušas) (D500.-12000 EUR Medus ielā </t>
  </si>
  <si>
    <t>Dzirnupes ielas tilta projektēšanai</t>
  </si>
  <si>
    <t>Vecštāles caurtekas remonts</t>
  </si>
  <si>
    <t>Noslēdzies iepirkums autobusa iegādei 2023.gada maksājumi EUR 27'121 (budžetā EUR 19'200)</t>
  </si>
  <si>
    <t>+ EUR 7'921 - Noslēdzies iepirkums autobusa iegādei 2023.gada maksājumi EUR 27'121 (budžetā EUR 19'200)</t>
  </si>
  <si>
    <t>14.13.</t>
  </si>
  <si>
    <t>Liepu aleja</t>
  </si>
  <si>
    <t>Atbalstīta projekta realizācija</t>
  </si>
  <si>
    <t>Ādažu pašvaldības aizņēmumu un citu ilgtermiņa saistību pārskats</t>
  </si>
  <si>
    <t>Aizdevumu pamatsummu un procentu atmaksa faktiskajiem un plānotajiem aizņēmumiem.</t>
  </si>
  <si>
    <t>Aizdevuma mērķis</t>
  </si>
  <si>
    <t>Līguma termiņš</t>
  </si>
  <si>
    <t>Līgumsumma EUR</t>
  </si>
  <si>
    <t>Kopā 2023. gadā</t>
  </si>
  <si>
    <t>Kopā 2024. gadā</t>
  </si>
  <si>
    <t>Kopā 2025. gadā</t>
  </si>
  <si>
    <t>Kopā 2026. gadā</t>
  </si>
  <si>
    <t>Kopā 2027. gadā</t>
  </si>
  <si>
    <t>Kopā 2028. gadā</t>
  </si>
  <si>
    <t>Kopā 2029. gadā</t>
  </si>
  <si>
    <t>No 2030. - 2051.</t>
  </si>
  <si>
    <t>Kopsumma no 2023. - 2051.</t>
  </si>
  <si>
    <t>Stabilizācijas aizdevums -</t>
  </si>
  <si>
    <t>20.04.2036.</t>
  </si>
  <si>
    <t>1.kārtas 2.posms</t>
  </si>
  <si>
    <t>20.12.2031.</t>
  </si>
  <si>
    <t xml:space="preserve"> 1.kārtas 3.posms</t>
  </si>
  <si>
    <t>Stabilizācijas aizdevums - 2.k. 1.p.</t>
  </si>
  <si>
    <t>25.03.2032.</t>
  </si>
  <si>
    <t>Kohēzijas projekts</t>
  </si>
  <si>
    <t>Stabilizācijas aizdevums - 2.k. 2.p.</t>
  </si>
  <si>
    <t>25.11.2023.</t>
  </si>
  <si>
    <t>Kohēzijas projekts II kārta</t>
  </si>
  <si>
    <t xml:space="preserve">Gaujas ielas rekonstrukcija </t>
  </si>
  <si>
    <t>20.05.2032.</t>
  </si>
  <si>
    <t>1.-3.kārta</t>
  </si>
  <si>
    <t>Gaujas ielas rekonstrukcijai</t>
  </si>
  <si>
    <t>20.08.2032.</t>
  </si>
  <si>
    <t>4.kārta</t>
  </si>
  <si>
    <t>Ādažu vidusskolas remonts</t>
  </si>
  <si>
    <t>20.06.2023</t>
  </si>
  <si>
    <t>88'266+46'627</t>
  </si>
  <si>
    <t>Jaunās skolas būvniecībai</t>
  </si>
  <si>
    <t>20.06.2048.</t>
  </si>
  <si>
    <t>Būvniecība 1.,2.kārta</t>
  </si>
  <si>
    <t>20.04.2048.</t>
  </si>
  <si>
    <t>Būvniecība 3.kārta izsniegts</t>
  </si>
  <si>
    <t>Gaujas ielas gājēju celiņa izbūve</t>
  </si>
  <si>
    <t>20.06.2027.</t>
  </si>
  <si>
    <t>Muižas ielas rekonstrukcijai</t>
  </si>
  <si>
    <t>20.09.2028.</t>
  </si>
  <si>
    <t>Ataru ceļa rekonstrukcija</t>
  </si>
  <si>
    <t>SAM 4.2.2. ĀPII</t>
  </si>
  <si>
    <t>20.09.2034.</t>
  </si>
  <si>
    <t>Remontdarbi</t>
  </si>
  <si>
    <t>13.3.</t>
  </si>
  <si>
    <t xml:space="preserve">SAM 5.1.1. Pretplūdu pasākumi </t>
  </si>
  <si>
    <t>20.05.2037.</t>
  </si>
  <si>
    <t xml:space="preserve">Ādažu centra polderī, Ādažu novadā </t>
  </si>
  <si>
    <t>13.4.</t>
  </si>
  <si>
    <t xml:space="preserve">ERAF projekta (Nr.5.1.1.0/17/I/009) “Novērst plūdu un krasta erozijas </t>
  </si>
  <si>
    <t>21.12.2037.</t>
  </si>
  <si>
    <t>risku apdraudējumu Ādažu novadā, pirmā daļa” īstenošanai</t>
  </si>
  <si>
    <t>Attekas ielas rekonstrukcija</t>
  </si>
  <si>
    <t>20.09.2033.</t>
  </si>
  <si>
    <t xml:space="preserve">SAM 9311 Deinstitucionalizācija - </t>
  </si>
  <si>
    <t>20.11.2040.</t>
  </si>
  <si>
    <t>Dienas centrs</t>
  </si>
  <si>
    <t xml:space="preserve"> Bukultu ielas rekonstrukcija</t>
  </si>
  <si>
    <t>22.09.2025.</t>
  </si>
  <si>
    <t>Ķiršu ielas rekonstrukcija</t>
  </si>
  <si>
    <t>20.11.2031.</t>
  </si>
  <si>
    <t>Pirmās ielas stāvlaukums pie ĀPII</t>
  </si>
  <si>
    <t>21.09.2026.</t>
  </si>
  <si>
    <t>Mežaparka ceļa pārbūve</t>
  </si>
  <si>
    <t>Priežu ielas rekonstrukcija</t>
  </si>
  <si>
    <t xml:space="preserve">Skolas siltināšana un stadiona </t>
  </si>
  <si>
    <t>20.07.2032.</t>
  </si>
  <si>
    <t>rekonstrukcija</t>
  </si>
  <si>
    <t xml:space="preserve">Skolas ielas projektēšana izbūve - </t>
  </si>
  <si>
    <t>20.07.2027.</t>
  </si>
  <si>
    <t>3.kārta</t>
  </si>
  <si>
    <t>Pārjaunojuma līgums visiem līgumiem līdz 2015.gadam</t>
  </si>
  <si>
    <t>20.09.2035.</t>
  </si>
  <si>
    <t>Investīciju projektu īstenošanai (saistību pārjaunojums) Nr.A2/1/21/139 Trančes Nr.PP-14/2021</t>
  </si>
  <si>
    <t>21.06.2038.</t>
  </si>
  <si>
    <t xml:space="preserve">ELFLA projekts pievadceļu attīstība lauksaimniecības uzņēmumiem </t>
  </si>
  <si>
    <t>22.03.2038.</t>
  </si>
  <si>
    <t xml:space="preserve">Komunālās saimniecības investīcijas transportam </t>
  </si>
  <si>
    <t>20.05.2025.</t>
  </si>
  <si>
    <t>Būvprojekta "Kultūras un amatniecības centra pārbūve īpašumā "Blusas"" izstrāde</t>
  </si>
  <si>
    <t>22.05.2023.</t>
  </si>
  <si>
    <t>ERAF projekts Natura 2000 Atpūtas taka Carnikavā</t>
  </si>
  <si>
    <t>20.05.2038.</t>
  </si>
  <si>
    <t>ES Interreg Igaunijas - Latvijas projekts "Hiking Route Along the Baltic Sea Coastline in Latvia-Estonia"</t>
  </si>
  <si>
    <t>20.05.2033.</t>
  </si>
  <si>
    <t>Ceļu, ielu infrastruktūras programma1.kārta</t>
  </si>
  <si>
    <t>Prioritāro projektu īstenošana: bērnu rotaļu laukumi Carnikavas novadā</t>
  </si>
  <si>
    <t>20.06.2028.</t>
  </si>
  <si>
    <t>Izglītības iestāžu investīciju projekts - Carnikavas izglītības iestādes būvniecība no moduļiem</t>
  </si>
  <si>
    <t>20.07.2048.</t>
  </si>
  <si>
    <t>Izglītības iestāžu investīciju projekts - Piejūras PII būvniecība</t>
  </si>
  <si>
    <t>Ceļu, ielu infrastruktūras programma 2.kārta</t>
  </si>
  <si>
    <t>20.08.2038.</t>
  </si>
  <si>
    <t>Ceļu, ielu infrastruktūras programma 3.kārta</t>
  </si>
  <si>
    <t>Ceļu, ielu infrastruktūras programma 4.kārta</t>
  </si>
  <si>
    <t>20.10.2038.</t>
  </si>
  <si>
    <t xml:space="preserve">Prioritārais projekts Dambja būvniecība Valteru ielā </t>
  </si>
  <si>
    <t>22.11.2038.</t>
  </si>
  <si>
    <t>ELFLA Eimuru - Mangaļu poldera meliorācijas grāvju atjaunošana Carnikavas novadā</t>
  </si>
  <si>
    <t>20.02.2029.</t>
  </si>
  <si>
    <t>ERAF projekta SAM 3.3.1. Uzņēmējdarbības attīstībai nepieciešamās infrastruktūras attīstībai Carnikavas novada Garciemā" īstenošanai</t>
  </si>
  <si>
    <t>20.05.2049.</t>
  </si>
  <si>
    <t>SAM 5.5.1. Kultūras objektu būvniecība</t>
  </si>
  <si>
    <t>21.11.2039.</t>
  </si>
  <si>
    <t>Carnikavas novada pašvaldības transporta infrstruktūras attīstība</t>
  </si>
  <si>
    <t>20.09.2040.</t>
  </si>
  <si>
    <t>KF projekts "Ūdenssaimniecības pakalpojumu attīstība Carnikavā III kārta"</t>
  </si>
  <si>
    <t>20.09.2050.</t>
  </si>
  <si>
    <t>ERAF "Carnikavas pamatskolas pārbūve"</t>
  </si>
  <si>
    <t>20.01.2051.</t>
  </si>
  <si>
    <t>LAD  projekts koka laipu taka uz jūru</t>
  </si>
  <si>
    <t>20.01.2031.</t>
  </si>
  <si>
    <t>Budžeta un finanšu vadībai (Aprīkojums PII Piejūra)</t>
  </si>
  <si>
    <t>20.03.2024.</t>
  </si>
  <si>
    <t>Stacijas ielas pārbūve</t>
  </si>
  <si>
    <t>20.04.2051.</t>
  </si>
  <si>
    <t>Autostāvvietas izbūve Karlsona parkā, Garciemā, Carnikavas novadā</t>
  </si>
  <si>
    <t>20.05.2041.</t>
  </si>
  <si>
    <t>Lielās ielas pārbūve</t>
  </si>
  <si>
    <t>PII Piejūra būvniecības pabeigšana</t>
  </si>
  <si>
    <t>20.03.2051.</t>
  </si>
  <si>
    <t>Prioritārais projekts "PII "Piejūra" būvniecība"</t>
  </si>
  <si>
    <t>20.02.2051.</t>
  </si>
  <si>
    <t>Carnikavas pamatskolas infrastruktūras uzlabošana un mācību vides labiekārtošana</t>
  </si>
  <si>
    <t>21.12.2026.</t>
  </si>
  <si>
    <t>Aizvēju ielas Garciemā, dubultā virsmas apstrāde</t>
  </si>
  <si>
    <t>22.07.2029.</t>
  </si>
  <si>
    <t>Laivu ielas (no Cēlāju ciema līdz jūrai Carnikavā) un tai piegulošā auto stāvlaukuma projektēšana un būvniecība</t>
  </si>
  <si>
    <t>20.01.2037.</t>
  </si>
  <si>
    <t>20.07.2023.</t>
  </si>
  <si>
    <t>Carnikavas stadiona rekonstrukcija (Prioritārais)</t>
  </si>
  <si>
    <t>20.11.2037.</t>
  </si>
  <si>
    <t>Carnikavas stadiona rekonstrukcija (Covid19)</t>
  </si>
  <si>
    <t>22.11.2032.</t>
  </si>
  <si>
    <t xml:space="preserve"> "Auto stāvlaukuma Lilastē paplašināšana, atpūtas vietu, labiekārtojuma, labierīcību, kempinga iespēju projektēšana un izbūve"</t>
  </si>
  <si>
    <t>Citas ilgtermiņa saistības.</t>
  </si>
  <si>
    <t>Saistību mērķis</t>
  </si>
  <si>
    <t>Galvojums SIA "Ādažu ūdens"</t>
  </si>
  <si>
    <t>03.2032</t>
  </si>
  <si>
    <t xml:space="preserve">Līzings - jauna automašīna </t>
  </si>
  <si>
    <t>30.12.2024.</t>
  </si>
  <si>
    <t>Volvo V60</t>
  </si>
  <si>
    <t>Līzings - frontālais iekrāvējs</t>
  </si>
  <si>
    <t>20.11.2025.</t>
  </si>
  <si>
    <t>Līzings - mikroautobuss</t>
  </si>
  <si>
    <t>27.04.2025.</t>
  </si>
  <si>
    <t>20.03.2052.</t>
  </si>
  <si>
    <t>Līzings - skolēnu autobuss</t>
  </si>
  <si>
    <t>Aizdevumi un citas ilgtemiņa sistības kopā:</t>
  </si>
  <si>
    <t>x</t>
  </si>
  <si>
    <t>Saistību apmērs % no pamatbudžeta ieņēmumiem</t>
  </si>
  <si>
    <t xml:space="preserve">Pašvaldības pamatbudžeta ieņēmumi bez mērķdotācijām un iemaksām pašvaldību </t>
  </si>
  <si>
    <t>finanšu  izlīdzināšanas fondā saimnieciskajā gadā:</t>
  </si>
  <si>
    <t>2023. gadā</t>
  </si>
  <si>
    <t>2024. gadā</t>
  </si>
  <si>
    <t xml:space="preserve"> 2025. gadā</t>
  </si>
  <si>
    <t>2026. gadā</t>
  </si>
  <si>
    <t>2027. gadā</t>
  </si>
  <si>
    <t xml:space="preserve"> 2028. gadā</t>
  </si>
  <si>
    <t>2029. gadā</t>
  </si>
  <si>
    <t>Noslēdzies dubultās virsmas apstrādes iepirkums 1.daļa (Gaujmalas un Dārza iela) = 76 790,62 euro bez PVN jeb 92 916.65 ar pvn
2.daļa – (Kastaņu un Lazdu ielas) = 132 740,91 euro bez PVN jeb 160 616.50 ar pvn</t>
  </si>
  <si>
    <t>1.-  EUR 18'000 uz 30.04. ekonomija uz vakancēm.
2. + EUR 16'000 uz CKS Garā 20 apkopējas atalgojums.
3. + EUR 21'000 uz CKS ārstu prakse Garā iela 20
4. + EUR 30'000 Smilšu ielas izbūves projektēšana
5. + EUR 5'000 Vecštāles caurtekas remonts
6. + 30'000 Dzirnupes ielas tilta projektēšanai
7. + 12'000 Caurteku rekonstrukcija (sabrukušas) Medus ielā
8. + 36'000 2 dzīvokļu remonts
9. + 180'000 Liepu aleja (ir tehniskais projekts) (EUR 54'000 pašvaldības līdzekļi; EUR 126'000 VK aizņēmums)
10. + 15'597 noslēdzies dubultās virsmas apstrādes iepirkums (Gaujmalas, Dārza, Kastaņu un Lazdu ielām)</t>
  </si>
  <si>
    <t>EUR 20'000 papildus atobusu īrei Dziesmu un deju svētkos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</si>
</sst>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0.000%"/>
    <numFmt numFmtId="167" formatCode="#,##0.000"/>
    <numFmt numFmtId="168" formatCode="0.0%"/>
  </numFmts>
  <fonts count="60" x14ac:knownFonts="1">
    <font>
      <sz val="9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2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7030A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7030A0"/>
      <name val="Times New Roman"/>
      <family val="1"/>
      <charset val="186"/>
    </font>
    <font>
      <u/>
      <sz val="9"/>
      <color theme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8" tint="-0.249977111117893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3"/>
      <name val="Times New Roman"/>
      <family val="1"/>
      <charset val="186"/>
    </font>
    <font>
      <b/>
      <sz val="11"/>
      <color theme="3"/>
      <name val="Times New Roman"/>
      <family val="1"/>
      <charset val="186"/>
    </font>
    <font>
      <b/>
      <sz val="11"/>
      <name val="Times New Roman"/>
      <family val="1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9"/>
      <color theme="1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Arial"/>
      <family val="2"/>
      <charset val="186"/>
    </font>
    <font>
      <b/>
      <sz val="10"/>
      <color theme="1"/>
      <name val="Times New Roman"/>
      <family val="1"/>
      <charset val="186"/>
    </font>
    <font>
      <b/>
      <sz val="9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i/>
      <sz val="11"/>
      <color rgb="FF7030A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color rgb="FFFF0000"/>
      <name val="Times New Roman"/>
      <family val="1"/>
      <charset val="186"/>
    </font>
    <font>
      <b/>
      <sz val="8"/>
      <name val="Times New Roman"/>
      <family val="1"/>
      <charset val="186"/>
    </font>
    <font>
      <u/>
      <sz val="8"/>
      <color rgb="FFFF0000"/>
      <name val="Times New Roman"/>
      <family val="1"/>
      <charset val="186"/>
    </font>
    <font>
      <sz val="8"/>
      <name val="Times New Roman"/>
      <family val="1"/>
    </font>
    <font>
      <i/>
      <sz val="8"/>
      <name val="Times New Roman"/>
      <family val="1"/>
      <charset val="186"/>
    </font>
    <font>
      <i/>
      <sz val="8"/>
      <name val="Times New Roman"/>
      <family val="1"/>
    </font>
    <font>
      <b/>
      <sz val="8"/>
      <color rgb="FFFF0000"/>
      <name val="Times New Roman"/>
      <family val="1"/>
      <charset val="186"/>
    </font>
    <font>
      <b/>
      <sz val="10"/>
      <name val="Times New Roman"/>
      <family val="1"/>
    </font>
    <font>
      <b/>
      <sz val="8"/>
      <color rgb="FFC00000"/>
      <name val="Times New Roman"/>
      <family val="1"/>
      <charset val="186"/>
    </font>
    <font>
      <b/>
      <sz val="10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9"/>
      <color theme="3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i/>
      <sz val="9"/>
      <color theme="3"/>
      <name val="Times New Roman"/>
      <family val="1"/>
      <charset val="186"/>
    </font>
    <font>
      <i/>
      <sz val="9"/>
      <color indexed="56"/>
      <name val="Times New Roman"/>
      <family val="1"/>
      <charset val="186"/>
    </font>
    <font>
      <b/>
      <sz val="10"/>
      <color indexed="56"/>
      <name val="Times New Roman"/>
      <family val="1"/>
      <charset val="186"/>
    </font>
    <font>
      <sz val="9"/>
      <color indexed="56"/>
      <name val="Times New Roman"/>
      <family val="1"/>
      <charset val="186"/>
    </font>
    <font>
      <sz val="8"/>
      <color indexed="56"/>
      <name val="Times New Roman"/>
      <family val="1"/>
      <charset val="186"/>
    </font>
    <font>
      <b/>
      <sz val="9"/>
      <color indexed="56"/>
      <name val="Times New Roman"/>
      <family val="1"/>
      <charset val="186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6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384">
    <xf numFmtId="0" fontId="0" fillId="0" borderId="0" xfId="0"/>
    <xf numFmtId="0" fontId="4" fillId="0" borderId="0" xfId="2" applyFont="1"/>
    <xf numFmtId="9" fontId="4" fillId="0" borderId="0" xfId="4" applyFont="1" applyAlignment="1">
      <alignment wrapText="1"/>
    </xf>
    <xf numFmtId="164" fontId="4" fillId="0" borderId="0" xfId="1" applyNumberFormat="1" applyFont="1"/>
    <xf numFmtId="1" fontId="4" fillId="0" borderId="0" xfId="4" applyNumberFormat="1" applyFont="1" applyFill="1"/>
    <xf numFmtId="164" fontId="10" fillId="0" borderId="0" xfId="5" applyNumberFormat="1" applyFont="1"/>
    <xf numFmtId="9" fontId="4" fillId="0" borderId="0" xfId="4" applyFont="1"/>
    <xf numFmtId="0" fontId="12" fillId="0" borderId="0" xfId="6"/>
    <xf numFmtId="164" fontId="10" fillId="0" borderId="0" xfId="1" applyNumberFormat="1" applyFont="1"/>
    <xf numFmtId="0" fontId="10" fillId="0" borderId="3" xfId="7" applyFont="1" applyBorder="1" applyAlignment="1">
      <alignment horizontal="center" vertical="center" wrapText="1"/>
    </xf>
    <xf numFmtId="9" fontId="10" fillId="0" borderId="3" xfId="4" applyFont="1" applyBorder="1" applyAlignment="1">
      <alignment horizontal="center" vertical="center" wrapText="1"/>
    </xf>
    <xf numFmtId="164" fontId="10" fillId="2" borderId="6" xfId="1" applyNumberFormat="1" applyFont="1" applyFill="1" applyBorder="1"/>
    <xf numFmtId="9" fontId="4" fillId="2" borderId="6" xfId="4" applyFont="1" applyFill="1" applyBorder="1" applyAlignment="1">
      <alignment wrapText="1"/>
    </xf>
    <xf numFmtId="9" fontId="10" fillId="3" borderId="6" xfId="4" applyFont="1" applyFill="1" applyBorder="1"/>
    <xf numFmtId="9" fontId="4" fillId="0" borderId="9" xfId="4" applyFont="1" applyFill="1" applyBorder="1"/>
    <xf numFmtId="9" fontId="10" fillId="3" borderId="9" xfId="4" applyFont="1" applyFill="1" applyBorder="1"/>
    <xf numFmtId="9" fontId="4" fillId="0" borderId="9" xfId="4" applyFont="1" applyBorder="1"/>
    <xf numFmtId="9" fontId="4" fillId="0" borderId="10" xfId="4" applyFont="1" applyFill="1" applyBorder="1"/>
    <xf numFmtId="9" fontId="4" fillId="0" borderId="10" xfId="4" applyFont="1" applyFill="1" applyBorder="1" applyAlignment="1">
      <alignment wrapText="1"/>
    </xf>
    <xf numFmtId="9" fontId="4" fillId="3" borderId="9" xfId="4" applyFont="1" applyFill="1" applyBorder="1" applyAlignment="1">
      <alignment wrapText="1"/>
    </xf>
    <xf numFmtId="9" fontId="4" fillId="0" borderId="9" xfId="4" applyFont="1" applyFill="1" applyBorder="1" applyAlignment="1">
      <alignment wrapText="1"/>
    </xf>
    <xf numFmtId="9" fontId="15" fillId="6" borderId="9" xfId="4" applyFont="1" applyFill="1" applyBorder="1" applyAlignment="1">
      <alignment wrapText="1"/>
    </xf>
    <xf numFmtId="9" fontId="15" fillId="7" borderId="9" xfId="4" applyFont="1" applyFill="1" applyBorder="1"/>
    <xf numFmtId="9" fontId="4" fillId="2" borderId="9" xfId="4" applyFont="1" applyFill="1" applyBorder="1" applyAlignment="1">
      <alignment wrapText="1"/>
    </xf>
    <xf numFmtId="9" fontId="4" fillId="9" borderId="9" xfId="4" applyFont="1" applyFill="1" applyBorder="1" applyAlignment="1">
      <alignment wrapText="1"/>
    </xf>
    <xf numFmtId="9" fontId="4" fillId="0" borderId="13" xfId="4" applyFont="1" applyFill="1" applyBorder="1"/>
    <xf numFmtId="1" fontId="4" fillId="0" borderId="9" xfId="4" applyNumberFormat="1" applyFont="1" applyFill="1" applyBorder="1"/>
    <xf numFmtId="9" fontId="10" fillId="0" borderId="3" xfId="4" applyFont="1" applyBorder="1"/>
    <xf numFmtId="9" fontId="10" fillId="0" borderId="18" xfId="4" applyFont="1" applyFill="1" applyBorder="1"/>
    <xf numFmtId="9" fontId="4" fillId="0" borderId="21" xfId="4" applyFont="1" applyFill="1" applyBorder="1"/>
    <xf numFmtId="9" fontId="4" fillId="0" borderId="8" xfId="4" applyFont="1" applyFill="1" applyBorder="1"/>
    <xf numFmtId="9" fontId="10" fillId="0" borderId="18" xfId="4" applyFont="1" applyBorder="1"/>
    <xf numFmtId="0" fontId="10" fillId="0" borderId="0" xfId="2" applyFont="1"/>
    <xf numFmtId="10" fontId="4" fillId="0" borderId="0" xfId="8" applyNumberFormat="1" applyFont="1"/>
    <xf numFmtId="9" fontId="10" fillId="3" borderId="32" xfId="4" applyFont="1" applyFill="1" applyBorder="1"/>
    <xf numFmtId="9" fontId="4" fillId="2" borderId="9" xfId="4" applyFont="1" applyFill="1" applyBorder="1"/>
    <xf numFmtId="9" fontId="4" fillId="0" borderId="9" xfId="4" applyFont="1" applyBorder="1" applyAlignment="1">
      <alignment wrapText="1"/>
    </xf>
    <xf numFmtId="9" fontId="10" fillId="2" borderId="9" xfId="4" applyFont="1" applyFill="1" applyBorder="1"/>
    <xf numFmtId="9" fontId="4" fillId="0" borderId="10" xfId="4" applyFont="1" applyBorder="1" applyAlignment="1">
      <alignment wrapText="1"/>
    </xf>
    <xf numFmtId="9" fontId="4" fillId="0" borderId="12" xfId="4" applyFont="1" applyBorder="1" applyAlignment="1">
      <alignment wrapText="1"/>
    </xf>
    <xf numFmtId="9" fontId="19" fillId="2" borderId="9" xfId="4" applyFont="1" applyFill="1" applyBorder="1" applyAlignment="1">
      <alignment wrapText="1"/>
    </xf>
    <xf numFmtId="9" fontId="4" fillId="9" borderId="9" xfId="4" applyFont="1" applyFill="1" applyBorder="1"/>
    <xf numFmtId="9" fontId="4" fillId="4" borderId="9" xfId="4" applyFont="1" applyFill="1" applyBorder="1" applyAlignment="1">
      <alignment wrapText="1"/>
    </xf>
    <xf numFmtId="9" fontId="15" fillId="0" borderId="9" xfId="4" applyFont="1" applyFill="1" applyBorder="1" applyAlignment="1">
      <alignment wrapText="1"/>
    </xf>
    <xf numFmtId="9" fontId="10" fillId="0" borderId="34" xfId="4" applyFont="1" applyBorder="1"/>
    <xf numFmtId="9" fontId="4" fillId="0" borderId="35" xfId="4" applyFont="1" applyBorder="1"/>
    <xf numFmtId="9" fontId="10" fillId="3" borderId="38" xfId="4" applyFont="1" applyFill="1" applyBorder="1"/>
    <xf numFmtId="164" fontId="4" fillId="12" borderId="0" xfId="1" applyNumberFormat="1" applyFont="1" applyFill="1"/>
    <xf numFmtId="0" fontId="4" fillId="12" borderId="0" xfId="2" applyFont="1" applyFill="1"/>
    <xf numFmtId="164" fontId="4" fillId="12" borderId="0" xfId="1" applyNumberFormat="1" applyFont="1" applyFill="1" applyAlignment="1">
      <alignment horizontal="righ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39" xfId="0" applyFont="1" applyBorder="1"/>
    <xf numFmtId="0" fontId="0" fillId="0" borderId="39" xfId="0" applyBorder="1" applyAlignment="1">
      <alignment wrapText="1"/>
    </xf>
    <xf numFmtId="164" fontId="29" fillId="14" borderId="39" xfId="1" applyNumberFormat="1" applyFont="1" applyFill="1" applyBorder="1"/>
    <xf numFmtId="164" fontId="29" fillId="0" borderId="39" xfId="1" applyNumberFormat="1" applyFont="1" applyBorder="1"/>
    <xf numFmtId="164" fontId="29" fillId="0" borderId="0" xfId="1" applyNumberFormat="1" applyFont="1" applyFill="1" applyBorder="1"/>
    <xf numFmtId="0" fontId="0" fillId="0" borderId="39" xfId="0" applyBorder="1"/>
    <xf numFmtId="0" fontId="8" fillId="0" borderId="39" xfId="0" applyFont="1" applyBorder="1" applyAlignment="1">
      <alignment wrapText="1"/>
    </xf>
    <xf numFmtId="164" fontId="29" fillId="0" borderId="39" xfId="1" applyNumberFormat="1" applyFont="1" applyFill="1" applyBorder="1"/>
    <xf numFmtId="164" fontId="30" fillId="0" borderId="0" xfId="0" applyNumberFormat="1" applyFont="1"/>
    <xf numFmtId="164" fontId="10" fillId="0" borderId="0" xfId="1" applyNumberFormat="1" applyFont="1" applyAlignment="1">
      <alignment horizontal="left"/>
    </xf>
    <xf numFmtId="0" fontId="25" fillId="15" borderId="40" xfId="0" applyFont="1" applyFill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25" fillId="15" borderId="41" xfId="0" applyFont="1" applyFill="1" applyBorder="1" applyAlignment="1">
      <alignment horizontal="center" wrapText="1"/>
    </xf>
    <xf numFmtId="0" fontId="31" fillId="15" borderId="39" xfId="0" applyFont="1" applyFill="1" applyBorder="1" applyAlignment="1">
      <alignment horizontal="center" wrapText="1"/>
    </xf>
    <xf numFmtId="164" fontId="31" fillId="15" borderId="39" xfId="1" applyNumberFormat="1" applyFont="1" applyFill="1" applyBorder="1" applyAlignment="1">
      <alignment horizontal="center" wrapText="1"/>
    </xf>
    <xf numFmtId="164" fontId="10" fillId="0" borderId="0" xfId="2" applyNumberFormat="1" applyFont="1"/>
    <xf numFmtId="164" fontId="19" fillId="0" borderId="45" xfId="1" applyNumberFormat="1" applyFont="1" applyBorder="1" applyAlignment="1">
      <alignment horizontal="right"/>
    </xf>
    <xf numFmtId="0" fontId="19" fillId="0" borderId="46" xfId="2" applyFont="1" applyBorder="1"/>
    <xf numFmtId="0" fontId="4" fillId="0" borderId="47" xfId="2" applyFont="1" applyBorder="1"/>
    <xf numFmtId="164" fontId="19" fillId="0" borderId="48" xfId="1" applyNumberFormat="1" applyFont="1" applyBorder="1" applyAlignment="1">
      <alignment horizontal="right"/>
    </xf>
    <xf numFmtId="0" fontId="19" fillId="0" borderId="0" xfId="2" applyFont="1"/>
    <xf numFmtId="0" fontId="4" fillId="0" borderId="25" xfId="2" applyFont="1" applyBorder="1"/>
    <xf numFmtId="164" fontId="19" fillId="0" borderId="48" xfId="1" applyNumberFormat="1" applyFont="1" applyBorder="1"/>
    <xf numFmtId="0" fontId="19" fillId="0" borderId="27" xfId="2" applyFont="1" applyBorder="1"/>
    <xf numFmtId="0" fontId="4" fillId="0" borderId="22" xfId="2" applyFont="1" applyBorder="1"/>
    <xf numFmtId="0" fontId="32" fillId="0" borderId="0" xfId="0" applyFont="1"/>
    <xf numFmtId="0" fontId="27" fillId="0" borderId="0" xfId="0" applyFont="1" applyAlignment="1">
      <alignment horizontal="left"/>
    </xf>
    <xf numFmtId="49" fontId="14" fillId="0" borderId="49" xfId="0" applyNumberFormat="1" applyFont="1" applyBorder="1" applyAlignment="1">
      <alignment horizontal="left" vertical="top" wrapText="1"/>
    </xf>
    <xf numFmtId="0" fontId="14" fillId="17" borderId="49" xfId="0" applyFont="1" applyFill="1" applyBorder="1" applyAlignment="1">
      <alignment horizontal="left" vertical="top" wrapText="1"/>
    </xf>
    <xf numFmtId="164" fontId="4" fillId="17" borderId="49" xfId="1" applyNumberFormat="1" applyFont="1" applyFill="1" applyBorder="1" applyAlignment="1">
      <alignment horizontal="left" vertical="top" wrapText="1"/>
    </xf>
    <xf numFmtId="164" fontId="14" fillId="17" borderId="49" xfId="0" applyNumberFormat="1" applyFont="1" applyFill="1" applyBorder="1" applyAlignment="1">
      <alignment horizontal="left" vertical="top" wrapText="1"/>
    </xf>
    <xf numFmtId="0" fontId="14" fillId="16" borderId="49" xfId="0" applyFont="1" applyFill="1" applyBorder="1" applyAlignment="1">
      <alignment horizontal="left" vertical="top" wrapText="1"/>
    </xf>
    <xf numFmtId="164" fontId="4" fillId="16" borderId="49" xfId="1" applyNumberFormat="1" applyFont="1" applyFill="1" applyBorder="1" applyAlignment="1">
      <alignment horizontal="left" vertical="top" wrapText="1"/>
    </xf>
    <xf numFmtId="164" fontId="14" fillId="16" borderId="49" xfId="0" applyNumberFormat="1" applyFont="1" applyFill="1" applyBorder="1" applyAlignment="1">
      <alignment horizontal="left" vertical="top" wrapText="1"/>
    </xf>
    <xf numFmtId="0" fontId="32" fillId="17" borderId="49" xfId="0" applyFont="1" applyFill="1" applyBorder="1" applyAlignment="1">
      <alignment horizontal="left" vertical="top" wrapText="1"/>
    </xf>
    <xf numFmtId="164" fontId="10" fillId="17" borderId="49" xfId="1" applyNumberFormat="1" applyFont="1" applyFill="1" applyBorder="1" applyAlignment="1">
      <alignment horizontal="left" vertical="top" wrapText="1"/>
    </xf>
    <xf numFmtId="0" fontId="32" fillId="16" borderId="49" xfId="0" applyFont="1" applyFill="1" applyBorder="1" applyAlignment="1">
      <alignment horizontal="left" vertical="top" wrapText="1"/>
    </xf>
    <xf numFmtId="164" fontId="10" fillId="16" borderId="49" xfId="1" applyNumberFormat="1" applyFont="1" applyFill="1" applyBorder="1" applyAlignment="1">
      <alignment horizontal="left" vertical="top" wrapText="1"/>
    </xf>
    <xf numFmtId="164" fontId="32" fillId="16" borderId="49" xfId="0" applyNumberFormat="1" applyFont="1" applyFill="1" applyBorder="1" applyAlignment="1">
      <alignment horizontal="left" vertical="top" wrapText="1"/>
    </xf>
    <xf numFmtId="165" fontId="27" fillId="0" borderId="0" xfId="0" applyNumberFormat="1" applyFont="1"/>
    <xf numFmtId="0" fontId="4" fillId="0" borderId="0" xfId="9" applyFont="1"/>
    <xf numFmtId="0" fontId="5" fillId="0" borderId="0" xfId="10" applyFont="1"/>
    <xf numFmtId="0" fontId="4" fillId="0" borderId="0" xfId="9" applyFont="1" applyAlignment="1">
      <alignment wrapText="1"/>
    </xf>
    <xf numFmtId="3" fontId="4" fillId="0" borderId="0" xfId="9" applyNumberFormat="1" applyFont="1"/>
    <xf numFmtId="0" fontId="10" fillId="0" borderId="1" xfId="9" applyFont="1" applyBorder="1" applyAlignment="1">
      <alignment horizontal="center" vertical="center"/>
    </xf>
    <xf numFmtId="0" fontId="10" fillId="0" borderId="2" xfId="9" applyFont="1" applyBorder="1" applyAlignment="1">
      <alignment horizontal="center" vertical="center" wrapText="1"/>
    </xf>
    <xf numFmtId="0" fontId="10" fillId="2" borderId="4" xfId="9" applyFont="1" applyFill="1" applyBorder="1"/>
    <xf numFmtId="0" fontId="10" fillId="2" borderId="5" xfId="9" applyFont="1" applyFill="1" applyBorder="1" applyAlignment="1">
      <alignment wrapText="1"/>
    </xf>
    <xf numFmtId="3" fontId="10" fillId="2" borderId="6" xfId="9" applyNumberFormat="1" applyFont="1" applyFill="1" applyBorder="1"/>
    <xf numFmtId="0" fontId="10" fillId="3" borderId="4" xfId="9" quotePrefix="1" applyFont="1" applyFill="1" applyBorder="1"/>
    <xf numFmtId="0" fontId="10" fillId="3" borderId="5" xfId="9" applyFont="1" applyFill="1" applyBorder="1" applyAlignment="1">
      <alignment wrapText="1"/>
    </xf>
    <xf numFmtId="3" fontId="10" fillId="3" borderId="6" xfId="9" applyNumberFormat="1" applyFont="1" applyFill="1" applyBorder="1"/>
    <xf numFmtId="0" fontId="14" fillId="0" borderId="0" xfId="9" applyFont="1"/>
    <xf numFmtId="0" fontId="4" fillId="0" borderId="7" xfId="9" applyFont="1" applyBorder="1" applyAlignment="1">
      <alignment horizontal="left" indent="1"/>
    </xf>
    <xf numFmtId="0" fontId="4" fillId="0" borderId="8" xfId="9" applyFont="1" applyBorder="1" applyAlignment="1">
      <alignment horizontal="left" wrapText="1" indent="2"/>
    </xf>
    <xf numFmtId="3" fontId="4" fillId="0" borderId="9" xfId="9" applyNumberFormat="1" applyFont="1" applyBorder="1"/>
    <xf numFmtId="3" fontId="7" fillId="0" borderId="9" xfId="9" applyNumberFormat="1" applyFont="1" applyBorder="1"/>
    <xf numFmtId="0" fontId="10" fillId="3" borderId="7" xfId="9" applyFont="1" applyFill="1" applyBorder="1"/>
    <xf numFmtId="0" fontId="10" fillId="3" borderId="8" xfId="9" applyFont="1" applyFill="1" applyBorder="1" applyAlignment="1">
      <alignment wrapText="1"/>
    </xf>
    <xf numFmtId="3" fontId="10" fillId="3" borderId="9" xfId="9" applyNumberFormat="1" applyFont="1" applyFill="1" applyBorder="1"/>
    <xf numFmtId="0" fontId="2" fillId="0" borderId="0" xfId="9"/>
    <xf numFmtId="0" fontId="15" fillId="0" borderId="7" xfId="9" applyFont="1" applyBorder="1" applyAlignment="1">
      <alignment horizontal="left" indent="2"/>
    </xf>
    <xf numFmtId="0" fontId="15" fillId="0" borderId="8" xfId="9" applyFont="1" applyBorder="1" applyAlignment="1">
      <alignment horizontal="left" wrapText="1" indent="3"/>
    </xf>
    <xf numFmtId="0" fontId="14" fillId="0" borderId="0" xfId="9" quotePrefix="1" applyFont="1"/>
    <xf numFmtId="0" fontId="4" fillId="4" borderId="8" xfId="9" applyFont="1" applyFill="1" applyBorder="1" applyAlignment="1">
      <alignment horizontal="left" wrapText="1" indent="2"/>
    </xf>
    <xf numFmtId="9" fontId="7" fillId="0" borderId="9" xfId="4" applyFont="1" applyFill="1" applyBorder="1" applyAlignment="1">
      <alignment wrapText="1"/>
    </xf>
    <xf numFmtId="0" fontId="10" fillId="3" borderId="7" xfId="9" quotePrefix="1" applyFont="1" applyFill="1" applyBorder="1"/>
    <xf numFmtId="0" fontId="4" fillId="2" borderId="7" xfId="9" applyFont="1" applyFill="1" applyBorder="1" applyAlignment="1">
      <alignment horizontal="left" indent="1"/>
    </xf>
    <xf numFmtId="0" fontId="4" fillId="2" borderId="8" xfId="9" applyFont="1" applyFill="1" applyBorder="1" applyAlignment="1">
      <alignment horizontal="left" wrapText="1" indent="2"/>
    </xf>
    <xf numFmtId="3" fontId="4" fillId="2" borderId="9" xfId="9" applyNumberFormat="1" applyFont="1" applyFill="1" applyBorder="1"/>
    <xf numFmtId="3" fontId="4" fillId="5" borderId="9" xfId="9" applyNumberFormat="1" applyFont="1" applyFill="1" applyBorder="1"/>
    <xf numFmtId="3" fontId="4" fillId="5" borderId="9" xfId="9" applyNumberFormat="1" applyFont="1" applyFill="1" applyBorder="1" applyAlignment="1">
      <alignment wrapText="1"/>
    </xf>
    <xf numFmtId="3" fontId="15" fillId="6" borderId="9" xfId="9" applyNumberFormat="1" applyFont="1" applyFill="1" applyBorder="1"/>
    <xf numFmtId="0" fontId="15" fillId="0" borderId="0" xfId="9" applyFont="1"/>
    <xf numFmtId="3" fontId="15" fillId="7" borderId="9" xfId="9" applyNumberFormat="1" applyFont="1" applyFill="1" applyBorder="1"/>
    <xf numFmtId="0" fontId="4" fillId="0" borderId="0" xfId="9" quotePrefix="1" applyFont="1"/>
    <xf numFmtId="0" fontId="4" fillId="8" borderId="8" xfId="9" applyFont="1" applyFill="1" applyBorder="1" applyAlignment="1">
      <alignment horizontal="left" wrapText="1" indent="2"/>
    </xf>
    <xf numFmtId="3" fontId="7" fillId="2" borderId="9" xfId="9" applyNumberFormat="1" applyFont="1" applyFill="1" applyBorder="1"/>
    <xf numFmtId="0" fontId="4" fillId="0" borderId="8" xfId="9" applyFont="1" applyBorder="1" applyAlignment="1">
      <alignment horizontal="left" wrapText="1" indent="3"/>
    </xf>
    <xf numFmtId="0" fontId="17" fillId="0" borderId="0" xfId="9" applyFont="1"/>
    <xf numFmtId="0" fontId="4" fillId="0" borderId="0" xfId="9" quotePrefix="1" applyFont="1" applyAlignment="1">
      <alignment wrapText="1"/>
    </xf>
    <xf numFmtId="0" fontId="4" fillId="8" borderId="8" xfId="9" applyFont="1" applyFill="1" applyBorder="1" applyAlignment="1">
      <alignment horizontal="left" wrapText="1" indent="3"/>
    </xf>
    <xf numFmtId="0" fontId="4" fillId="0" borderId="5" xfId="9" applyFont="1" applyBorder="1" applyAlignment="1">
      <alignment horizontal="left" wrapText="1" indent="3"/>
    </xf>
    <xf numFmtId="0" fontId="4" fillId="0" borderId="5" xfId="9" applyFont="1" applyBorder="1" applyAlignment="1">
      <alignment horizontal="left" wrapText="1" indent="2"/>
    </xf>
    <xf numFmtId="0" fontId="4" fillId="4" borderId="7" xfId="9" applyFont="1" applyFill="1" applyBorder="1" applyAlignment="1">
      <alignment horizontal="left" indent="2"/>
    </xf>
    <xf numFmtId="0" fontId="4" fillId="4" borderId="8" xfId="9" applyFont="1" applyFill="1" applyBorder="1" applyAlignment="1">
      <alignment horizontal="left" wrapText="1" indent="3"/>
    </xf>
    <xf numFmtId="3" fontId="4" fillId="10" borderId="9" xfId="9" applyNumberFormat="1" applyFont="1" applyFill="1" applyBorder="1"/>
    <xf numFmtId="0" fontId="10" fillId="0" borderId="14" xfId="9" applyFont="1" applyBorder="1"/>
    <xf numFmtId="0" fontId="10" fillId="0" borderId="15" xfId="9" applyFont="1" applyBorder="1" applyAlignment="1">
      <alignment horizontal="right" wrapText="1"/>
    </xf>
    <xf numFmtId="3" fontId="10" fillId="0" borderId="3" xfId="9" applyNumberFormat="1" applyFont="1" applyBorder="1"/>
    <xf numFmtId="0" fontId="10" fillId="0" borderId="16" xfId="9" quotePrefix="1" applyFont="1" applyBorder="1"/>
    <xf numFmtId="0" fontId="10" fillId="0" borderId="17" xfId="9" applyFont="1" applyBorder="1" applyAlignment="1">
      <alignment wrapText="1"/>
    </xf>
    <xf numFmtId="3" fontId="10" fillId="0" borderId="18" xfId="9" applyNumberFormat="1" applyFont="1" applyBorder="1"/>
    <xf numFmtId="0" fontId="10" fillId="3" borderId="19" xfId="9" applyFont="1" applyFill="1" applyBorder="1" applyAlignment="1">
      <alignment wrapText="1"/>
    </xf>
    <xf numFmtId="3" fontId="10" fillId="3" borderId="13" xfId="9" applyNumberFormat="1" applyFont="1" applyFill="1" applyBorder="1"/>
    <xf numFmtId="49" fontId="4" fillId="0" borderId="19" xfId="9" applyNumberFormat="1" applyFont="1" applyBorder="1" applyAlignment="1">
      <alignment horizontal="left" wrapText="1" indent="4"/>
    </xf>
    <xf numFmtId="3" fontId="4" fillId="0" borderId="13" xfId="9" applyNumberFormat="1" applyFont="1" applyBorder="1"/>
    <xf numFmtId="3" fontId="4" fillId="0" borderId="19" xfId="9" applyNumberFormat="1" applyFont="1" applyBorder="1"/>
    <xf numFmtId="3" fontId="4" fillId="0" borderId="20" xfId="9" applyNumberFormat="1" applyFont="1" applyBorder="1"/>
    <xf numFmtId="49" fontId="4" fillId="0" borderId="23" xfId="9" applyNumberFormat="1" applyFont="1" applyBorder="1" applyAlignment="1">
      <alignment horizontal="left" wrapText="1" indent="4"/>
    </xf>
    <xf numFmtId="3" fontId="4" fillId="0" borderId="24" xfId="9" applyNumberFormat="1" applyFont="1" applyBorder="1"/>
    <xf numFmtId="49" fontId="4" fillId="0" borderId="8" xfId="9" applyNumberFormat="1" applyFont="1" applyBorder="1" applyAlignment="1">
      <alignment horizontal="left" wrapText="1" indent="4"/>
    </xf>
    <xf numFmtId="3" fontId="4" fillId="0" borderId="8" xfId="9" applyNumberFormat="1" applyFont="1" applyBorder="1"/>
    <xf numFmtId="0" fontId="4" fillId="4" borderId="26" xfId="9" applyFont="1" applyFill="1" applyBorder="1" applyAlignment="1">
      <alignment horizontal="left" indent="2"/>
    </xf>
    <xf numFmtId="0" fontId="4" fillId="4" borderId="16" xfId="9" applyFont="1" applyFill="1" applyBorder="1" applyAlignment="1">
      <alignment horizontal="left" indent="2"/>
    </xf>
    <xf numFmtId="0" fontId="10" fillId="0" borderId="28" xfId="9" applyFont="1" applyBorder="1"/>
    <xf numFmtId="0" fontId="10" fillId="0" borderId="29" xfId="9" applyFont="1" applyBorder="1" applyAlignment="1">
      <alignment horizontal="right" wrapText="1"/>
    </xf>
    <xf numFmtId="0" fontId="10" fillId="0" borderId="0" xfId="9" applyFont="1"/>
    <xf numFmtId="49" fontId="10" fillId="3" borderId="30" xfId="9" applyNumberFormat="1" applyFont="1" applyFill="1" applyBorder="1" applyAlignment="1">
      <alignment horizontal="left" indent="2"/>
    </xf>
    <xf numFmtId="49" fontId="10" fillId="3" borderId="31" xfId="9" applyNumberFormat="1" applyFont="1" applyFill="1" applyBorder="1" applyAlignment="1">
      <alignment wrapText="1"/>
    </xf>
    <xf numFmtId="3" fontId="10" fillId="3" borderId="32" xfId="9" applyNumberFormat="1" applyFont="1" applyFill="1" applyBorder="1"/>
    <xf numFmtId="49" fontId="4" fillId="2" borderId="7" xfId="9" applyNumberFormat="1" applyFont="1" applyFill="1" applyBorder="1" applyAlignment="1">
      <alignment horizontal="left" indent="1"/>
    </xf>
    <xf numFmtId="49" fontId="4" fillId="2" borderId="8" xfId="9" applyNumberFormat="1" applyFont="1" applyFill="1" applyBorder="1" applyAlignment="1">
      <alignment horizontal="left" wrapText="1" indent="2"/>
    </xf>
    <xf numFmtId="9" fontId="7" fillId="2" borderId="9" xfId="4" applyFont="1" applyFill="1" applyBorder="1" applyAlignment="1">
      <alignment wrapText="1"/>
    </xf>
    <xf numFmtId="49" fontId="10" fillId="3" borderId="7" xfId="9" applyNumberFormat="1" applyFont="1" applyFill="1" applyBorder="1"/>
    <xf numFmtId="49" fontId="10" fillId="3" borderId="8" xfId="9" applyNumberFormat="1" applyFont="1" applyFill="1" applyBorder="1" applyAlignment="1">
      <alignment wrapText="1"/>
    </xf>
    <xf numFmtId="9" fontId="7" fillId="3" borderId="9" xfId="4" applyFont="1" applyFill="1" applyBorder="1" applyAlignment="1">
      <alignment wrapText="1"/>
    </xf>
    <xf numFmtId="0" fontId="18" fillId="0" borderId="0" xfId="9" applyFont="1"/>
    <xf numFmtId="49" fontId="4" fillId="0" borderId="7" xfId="9" applyNumberFormat="1" applyFont="1" applyBorder="1" applyAlignment="1">
      <alignment horizontal="left" indent="2"/>
    </xf>
    <xf numFmtId="49" fontId="4" fillId="0" borderId="8" xfId="9" applyNumberFormat="1" applyFont="1" applyBorder="1" applyAlignment="1">
      <alignment horizontal="left" wrapText="1" indent="2"/>
    </xf>
    <xf numFmtId="49" fontId="10" fillId="2" borderId="8" xfId="9" applyNumberFormat="1" applyFont="1" applyFill="1" applyBorder="1" applyAlignment="1">
      <alignment horizontal="left" wrapText="1" indent="2"/>
    </xf>
    <xf numFmtId="3" fontId="10" fillId="2" borderId="9" xfId="9" applyNumberFormat="1" applyFont="1" applyFill="1" applyBorder="1"/>
    <xf numFmtId="3" fontId="11" fillId="2" borderId="9" xfId="9" applyNumberFormat="1" applyFont="1" applyFill="1" applyBorder="1"/>
    <xf numFmtId="9" fontId="7" fillId="2" borderId="9" xfId="4" quotePrefix="1" applyFont="1" applyFill="1" applyBorder="1" applyAlignment="1">
      <alignment wrapText="1"/>
    </xf>
    <xf numFmtId="9" fontId="7" fillId="0" borderId="9" xfId="4" applyFont="1" applyBorder="1" applyAlignment="1">
      <alignment wrapText="1"/>
    </xf>
    <xf numFmtId="49" fontId="7" fillId="0" borderId="8" xfId="9" applyNumberFormat="1" applyFont="1" applyBorder="1" applyAlignment="1">
      <alignment horizontal="left" wrapText="1" indent="4"/>
    </xf>
    <xf numFmtId="49" fontId="4" fillId="11" borderId="7" xfId="9" applyNumberFormat="1" applyFont="1" applyFill="1" applyBorder="1" applyAlignment="1">
      <alignment horizontal="left" indent="2"/>
    </xf>
    <xf numFmtId="0" fontId="7" fillId="0" borderId="8" xfId="9" applyFont="1" applyBorder="1" applyAlignment="1">
      <alignment horizontal="left" wrapText="1" indent="3"/>
    </xf>
    <xf numFmtId="0" fontId="7" fillId="9" borderId="8" xfId="9" applyFont="1" applyFill="1" applyBorder="1" applyAlignment="1">
      <alignment horizontal="left" wrapText="1" indent="3"/>
    </xf>
    <xf numFmtId="49" fontId="17" fillId="0" borderId="7" xfId="9" applyNumberFormat="1" applyFont="1" applyBorder="1" applyAlignment="1">
      <alignment horizontal="left" indent="2"/>
    </xf>
    <xf numFmtId="0" fontId="17" fillId="9" borderId="8" xfId="9" applyFont="1" applyFill="1" applyBorder="1" applyAlignment="1">
      <alignment horizontal="left" wrapText="1" indent="3"/>
    </xf>
    <xf numFmtId="0" fontId="4" fillId="9" borderId="8" xfId="9" applyFont="1" applyFill="1" applyBorder="1" applyAlignment="1">
      <alignment horizontal="left" wrapText="1" indent="3"/>
    </xf>
    <xf numFmtId="49" fontId="19" fillId="0" borderId="7" xfId="9" applyNumberFormat="1" applyFont="1" applyBorder="1" applyAlignment="1">
      <alignment horizontal="left" indent="3"/>
    </xf>
    <xf numFmtId="0" fontId="19" fillId="9" borderId="8" xfId="9" applyFont="1" applyFill="1" applyBorder="1" applyAlignment="1">
      <alignment horizontal="left" wrapText="1" indent="6"/>
    </xf>
    <xf numFmtId="3" fontId="4" fillId="9" borderId="9" xfId="9" applyNumberFormat="1" applyFont="1" applyFill="1" applyBorder="1"/>
    <xf numFmtId="9" fontId="7" fillId="0" borderId="9" xfId="4" quotePrefix="1" applyFont="1" applyBorder="1" applyAlignment="1">
      <alignment wrapText="1"/>
    </xf>
    <xf numFmtId="49" fontId="4" fillId="11" borderId="7" xfId="9" applyNumberFormat="1" applyFont="1" applyFill="1" applyBorder="1" applyAlignment="1">
      <alignment horizontal="left" indent="1"/>
    </xf>
    <xf numFmtId="9" fontId="33" fillId="2" borderId="9" xfId="4" applyFont="1" applyFill="1" applyBorder="1" applyAlignment="1">
      <alignment wrapText="1"/>
    </xf>
    <xf numFmtId="0" fontId="14" fillId="9" borderId="0" xfId="9" applyFont="1" applyFill="1"/>
    <xf numFmtId="0" fontId="14" fillId="9" borderId="8" xfId="9" applyFont="1" applyFill="1" applyBorder="1" applyAlignment="1">
      <alignment horizontal="left" indent="2"/>
    </xf>
    <xf numFmtId="0" fontId="4" fillId="9" borderId="33" xfId="9" applyFont="1" applyFill="1" applyBorder="1" applyAlignment="1">
      <alignment horizontal="left" indent="3"/>
    </xf>
    <xf numFmtId="3" fontId="7" fillId="9" borderId="9" xfId="9" applyNumberFormat="1" applyFont="1" applyFill="1" applyBorder="1"/>
    <xf numFmtId="3" fontId="4" fillId="13" borderId="9" xfId="9" applyNumberFormat="1" applyFont="1" applyFill="1" applyBorder="1"/>
    <xf numFmtId="0" fontId="14" fillId="0" borderId="8" xfId="9" applyFont="1" applyBorder="1" applyAlignment="1">
      <alignment horizontal="left" indent="2"/>
    </xf>
    <xf numFmtId="0" fontId="4" fillId="0" borderId="33" xfId="9" applyFont="1" applyBorder="1" applyAlignment="1">
      <alignment horizontal="left" indent="3"/>
    </xf>
    <xf numFmtId="0" fontId="14" fillId="11" borderId="8" xfId="9" applyFont="1" applyFill="1" applyBorder="1" applyAlignment="1">
      <alignment horizontal="left" indent="2"/>
    </xf>
    <xf numFmtId="0" fontId="4" fillId="0" borderId="0" xfId="9" applyFont="1" applyAlignment="1">
      <alignment horizontal="right"/>
    </xf>
    <xf numFmtId="3" fontId="4" fillId="4" borderId="9" xfId="9" applyNumberFormat="1" applyFont="1" applyFill="1" applyBorder="1"/>
    <xf numFmtId="3" fontId="7" fillId="4" borderId="9" xfId="9" applyNumberFormat="1" applyFont="1" applyFill="1" applyBorder="1"/>
    <xf numFmtId="49" fontId="10" fillId="2" borderId="7" xfId="9" applyNumberFormat="1" applyFont="1" applyFill="1" applyBorder="1" applyAlignment="1">
      <alignment horizontal="left" indent="1"/>
    </xf>
    <xf numFmtId="0" fontId="4" fillId="4" borderId="0" xfId="9" quotePrefix="1" applyFont="1" applyFill="1"/>
    <xf numFmtId="0" fontId="4" fillId="4" borderId="0" xfId="9" applyFont="1" applyFill="1"/>
    <xf numFmtId="49" fontId="4" fillId="4" borderId="7" xfId="9" applyNumberFormat="1" applyFont="1" applyFill="1" applyBorder="1" applyAlignment="1">
      <alignment horizontal="left" indent="2"/>
    </xf>
    <xf numFmtId="49" fontId="4" fillId="4" borderId="8" xfId="9" applyNumberFormat="1" applyFont="1" applyFill="1" applyBorder="1" applyAlignment="1">
      <alignment horizontal="left" wrapText="1" indent="4"/>
    </xf>
    <xf numFmtId="0" fontId="20" fillId="0" borderId="0" xfId="9" applyFont="1"/>
    <xf numFmtId="0" fontId="20" fillId="0" borderId="0" xfId="9" quotePrefix="1" applyFont="1"/>
    <xf numFmtId="49" fontId="10" fillId="0" borderId="7" xfId="9" applyNumberFormat="1" applyFont="1" applyBorder="1" applyAlignment="1">
      <alignment horizontal="left" indent="2"/>
    </xf>
    <xf numFmtId="49" fontId="10" fillId="0" borderId="8" xfId="9" applyNumberFormat="1" applyFont="1" applyBorder="1" applyAlignment="1">
      <alignment horizontal="left" wrapText="1" indent="4"/>
    </xf>
    <xf numFmtId="3" fontId="10" fillId="0" borderId="9" xfId="9" applyNumberFormat="1" applyFont="1" applyBorder="1"/>
    <xf numFmtId="0" fontId="21" fillId="0" borderId="0" xfId="9" applyFont="1"/>
    <xf numFmtId="49" fontId="4" fillId="0" borderId="7" xfId="9" applyNumberFormat="1" applyFont="1" applyBorder="1" applyAlignment="1">
      <alignment horizontal="left" indent="3"/>
    </xf>
    <xf numFmtId="49" fontId="22" fillId="2" borderId="7" xfId="9" applyNumberFormat="1" applyFont="1" applyFill="1" applyBorder="1" applyAlignment="1">
      <alignment horizontal="left" indent="1"/>
    </xf>
    <xf numFmtId="49" fontId="10" fillId="0" borderId="14" xfId="9" applyNumberFormat="1" applyFont="1" applyBorder="1"/>
    <xf numFmtId="49" fontId="10" fillId="0" borderId="15" xfId="9" applyNumberFormat="1" applyFont="1" applyBorder="1" applyAlignment="1">
      <alignment horizontal="right" wrapText="1"/>
    </xf>
    <xf numFmtId="3" fontId="10" fillId="0" borderId="34" xfId="9" applyNumberFormat="1" applyFont="1" applyBorder="1"/>
    <xf numFmtId="3" fontId="10" fillId="0" borderId="35" xfId="9" applyNumberFormat="1" applyFont="1" applyBorder="1"/>
    <xf numFmtId="49" fontId="10" fillId="3" borderId="36" xfId="9" applyNumberFormat="1" applyFont="1" applyFill="1" applyBorder="1" applyAlignment="1">
      <alignment horizontal="center"/>
    </xf>
    <xf numFmtId="49" fontId="10" fillId="3" borderId="37" xfId="9" applyNumberFormat="1" applyFont="1" applyFill="1" applyBorder="1" applyAlignment="1">
      <alignment wrapText="1"/>
    </xf>
    <xf numFmtId="3" fontId="10" fillId="3" borderId="38" xfId="9" applyNumberFormat="1" applyFont="1" applyFill="1" applyBorder="1"/>
    <xf numFmtId="164" fontId="4" fillId="14" borderId="0" xfId="1" applyNumberFormat="1" applyFont="1" applyFill="1"/>
    <xf numFmtId="0" fontId="4" fillId="14" borderId="0" xfId="2" applyFont="1" applyFill="1"/>
    <xf numFmtId="0" fontId="27" fillId="14" borderId="0" xfId="0" applyFont="1" applyFill="1"/>
    <xf numFmtId="164" fontId="27" fillId="14" borderId="0" xfId="1" applyNumberFormat="1" applyFont="1" applyFill="1"/>
    <xf numFmtId="164" fontId="4" fillId="14" borderId="0" xfId="1" applyNumberFormat="1" applyFont="1" applyFill="1" applyAlignment="1">
      <alignment vertical="center"/>
    </xf>
    <xf numFmtId="9" fontId="4" fillId="0" borderId="9" xfId="4" quotePrefix="1" applyFont="1" applyBorder="1" applyAlignment="1">
      <alignment wrapText="1"/>
    </xf>
    <xf numFmtId="164" fontId="27" fillId="0" borderId="0" xfId="0" applyNumberFormat="1" applyFont="1"/>
    <xf numFmtId="49" fontId="4" fillId="0" borderId="50" xfId="9" applyNumberFormat="1" applyFont="1" applyBorder="1" applyAlignment="1">
      <alignment horizontal="left" wrapText="1" indent="4"/>
    </xf>
    <xf numFmtId="49" fontId="4" fillId="0" borderId="17" xfId="9" applyNumberFormat="1" applyFont="1" applyBorder="1" applyAlignment="1">
      <alignment horizontal="left" wrapText="1" indent="4"/>
    </xf>
    <xf numFmtId="3" fontId="4" fillId="0" borderId="17" xfId="9" applyNumberFormat="1" applyFont="1" applyBorder="1"/>
    <xf numFmtId="9" fontId="4" fillId="0" borderId="17" xfId="4" applyFont="1" applyFill="1" applyBorder="1"/>
    <xf numFmtId="0" fontId="34" fillId="0" borderId="0" xfId="12" applyFont="1"/>
    <xf numFmtId="0" fontId="35" fillId="0" borderId="0" xfId="13" applyFont="1"/>
    <xf numFmtId="0" fontId="36" fillId="0" borderId="0" xfId="12" applyFont="1"/>
    <xf numFmtId="164" fontId="36" fillId="0" borderId="0" xfId="14" applyNumberFormat="1" applyFont="1" applyFill="1"/>
    <xf numFmtId="0" fontId="37" fillId="0" borderId="0" xfId="12" applyFont="1"/>
    <xf numFmtId="0" fontId="38" fillId="0" borderId="0" xfId="12" applyFont="1"/>
    <xf numFmtId="0" fontId="39" fillId="0" borderId="0" xfId="12" applyFont="1"/>
    <xf numFmtId="0" fontId="40" fillId="0" borderId="0" xfId="13" applyFont="1"/>
    <xf numFmtId="0" fontId="41" fillId="0" borderId="0" xfId="12" applyFont="1"/>
    <xf numFmtId="0" fontId="42" fillId="0" borderId="2" xfId="12" applyFont="1" applyBorder="1" applyAlignment="1">
      <alignment horizontal="center" vertical="center" wrapText="1"/>
    </xf>
    <xf numFmtId="164" fontId="42" fillId="0" borderId="51" xfId="14" applyNumberFormat="1" applyFont="1" applyFill="1" applyBorder="1" applyAlignment="1">
      <alignment horizontal="center" vertical="center" wrapText="1"/>
    </xf>
    <xf numFmtId="0" fontId="42" fillId="0" borderId="34" xfId="12" applyFont="1" applyBorder="1" applyAlignment="1">
      <alignment horizontal="center" vertical="center" wrapText="1"/>
    </xf>
    <xf numFmtId="0" fontId="38" fillId="0" borderId="0" xfId="12" applyFont="1" applyAlignment="1">
      <alignment wrapText="1"/>
    </xf>
    <xf numFmtId="0" fontId="43" fillId="0" borderId="0" xfId="12" applyFont="1" applyAlignment="1">
      <alignment horizontal="center" wrapText="1"/>
    </xf>
    <xf numFmtId="0" fontId="36" fillId="0" borderId="0" xfId="12" applyFont="1" applyAlignment="1">
      <alignment wrapText="1"/>
    </xf>
    <xf numFmtId="0" fontId="34" fillId="0" borderId="52" xfId="12" applyFont="1" applyBorder="1" applyAlignment="1">
      <alignment vertical="center"/>
    </xf>
    <xf numFmtId="0" fontId="44" fillId="0" borderId="53" xfId="12" applyFont="1" applyBorder="1" applyAlignment="1">
      <alignment vertical="center"/>
    </xf>
    <xf numFmtId="14" fontId="38" fillId="0" borderId="53" xfId="12" applyNumberFormat="1" applyFont="1" applyBorder="1" applyAlignment="1">
      <alignment horizontal="right" vertical="center"/>
    </xf>
    <xf numFmtId="164" fontId="42" fillId="0" borderId="54" xfId="14" applyNumberFormat="1" applyFont="1" applyFill="1" applyBorder="1" applyAlignment="1">
      <alignment horizontal="center" vertical="center"/>
    </xf>
    <xf numFmtId="3" fontId="42" fillId="0" borderId="55" xfId="12" applyNumberFormat="1" applyFont="1" applyBorder="1" applyAlignment="1">
      <alignment horizontal="right" vertical="center"/>
    </xf>
    <xf numFmtId="3" fontId="38" fillId="0" borderId="0" xfId="12" applyNumberFormat="1" applyFont="1" applyAlignment="1">
      <alignment vertical="center"/>
    </xf>
    <xf numFmtId="0" fontId="36" fillId="0" borderId="0" xfId="12" applyFont="1" applyAlignment="1">
      <alignment vertical="center"/>
    </xf>
    <xf numFmtId="0" fontId="34" fillId="0" borderId="56" xfId="12" applyFont="1" applyBorder="1" applyAlignment="1">
      <alignment vertical="center"/>
    </xf>
    <xf numFmtId="0" fontId="44" fillId="0" borderId="57" xfId="12" applyFont="1" applyBorder="1" applyAlignment="1">
      <alignment vertical="center"/>
    </xf>
    <xf numFmtId="0" fontId="38" fillId="0" borderId="57" xfId="12" applyFont="1" applyBorder="1" applyAlignment="1">
      <alignment horizontal="center" vertical="center"/>
    </xf>
    <xf numFmtId="164" fontId="42" fillId="0" borderId="58" xfId="14" applyNumberFormat="1" applyFont="1" applyFill="1" applyBorder="1" applyAlignment="1">
      <alignment horizontal="center" vertical="center"/>
    </xf>
    <xf numFmtId="3" fontId="45" fillId="0" borderId="59" xfId="12" applyNumberFormat="1" applyFont="1" applyBorder="1" applyAlignment="1">
      <alignment horizontal="right" vertical="center"/>
    </xf>
    <xf numFmtId="0" fontId="37" fillId="0" borderId="0" xfId="12" applyFont="1" applyAlignment="1">
      <alignment vertical="center"/>
    </xf>
    <xf numFmtId="0" fontId="34" fillId="0" borderId="60" xfId="12" applyFont="1" applyBorder="1" applyAlignment="1">
      <alignment vertical="center"/>
    </xf>
    <xf numFmtId="0" fontId="44" fillId="0" borderId="61" xfId="12" applyFont="1" applyBorder="1" applyAlignment="1">
      <alignment vertical="center"/>
    </xf>
    <xf numFmtId="14" fontId="38" fillId="0" borderId="61" xfId="12" applyNumberFormat="1" applyFont="1" applyBorder="1" applyAlignment="1">
      <alignment horizontal="center" vertical="center"/>
    </xf>
    <xf numFmtId="3" fontId="42" fillId="0" borderId="62" xfId="12" applyNumberFormat="1" applyFont="1" applyBorder="1" applyAlignment="1">
      <alignment horizontal="right" vertical="center"/>
    </xf>
    <xf numFmtId="14" fontId="38" fillId="0" borderId="53" xfId="12" applyNumberFormat="1" applyFont="1" applyBorder="1" applyAlignment="1">
      <alignment horizontal="center" vertical="center"/>
    </xf>
    <xf numFmtId="164" fontId="42" fillId="0" borderId="55" xfId="15" applyNumberFormat="1" applyFont="1" applyFill="1" applyBorder="1" applyAlignment="1">
      <alignment horizontal="right" vertical="center"/>
    </xf>
    <xf numFmtId="164" fontId="42" fillId="0" borderId="57" xfId="14" applyNumberFormat="1" applyFont="1" applyFill="1" applyBorder="1" applyAlignment="1">
      <alignment horizontal="center" vertical="center"/>
    </xf>
    <xf numFmtId="164" fontId="45" fillId="0" borderId="59" xfId="15" applyNumberFormat="1" applyFont="1" applyFill="1" applyBorder="1" applyAlignment="1">
      <alignment horizontal="right" vertical="center"/>
    </xf>
    <xf numFmtId="0" fontId="38" fillId="0" borderId="61" xfId="12" applyFont="1" applyBorder="1" applyAlignment="1">
      <alignment horizontal="center" vertical="center"/>
    </xf>
    <xf numFmtId="164" fontId="42" fillId="0" borderId="63" xfId="14" applyNumberFormat="1" applyFont="1" applyFill="1" applyBorder="1" applyAlignment="1">
      <alignment horizontal="center" vertical="center"/>
    </xf>
    <xf numFmtId="3" fontId="42" fillId="0" borderId="64" xfId="12" applyNumberFormat="1" applyFont="1" applyBorder="1" applyAlignment="1">
      <alignment horizontal="right" vertical="center"/>
    </xf>
    <xf numFmtId="166" fontId="38" fillId="0" borderId="0" xfId="11" applyNumberFormat="1" applyFont="1" applyFill="1" applyAlignment="1">
      <alignment vertical="center"/>
    </xf>
    <xf numFmtId="0" fontId="38" fillId="0" borderId="53" xfId="12" applyFont="1" applyBorder="1" applyAlignment="1">
      <alignment horizontal="center" vertical="center"/>
    </xf>
    <xf numFmtId="164" fontId="42" fillId="0" borderId="53" xfId="14" applyNumberFormat="1" applyFont="1" applyFill="1" applyBorder="1" applyAlignment="1">
      <alignment horizontal="center" vertical="center"/>
    </xf>
    <xf numFmtId="0" fontId="46" fillId="0" borderId="57" xfId="12" applyFont="1" applyBorder="1" applyAlignment="1">
      <alignment vertical="center"/>
    </xf>
    <xf numFmtId="0" fontId="38" fillId="0" borderId="65" xfId="12" applyFont="1" applyBorder="1" applyAlignment="1">
      <alignment horizontal="center" vertical="center"/>
    </xf>
    <xf numFmtId="164" fontId="42" fillId="0" borderId="61" xfId="14" applyNumberFormat="1" applyFont="1" applyFill="1" applyBorder="1" applyAlignment="1">
      <alignment horizontal="center" vertical="center"/>
    </xf>
    <xf numFmtId="0" fontId="38" fillId="0" borderId="58" xfId="12" applyFont="1" applyBorder="1" applyAlignment="1">
      <alignment horizontal="center" vertical="center"/>
    </xf>
    <xf numFmtId="164" fontId="47" fillId="0" borderId="57" xfId="14" applyNumberFormat="1" applyFont="1" applyFill="1" applyBorder="1" applyAlignment="1">
      <alignment horizontal="center" vertical="center"/>
    </xf>
    <xf numFmtId="0" fontId="48" fillId="0" borderId="52" xfId="12" applyFont="1" applyBorder="1" applyAlignment="1">
      <alignment vertical="center"/>
    </xf>
    <xf numFmtId="0" fontId="44" fillId="0" borderId="53" xfId="12" applyFont="1" applyBorder="1" applyAlignment="1">
      <alignment vertical="center" wrapText="1"/>
    </xf>
    <xf numFmtId="0" fontId="44" fillId="0" borderId="61" xfId="12" applyFont="1" applyBorder="1" applyAlignment="1">
      <alignment vertical="center" wrapText="1"/>
    </xf>
    <xf numFmtId="164" fontId="47" fillId="0" borderId="63" xfId="14" applyNumberFormat="1" applyFont="1" applyFill="1" applyBorder="1" applyAlignment="1">
      <alignment horizontal="center" vertical="center"/>
    </xf>
    <xf numFmtId="164" fontId="49" fillId="0" borderId="57" xfId="14" applyNumberFormat="1" applyFont="1" applyFill="1" applyBorder="1" applyAlignment="1">
      <alignment horizontal="center" vertical="center"/>
    </xf>
    <xf numFmtId="0" fontId="38" fillId="0" borderId="53" xfId="12" applyFont="1" applyBorder="1" applyAlignment="1">
      <alignment vertical="center"/>
    </xf>
    <xf numFmtId="0" fontId="41" fillId="0" borderId="0" xfId="12" applyFont="1" applyAlignment="1">
      <alignment vertical="center"/>
    </xf>
    <xf numFmtId="0" fontId="38" fillId="0" borderId="57" xfId="12" applyFont="1" applyBorder="1" applyAlignment="1">
      <alignment vertical="center"/>
    </xf>
    <xf numFmtId="164" fontId="36" fillId="0" borderId="0" xfId="14" applyNumberFormat="1" applyFont="1" applyFill="1" applyBorder="1"/>
    <xf numFmtId="3" fontId="37" fillId="0" borderId="0" xfId="12" applyNumberFormat="1" applyFont="1"/>
    <xf numFmtId="0" fontId="38" fillId="0" borderId="0" xfId="12" applyFont="1" applyAlignment="1">
      <alignment vertical="center"/>
    </xf>
    <xf numFmtId="0" fontId="38" fillId="0" borderId="0" xfId="12" applyFont="1" applyAlignment="1">
      <alignment horizontal="center" vertical="center"/>
    </xf>
    <xf numFmtId="164" fontId="38" fillId="0" borderId="0" xfId="14" applyNumberFormat="1" applyFont="1" applyFill="1" applyBorder="1" applyAlignment="1">
      <alignment horizontal="center" vertical="center"/>
    </xf>
    <xf numFmtId="167" fontId="42" fillId="0" borderId="0" xfId="12" applyNumberFormat="1" applyFont="1" applyAlignment="1">
      <alignment horizontal="right" vertical="center"/>
    </xf>
    <xf numFmtId="3" fontId="42" fillId="0" borderId="0" xfId="12" applyNumberFormat="1" applyFont="1" applyAlignment="1">
      <alignment horizontal="right" vertical="center"/>
    </xf>
    <xf numFmtId="0" fontId="42" fillId="0" borderId="0" xfId="12" applyFont="1" applyAlignment="1">
      <alignment vertical="center"/>
    </xf>
    <xf numFmtId="0" fontId="51" fillId="0" borderId="27" xfId="13" applyFont="1" applyBorder="1"/>
    <xf numFmtId="0" fontId="38" fillId="0" borderId="27" xfId="12" applyFont="1" applyBorder="1" applyAlignment="1">
      <alignment vertical="center"/>
    </xf>
    <xf numFmtId="0" fontId="38" fillId="0" borderId="27" xfId="12" applyFont="1" applyBorder="1" applyAlignment="1">
      <alignment horizontal="center" vertical="center"/>
    </xf>
    <xf numFmtId="164" fontId="38" fillId="0" borderId="27" xfId="14" applyNumberFormat="1" applyFont="1" applyFill="1" applyBorder="1" applyAlignment="1">
      <alignment horizontal="center" vertical="center"/>
    </xf>
    <xf numFmtId="3" fontId="42" fillId="0" borderId="27" xfId="12" applyNumberFormat="1" applyFont="1" applyBorder="1" applyAlignment="1">
      <alignment horizontal="right" vertical="center"/>
    </xf>
    <xf numFmtId="164" fontId="34" fillId="0" borderId="54" xfId="14" applyNumberFormat="1" applyFont="1" applyFill="1" applyBorder="1" applyAlignment="1">
      <alignment horizontal="center" vertical="center"/>
    </xf>
    <xf numFmtId="0" fontId="38" fillId="0" borderId="63" xfId="12" applyFont="1" applyBorder="1" applyAlignment="1">
      <alignment vertical="center"/>
    </xf>
    <xf numFmtId="164" fontId="38" fillId="0" borderId="54" xfId="14" applyNumberFormat="1" applyFont="1" applyFill="1" applyBorder="1" applyAlignment="1">
      <alignment horizontal="center" vertical="center"/>
    </xf>
    <xf numFmtId="0" fontId="38" fillId="0" borderId="58" xfId="12" applyFont="1" applyBorder="1" applyAlignment="1">
      <alignment vertical="center"/>
    </xf>
    <xf numFmtId="164" fontId="38" fillId="0" borderId="58" xfId="14" applyNumberFormat="1" applyFont="1" applyFill="1" applyBorder="1" applyAlignment="1">
      <alignment horizontal="center" vertical="center"/>
    </xf>
    <xf numFmtId="3" fontId="42" fillId="0" borderId="59" xfId="12" applyNumberFormat="1" applyFont="1" applyBorder="1" applyAlignment="1">
      <alignment horizontal="right" vertical="center"/>
    </xf>
    <xf numFmtId="164" fontId="42" fillId="0" borderId="64" xfId="15" applyNumberFormat="1" applyFont="1" applyFill="1" applyBorder="1" applyAlignment="1">
      <alignment horizontal="right" vertical="center"/>
    </xf>
    <xf numFmtId="0" fontId="38" fillId="0" borderId="48" xfId="12" applyFont="1" applyBorder="1" applyAlignment="1">
      <alignment vertical="center"/>
    </xf>
    <xf numFmtId="0" fontId="42" fillId="0" borderId="48" xfId="12" applyFont="1" applyBorder="1" applyAlignment="1">
      <alignment vertical="center"/>
    </xf>
    <xf numFmtId="0" fontId="34" fillId="0" borderId="0" xfId="12" applyFont="1" applyAlignment="1">
      <alignment vertical="center"/>
    </xf>
    <xf numFmtId="0" fontId="42" fillId="0" borderId="0" xfId="12" applyFont="1" applyAlignment="1">
      <alignment horizontal="center" vertical="center"/>
    </xf>
    <xf numFmtId="164" fontId="42" fillId="0" borderId="0" xfId="14" applyNumberFormat="1" applyFont="1" applyFill="1" applyBorder="1" applyAlignment="1">
      <alignment horizontal="center" vertical="center"/>
    </xf>
    <xf numFmtId="164" fontId="38" fillId="0" borderId="0" xfId="14" applyNumberFormat="1" applyFont="1" applyFill="1" applyAlignment="1">
      <alignment vertical="center"/>
    </xf>
    <xf numFmtId="164" fontId="42" fillId="0" borderId="0" xfId="1" applyNumberFormat="1" applyFont="1" applyFill="1" applyAlignment="1">
      <alignment vertical="center"/>
    </xf>
    <xf numFmtId="0" fontId="34" fillId="0" borderId="14" xfId="12" applyFont="1" applyBorder="1" applyAlignment="1">
      <alignment vertical="center"/>
    </xf>
    <xf numFmtId="0" fontId="42" fillId="0" borderId="68" xfId="12" applyFont="1" applyBorder="1" applyAlignment="1">
      <alignment vertical="center"/>
    </xf>
    <xf numFmtId="0" fontId="42" fillId="0" borderId="1" xfId="12" applyFont="1" applyBorder="1" applyAlignment="1">
      <alignment horizontal="center" vertical="center"/>
    </xf>
    <xf numFmtId="164" fontId="42" fillId="0" borderId="15" xfId="14" applyNumberFormat="1" applyFont="1" applyFill="1" applyBorder="1" applyAlignment="1">
      <alignment horizontal="center" vertical="center"/>
    </xf>
    <xf numFmtId="3" fontId="42" fillId="0" borderId="2" xfId="12" applyNumberFormat="1" applyFont="1" applyBorder="1" applyAlignment="1">
      <alignment vertical="center"/>
    </xf>
    <xf numFmtId="0" fontId="37" fillId="0" borderId="46" xfId="12" applyFont="1" applyBorder="1" applyAlignment="1">
      <alignment wrapText="1"/>
    </xf>
    <xf numFmtId="168" fontId="37" fillId="0" borderId="0" xfId="17" applyNumberFormat="1" applyFont="1" applyFill="1"/>
    <xf numFmtId="168" fontId="52" fillId="0" borderId="0" xfId="17" applyNumberFormat="1" applyFont="1" applyFill="1"/>
    <xf numFmtId="0" fontId="52" fillId="0" borderId="0" xfId="12" applyFont="1"/>
    <xf numFmtId="0" fontId="36" fillId="0" borderId="0" xfId="12" applyFont="1" applyAlignment="1">
      <alignment horizontal="right"/>
    </xf>
    <xf numFmtId="3" fontId="53" fillId="0" borderId="0" xfId="12" applyNumberFormat="1" applyFont="1"/>
    <xf numFmtId="164" fontId="36" fillId="0" borderId="0" xfId="1" applyNumberFormat="1" applyFont="1" applyFill="1" applyBorder="1"/>
    <xf numFmtId="3" fontId="54" fillId="0" borderId="0" xfId="12" applyNumberFormat="1" applyFont="1"/>
    <xf numFmtId="0" fontId="38" fillId="0" borderId="0" xfId="12" applyFont="1" applyAlignment="1">
      <alignment horizontal="right"/>
    </xf>
    <xf numFmtId="3" fontId="38" fillId="0" borderId="0" xfId="12" applyNumberFormat="1" applyFont="1"/>
    <xf numFmtId="0" fontId="38" fillId="0" borderId="27" xfId="12" applyFont="1" applyBorder="1"/>
    <xf numFmtId="0" fontId="42" fillId="0" borderId="58" xfId="12" applyFont="1" applyBorder="1" applyAlignment="1">
      <alignment horizontal="right" wrapText="1"/>
    </xf>
    <xf numFmtId="0" fontId="42" fillId="0" borderId="27" xfId="12" applyFont="1" applyBorder="1" applyAlignment="1">
      <alignment horizontal="right" wrapText="1"/>
    </xf>
    <xf numFmtId="164" fontId="38" fillId="0" borderId="0" xfId="14" applyNumberFormat="1" applyFont="1" applyFill="1" applyBorder="1"/>
    <xf numFmtId="3" fontId="42" fillId="0" borderId="63" xfId="12" applyNumberFormat="1" applyFont="1" applyBorder="1"/>
    <xf numFmtId="0" fontId="55" fillId="0" borderId="0" xfId="12" applyFont="1" applyAlignment="1">
      <alignment vertical="center"/>
    </xf>
    <xf numFmtId="164" fontId="38" fillId="0" borderId="27" xfId="14" applyNumberFormat="1" applyFont="1" applyFill="1" applyBorder="1"/>
    <xf numFmtId="3" fontId="42" fillId="0" borderId="58" xfId="12" applyNumberFormat="1" applyFont="1" applyBorder="1"/>
    <xf numFmtId="164" fontId="36" fillId="0" borderId="0" xfId="14" applyNumberFormat="1" applyFont="1" applyFill="1" applyBorder="1" applyAlignment="1">
      <alignment horizontal="left"/>
    </xf>
    <xf numFmtId="3" fontId="42" fillId="0" borderId="0" xfId="12" applyNumberFormat="1" applyFont="1"/>
    <xf numFmtId="164" fontId="36" fillId="0" borderId="0" xfId="14" applyNumberFormat="1" applyFont="1" applyFill="1" applyAlignment="1">
      <alignment horizontal="left"/>
    </xf>
    <xf numFmtId="0" fontId="56" fillId="0" borderId="0" xfId="12" applyFont="1"/>
    <xf numFmtId="0" fontId="57" fillId="0" borderId="0" xfId="12" applyFont="1"/>
    <xf numFmtId="0" fontId="58" fillId="0" borderId="0" xfId="12" applyFont="1"/>
    <xf numFmtId="0" fontId="59" fillId="0" borderId="0" xfId="12" applyFont="1"/>
    <xf numFmtId="164" fontId="19" fillId="14" borderId="28" xfId="1" applyNumberFormat="1" applyFont="1" applyFill="1" applyBorder="1" applyAlignment="1">
      <alignment horizontal="right"/>
    </xf>
    <xf numFmtId="0" fontId="9" fillId="0" borderId="0" xfId="10" applyFont="1"/>
    <xf numFmtId="0" fontId="2" fillId="0" borderId="0" xfId="9"/>
    <xf numFmtId="9" fontId="4" fillId="0" borderId="11" xfId="4" applyFont="1" applyBorder="1" applyAlignment="1">
      <alignment horizontal="left" wrapText="1"/>
    </xf>
    <xf numFmtId="9" fontId="4" fillId="0" borderId="12" xfId="4" applyFont="1" applyBorder="1" applyAlignment="1">
      <alignment horizontal="left" wrapText="1"/>
    </xf>
    <xf numFmtId="0" fontId="5" fillId="0" borderId="0" xfId="10" applyFont="1"/>
    <xf numFmtId="0" fontId="42" fillId="0" borderId="51" xfId="12" applyFont="1" applyBorder="1" applyAlignment="1">
      <alignment horizontal="center" vertical="center" wrapText="1"/>
    </xf>
    <xf numFmtId="0" fontId="42" fillId="0" borderId="15" xfId="12" applyFont="1" applyBorder="1" applyAlignment="1">
      <alignment horizontal="center" vertical="center" wrapText="1"/>
    </xf>
    <xf numFmtId="0" fontId="38" fillId="0" borderId="53" xfId="16" applyFont="1" applyBorder="1" applyAlignment="1">
      <alignment horizontal="left" vertical="center" wrapText="1"/>
    </xf>
    <xf numFmtId="0" fontId="13" fillId="0" borderId="57" xfId="16" applyBorder="1" applyAlignment="1">
      <alignment horizontal="left" vertical="center" wrapText="1"/>
    </xf>
    <xf numFmtId="0" fontId="38" fillId="0" borderId="66" xfId="16" applyFont="1" applyBorder="1" applyAlignment="1">
      <alignment horizontal="center" vertical="center" wrapText="1"/>
    </xf>
    <xf numFmtId="0" fontId="13" fillId="0" borderId="57" xfId="16" applyBorder="1" applyAlignment="1">
      <alignment horizontal="center" vertical="center" wrapText="1"/>
    </xf>
    <xf numFmtId="164" fontId="42" fillId="0" borderId="53" xfId="1" applyNumberFormat="1" applyFont="1" applyFill="1" applyBorder="1" applyAlignment="1">
      <alignment horizontal="center" vertical="center" wrapText="1"/>
    </xf>
    <xf numFmtId="164" fontId="50" fillId="0" borderId="57" xfId="1" applyNumberFormat="1" applyFont="1" applyFill="1" applyBorder="1" applyAlignment="1">
      <alignment horizontal="center" vertical="center" wrapText="1"/>
    </xf>
    <xf numFmtId="0" fontId="38" fillId="0" borderId="61" xfId="16" applyFont="1" applyBorder="1" applyAlignment="1">
      <alignment horizontal="left" vertical="center" wrapText="1"/>
    </xf>
    <xf numFmtId="0" fontId="4" fillId="0" borderId="57" xfId="16" applyFont="1" applyBorder="1" applyAlignment="1">
      <alignment horizontal="left" vertical="center" wrapText="1"/>
    </xf>
    <xf numFmtId="0" fontId="38" fillId="0" borderId="61" xfId="16" applyFont="1" applyBorder="1" applyAlignment="1">
      <alignment horizontal="center" vertical="center" wrapText="1"/>
    </xf>
    <xf numFmtId="0" fontId="15" fillId="0" borderId="57" xfId="16" applyFont="1" applyBorder="1" applyAlignment="1">
      <alignment horizontal="center" vertical="center" wrapText="1"/>
    </xf>
    <xf numFmtId="0" fontId="38" fillId="0" borderId="57" xfId="16" applyFont="1" applyBorder="1" applyAlignment="1">
      <alignment horizontal="left" vertical="center" wrapText="1"/>
    </xf>
    <xf numFmtId="0" fontId="38" fillId="0" borderId="53" xfId="16" applyFont="1" applyBorder="1" applyAlignment="1">
      <alignment horizontal="center" vertical="center" wrapText="1"/>
    </xf>
    <xf numFmtId="0" fontId="15" fillId="0" borderId="57" xfId="16" applyFont="1" applyBorder="1" applyAlignment="1">
      <alignment horizontal="left" vertical="center" wrapText="1"/>
    </xf>
    <xf numFmtId="0" fontId="38" fillId="0" borderId="53" xfId="7" applyFont="1" applyBorder="1" applyAlignment="1">
      <alignment horizontal="left" vertical="center" wrapText="1"/>
    </xf>
    <xf numFmtId="0" fontId="15" fillId="0" borderId="57" xfId="7" applyFont="1" applyBorder="1" applyAlignment="1">
      <alignment horizontal="left" vertical="center" wrapText="1"/>
    </xf>
    <xf numFmtId="164" fontId="34" fillId="0" borderId="57" xfId="1" applyNumberFormat="1" applyFont="1" applyFill="1" applyBorder="1" applyAlignment="1">
      <alignment horizontal="center" vertical="center" wrapText="1"/>
    </xf>
    <xf numFmtId="0" fontId="38" fillId="0" borderId="67" xfId="7" applyFont="1" applyBorder="1" applyAlignment="1">
      <alignment horizontal="left" vertical="center" wrapText="1"/>
    </xf>
    <xf numFmtId="0" fontId="38" fillId="0" borderId="29" xfId="7" applyFont="1" applyBorder="1" applyAlignment="1">
      <alignment horizontal="left" vertical="center" wrapText="1"/>
    </xf>
    <xf numFmtId="164" fontId="42" fillId="0" borderId="57" xfId="1" applyNumberFormat="1" applyFont="1" applyFill="1" applyBorder="1" applyAlignment="1">
      <alignment horizontal="center" vertical="center" wrapText="1"/>
    </xf>
    <xf numFmtId="0" fontId="38" fillId="0" borderId="57" xfId="7" applyFont="1" applyBorder="1" applyAlignment="1">
      <alignment horizontal="left" vertical="center" wrapText="1"/>
    </xf>
    <xf numFmtId="0" fontId="38" fillId="0" borderId="57" xfId="16" applyFont="1" applyBorder="1" applyAlignment="1">
      <alignment horizontal="center" vertical="center" wrapText="1"/>
    </xf>
    <xf numFmtId="0" fontId="31" fillId="15" borderId="40" xfId="0" applyFont="1" applyFill="1" applyBorder="1" applyAlignment="1">
      <alignment horizontal="center" wrapText="1"/>
    </xf>
    <xf numFmtId="0" fontId="31" fillId="15" borderId="41" xfId="0" applyFont="1" applyFill="1" applyBorder="1" applyAlignment="1">
      <alignment horizontal="center" wrapText="1"/>
    </xf>
    <xf numFmtId="0" fontId="31" fillId="15" borderId="42" xfId="0" applyFont="1" applyFill="1" applyBorder="1" applyAlignment="1">
      <alignment horizontal="center"/>
    </xf>
    <xf numFmtId="0" fontId="31" fillId="15" borderId="43" xfId="0" applyFont="1" applyFill="1" applyBorder="1" applyAlignment="1">
      <alignment horizontal="center"/>
    </xf>
    <xf numFmtId="0" fontId="31" fillId="15" borderId="44" xfId="0" applyFont="1" applyFill="1" applyBorder="1" applyAlignment="1">
      <alignment horizontal="center"/>
    </xf>
    <xf numFmtId="0" fontId="25" fillId="15" borderId="40" xfId="0" applyFont="1" applyFill="1" applyBorder="1" applyAlignment="1">
      <alignment horizontal="center" wrapText="1"/>
    </xf>
    <xf numFmtId="0" fontId="25" fillId="15" borderId="41" xfId="0" applyFont="1" applyFill="1" applyBorder="1" applyAlignment="1">
      <alignment horizontal="center" wrapText="1"/>
    </xf>
    <xf numFmtId="0" fontId="4" fillId="14" borderId="0" xfId="2" applyFont="1" applyFill="1" applyAlignment="1">
      <alignment horizontal="left" wrapText="1"/>
    </xf>
    <xf numFmtId="0" fontId="14" fillId="16" borderId="49" xfId="0" applyFont="1" applyFill="1" applyBorder="1" applyAlignment="1">
      <alignment horizontal="center" vertical="top" wrapText="1"/>
    </xf>
    <xf numFmtId="0" fontId="32" fillId="16" borderId="49" xfId="0" applyFont="1" applyFill="1" applyBorder="1" applyAlignment="1">
      <alignment horizontal="center" vertical="top" wrapText="1"/>
    </xf>
  </cellXfs>
  <cellStyles count="18">
    <cellStyle name="Comma" xfId="1" builtinId="3"/>
    <cellStyle name="Comma 3 3" xfId="15" xr:uid="{6B4E3F5C-1812-4DA1-B91A-380413CACF06}"/>
    <cellStyle name="Comma 4 2" xfId="14" xr:uid="{5699DE97-B69A-400A-B40E-CB0FA3A383E6}"/>
    <cellStyle name="Hyperlink" xfId="6" builtinId="8"/>
    <cellStyle name="Komats 10" xfId="5" xr:uid="{601DAF5A-0804-45F6-8DCF-1BDEA49E0FEF}"/>
    <cellStyle name="Normal" xfId="0" builtinId="0"/>
    <cellStyle name="Normal 2 2" xfId="7" xr:uid="{FF149261-7089-4534-B34B-BB8C0BC29937}"/>
    <cellStyle name="Normal 4" xfId="12" xr:uid="{8932CBDC-DA64-41FC-8F0E-08C67C8174E7}"/>
    <cellStyle name="Parasts 2" xfId="16" xr:uid="{6FEE10D6-DB1A-4DE5-A62A-941740B81245}"/>
    <cellStyle name="Parasts 2 2 2 2" xfId="13" xr:uid="{5B24DD15-DA88-440B-AB9A-8DE6CB599431}"/>
    <cellStyle name="Parasts 2 2 5" xfId="2" xr:uid="{76452858-ECD8-41CF-88F0-0AD937B778C4}"/>
    <cellStyle name="Parasts 2 2 5 2" xfId="3" xr:uid="{B9B041A4-AE29-4BE2-98D1-016811B11BE9}"/>
    <cellStyle name="Parasts 2 2 5 2 2" xfId="10" xr:uid="{FF4D9486-D7D0-450D-B84F-9E76D8298740}"/>
    <cellStyle name="Parasts 2 2 5 3" xfId="9" xr:uid="{7DB72E37-1D9C-4856-97FD-FAB771535A50}"/>
    <cellStyle name="Percent" xfId="11" builtinId="5"/>
    <cellStyle name="Percent 3 2" xfId="17" xr:uid="{471CB344-6963-4200-8852-899714D699F0}"/>
    <cellStyle name="Percent 4" xfId="8" xr:uid="{F849CD1F-C7AE-44E3-878E-F74932734A21}"/>
    <cellStyle name="Procenti 2 3" xfId="4" xr:uid="{AB61FB60-C848-4345-A327-3DA297E2C90E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armite\Desktop\2010\2014\22.12.2014\Budzeta_projekts%202014_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RNIS\formas\dok_registrs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NIS\formas\dok_registrs201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mite.Muze\Nextcloud\Finansu%20nodala%20kopmape\04_2023\1_Budzets_2023_actual_04_2023.xlsx" TargetMode="External"/><Relationship Id="rId1" Type="http://schemas.openxmlformats.org/officeDocument/2006/relationships/externalLinkPath" Target="/Users/Sarmite.Muze/Nextcloud/Finansu%20nodala%20kopmape/04_2023/1_Budzets_2023_actual_04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>
        <row r="36">
          <cell r="C36">
            <v>5078304.9348664423</v>
          </cell>
        </row>
      </sheetData>
      <sheetData sheetId="8">
        <row r="14">
          <cell r="Q14">
            <v>430025</v>
          </cell>
        </row>
      </sheetData>
      <sheetData sheetId="9"/>
      <sheetData sheetId="10">
        <row r="2130">
          <cell r="I2130">
            <v>90500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>
            <v>0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>
            <v>0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>
            <v>0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zvērināta advokāte 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ibai"/>
      <sheetName val="Jautajumi"/>
      <sheetName val="Budžeta faila apraksts"/>
      <sheetName val="check"/>
      <sheetName val="Grafiki_2023"/>
      <sheetName val="Skaidrojumi"/>
      <sheetName val="Kopsavilkums"/>
      <sheetName val="PIVOT_2023"/>
      <sheetName val="Investīcijas_2023"/>
      <sheetName val="Pivot_invest_2023"/>
      <sheetName val="PFIF prognoze"/>
      <sheetName val="2022-2027"/>
      <sheetName val="2023.gada budzeta plans_apvieno"/>
      <sheetName val="Grafiki"/>
      <sheetName val="INPUT"/>
      <sheetName val="Filtri"/>
      <sheetName val="31122022_final"/>
      <sheetName val="Pivot_Saraksts"/>
      <sheetName val="0841"/>
      <sheetName val="0841.1_Gaujas svetki"/>
      <sheetName val="0841.4_Dziesmu svētki"/>
      <sheetName val="0812_Sport"/>
      <sheetName val="0812 _Trenažieri"/>
      <sheetName val="0630_dekori"/>
      <sheetName val="Priekšlikumi ārtelpas projekt"/>
      <sheetName val="EKK"/>
      <sheetName val="Ieņēmumi"/>
      <sheetName val="KA_31122022"/>
      <sheetName val="Algas_2023"/>
      <sheetName val="4.piel_Saistibas"/>
      <sheetName val="Saistibas_VK_prognoze"/>
      <sheetName val="5.piel.EKK"/>
      <sheetName val="2022_2027"/>
      <sheetName val="Deputāti"/>
      <sheetName val="Velesanu_komis_loc"/>
      <sheetName val="Adm_komisija"/>
      <sheetName val="Iepirk_komisija"/>
      <sheetName val="Komisijas"/>
      <sheetName val="1_Budzets_2023_actual_04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D6DFD-016A-4822-A800-51B6C175CA33}">
  <sheetPr>
    <tabColor rgb="FF92D050"/>
    <pageSetUpPr fitToPage="1"/>
  </sheetPr>
  <dimension ref="A1:K278"/>
  <sheetViews>
    <sheetView tabSelected="1" zoomScaleNormal="100" zoomScaleSheetLayoutView="80" workbookViewId="0">
      <pane xSplit="4" ySplit="5" topLeftCell="E6" activePane="bottomRight" state="frozen"/>
      <selection activeCell="C1" sqref="C1"/>
      <selection pane="topRight" activeCell="E1" sqref="E1"/>
      <selection pane="bottomLeft" activeCell="C6" sqref="C6"/>
      <selection pane="bottomRight" activeCell="D5" sqref="D5"/>
    </sheetView>
  </sheetViews>
  <sheetFormatPr defaultRowHeight="15" outlineLevelRow="1" outlineLevelCol="2" x14ac:dyDescent="0.25"/>
  <cols>
    <col min="1" max="1" width="7.85546875" style="93" hidden="1" customWidth="1" outlineLevel="2"/>
    <col min="2" max="2" width="11.42578125" style="93" hidden="1" customWidth="1" outlineLevel="2"/>
    <col min="3" max="3" width="15" style="160" customWidth="1" collapsed="1"/>
    <col min="4" max="4" width="48.5703125" style="95" customWidth="1"/>
    <col min="5" max="5" width="14.85546875" style="93" customWidth="1"/>
    <col min="6" max="6" width="14.85546875" style="93" customWidth="1" collapsed="1"/>
    <col min="7" max="7" width="14.85546875" style="93" hidden="1" customWidth="1" outlineLevel="1"/>
    <col min="8" max="8" width="54" style="6" hidden="1" customWidth="1" outlineLevel="1" collapsed="1"/>
    <col min="9" max="9" width="14.85546875" style="93" customWidth="1" collapsed="1"/>
    <col min="10" max="10" width="14.85546875" style="93" customWidth="1"/>
    <col min="11" max="11" width="56.42578125" style="6" customWidth="1" collapsed="1"/>
    <col min="12" max="175" width="9" style="93"/>
    <col min="176" max="177" width="0" style="93" hidden="1" customWidth="1"/>
    <col min="178" max="178" width="13.7109375" style="93" customWidth="1"/>
    <col min="179" max="179" width="52.85546875" style="93" customWidth="1"/>
    <col min="180" max="219" width="0" style="93" hidden="1" customWidth="1"/>
    <col min="220" max="221" width="14.85546875" style="93" customWidth="1"/>
    <col min="222" max="223" width="0" style="93" hidden="1" customWidth="1"/>
    <col min="224" max="224" width="14.85546875" style="93" customWidth="1"/>
    <col min="225" max="226" width="0" style="93" hidden="1" customWidth="1"/>
    <col min="227" max="227" width="14.85546875" style="93" customWidth="1"/>
    <col min="228" max="229" width="0" style="93" hidden="1" customWidth="1"/>
    <col min="230" max="230" width="14.85546875" style="93" customWidth="1"/>
    <col min="231" max="232" width="0" style="93" hidden="1" customWidth="1"/>
    <col min="233" max="233" width="14.85546875" style="93" customWidth="1"/>
    <col min="234" max="235" width="0" style="93" hidden="1" customWidth="1"/>
    <col min="236" max="237" width="14.85546875" style="93" customWidth="1"/>
    <col min="238" max="238" width="44.42578125" style="93" customWidth="1"/>
    <col min="239" max="243" width="14.85546875" style="93" customWidth="1"/>
    <col min="244" max="244" width="63.85546875" style="93" customWidth="1"/>
    <col min="245" max="245" width="13.28515625" style="93" customWidth="1"/>
    <col min="246" max="431" width="9" style="93"/>
    <col min="432" max="433" width="0" style="93" hidden="1" customWidth="1"/>
    <col min="434" max="434" width="13.7109375" style="93" customWidth="1"/>
    <col min="435" max="435" width="52.85546875" style="93" customWidth="1"/>
    <col min="436" max="475" width="0" style="93" hidden="1" customWidth="1"/>
    <col min="476" max="477" width="14.85546875" style="93" customWidth="1"/>
    <col min="478" max="479" width="0" style="93" hidden="1" customWidth="1"/>
    <col min="480" max="480" width="14.85546875" style="93" customWidth="1"/>
    <col min="481" max="482" width="0" style="93" hidden="1" customWidth="1"/>
    <col min="483" max="483" width="14.85546875" style="93" customWidth="1"/>
    <col min="484" max="485" width="0" style="93" hidden="1" customWidth="1"/>
    <col min="486" max="486" width="14.85546875" style="93" customWidth="1"/>
    <col min="487" max="488" width="0" style="93" hidden="1" customWidth="1"/>
    <col min="489" max="489" width="14.85546875" style="93" customWidth="1"/>
    <col min="490" max="491" width="0" style="93" hidden="1" customWidth="1"/>
    <col min="492" max="493" width="14.85546875" style="93" customWidth="1"/>
    <col min="494" max="494" width="44.42578125" style="93" customWidth="1"/>
    <col min="495" max="499" width="14.85546875" style="93" customWidth="1"/>
    <col min="500" max="500" width="63.85546875" style="93" customWidth="1"/>
    <col min="501" max="501" width="13.28515625" style="93" customWidth="1"/>
    <col min="502" max="687" width="9" style="93"/>
    <col min="688" max="689" width="0" style="93" hidden="1" customWidth="1"/>
    <col min="690" max="690" width="13.7109375" style="93" customWidth="1"/>
    <col min="691" max="691" width="52.85546875" style="93" customWidth="1"/>
    <col min="692" max="731" width="0" style="93" hidden="1" customWidth="1"/>
    <col min="732" max="733" width="14.85546875" style="93" customWidth="1"/>
    <col min="734" max="735" width="0" style="93" hidden="1" customWidth="1"/>
    <col min="736" max="736" width="14.85546875" style="93" customWidth="1"/>
    <col min="737" max="738" width="0" style="93" hidden="1" customWidth="1"/>
    <col min="739" max="739" width="14.85546875" style="93" customWidth="1"/>
    <col min="740" max="741" width="0" style="93" hidden="1" customWidth="1"/>
    <col min="742" max="742" width="14.85546875" style="93" customWidth="1"/>
    <col min="743" max="744" width="0" style="93" hidden="1" customWidth="1"/>
    <col min="745" max="745" width="14.85546875" style="93" customWidth="1"/>
    <col min="746" max="747" width="0" style="93" hidden="1" customWidth="1"/>
    <col min="748" max="749" width="14.85546875" style="93" customWidth="1"/>
    <col min="750" max="750" width="44.42578125" style="93" customWidth="1"/>
    <col min="751" max="755" width="14.85546875" style="93" customWidth="1"/>
    <col min="756" max="756" width="63.85546875" style="93" customWidth="1"/>
    <col min="757" max="757" width="13.28515625" style="93" customWidth="1"/>
    <col min="758" max="943" width="9" style="93"/>
    <col min="944" max="945" width="0" style="93" hidden="1" customWidth="1"/>
    <col min="946" max="946" width="13.7109375" style="93" customWidth="1"/>
    <col min="947" max="947" width="52.85546875" style="93" customWidth="1"/>
    <col min="948" max="987" width="0" style="93" hidden="1" customWidth="1"/>
    <col min="988" max="989" width="14.85546875" style="93" customWidth="1"/>
    <col min="990" max="991" width="0" style="93" hidden="1" customWidth="1"/>
    <col min="992" max="992" width="14.85546875" style="93" customWidth="1"/>
    <col min="993" max="994" width="0" style="93" hidden="1" customWidth="1"/>
    <col min="995" max="995" width="14.85546875" style="93" customWidth="1"/>
    <col min="996" max="997" width="0" style="93" hidden="1" customWidth="1"/>
    <col min="998" max="998" width="14.85546875" style="93" customWidth="1"/>
    <col min="999" max="1000" width="0" style="93" hidden="1" customWidth="1"/>
    <col min="1001" max="1001" width="14.85546875" style="93" customWidth="1"/>
    <col min="1002" max="1003" width="0" style="93" hidden="1" customWidth="1"/>
    <col min="1004" max="1005" width="14.85546875" style="93" customWidth="1"/>
    <col min="1006" max="1006" width="44.42578125" style="93" customWidth="1"/>
    <col min="1007" max="1011" width="14.85546875" style="93" customWidth="1"/>
    <col min="1012" max="1012" width="63.85546875" style="93" customWidth="1"/>
    <col min="1013" max="1013" width="13.28515625" style="93" customWidth="1"/>
    <col min="1014" max="1199" width="9" style="93"/>
    <col min="1200" max="1201" width="0" style="93" hidden="1" customWidth="1"/>
    <col min="1202" max="1202" width="13.7109375" style="93" customWidth="1"/>
    <col min="1203" max="1203" width="52.85546875" style="93" customWidth="1"/>
    <col min="1204" max="1243" width="0" style="93" hidden="1" customWidth="1"/>
    <col min="1244" max="1245" width="14.85546875" style="93" customWidth="1"/>
    <col min="1246" max="1247" width="0" style="93" hidden="1" customWidth="1"/>
    <col min="1248" max="1248" width="14.85546875" style="93" customWidth="1"/>
    <col min="1249" max="1250" width="0" style="93" hidden="1" customWidth="1"/>
    <col min="1251" max="1251" width="14.85546875" style="93" customWidth="1"/>
    <col min="1252" max="1253" width="0" style="93" hidden="1" customWidth="1"/>
    <col min="1254" max="1254" width="14.85546875" style="93" customWidth="1"/>
    <col min="1255" max="1256" width="0" style="93" hidden="1" customWidth="1"/>
    <col min="1257" max="1257" width="14.85546875" style="93" customWidth="1"/>
    <col min="1258" max="1259" width="0" style="93" hidden="1" customWidth="1"/>
    <col min="1260" max="1261" width="14.85546875" style="93" customWidth="1"/>
    <col min="1262" max="1262" width="44.42578125" style="93" customWidth="1"/>
    <col min="1263" max="1267" width="14.85546875" style="93" customWidth="1"/>
    <col min="1268" max="1268" width="63.85546875" style="93" customWidth="1"/>
    <col min="1269" max="1269" width="13.28515625" style="93" customWidth="1"/>
    <col min="1270" max="1455" width="9" style="93"/>
    <col min="1456" max="1457" width="0" style="93" hidden="1" customWidth="1"/>
    <col min="1458" max="1458" width="13.7109375" style="93" customWidth="1"/>
    <col min="1459" max="1459" width="52.85546875" style="93" customWidth="1"/>
    <col min="1460" max="1499" width="0" style="93" hidden="1" customWidth="1"/>
    <col min="1500" max="1501" width="14.85546875" style="93" customWidth="1"/>
    <col min="1502" max="1503" width="0" style="93" hidden="1" customWidth="1"/>
    <col min="1504" max="1504" width="14.85546875" style="93" customWidth="1"/>
    <col min="1505" max="1506" width="0" style="93" hidden="1" customWidth="1"/>
    <col min="1507" max="1507" width="14.85546875" style="93" customWidth="1"/>
    <col min="1508" max="1509" width="0" style="93" hidden="1" customWidth="1"/>
    <col min="1510" max="1510" width="14.85546875" style="93" customWidth="1"/>
    <col min="1511" max="1512" width="0" style="93" hidden="1" customWidth="1"/>
    <col min="1513" max="1513" width="14.85546875" style="93" customWidth="1"/>
    <col min="1514" max="1515" width="0" style="93" hidden="1" customWidth="1"/>
    <col min="1516" max="1517" width="14.85546875" style="93" customWidth="1"/>
    <col min="1518" max="1518" width="44.42578125" style="93" customWidth="1"/>
    <col min="1519" max="1523" width="14.85546875" style="93" customWidth="1"/>
    <col min="1524" max="1524" width="63.85546875" style="93" customWidth="1"/>
    <col min="1525" max="1525" width="13.28515625" style="93" customWidth="1"/>
    <col min="1526" max="1711" width="9" style="93"/>
    <col min="1712" max="1713" width="0" style="93" hidden="1" customWidth="1"/>
    <col min="1714" max="1714" width="13.7109375" style="93" customWidth="1"/>
    <col min="1715" max="1715" width="52.85546875" style="93" customWidth="1"/>
    <col min="1716" max="1755" width="0" style="93" hidden="1" customWidth="1"/>
    <col min="1756" max="1757" width="14.85546875" style="93" customWidth="1"/>
    <col min="1758" max="1759" width="0" style="93" hidden="1" customWidth="1"/>
    <col min="1760" max="1760" width="14.85546875" style="93" customWidth="1"/>
    <col min="1761" max="1762" width="0" style="93" hidden="1" customWidth="1"/>
    <col min="1763" max="1763" width="14.85546875" style="93" customWidth="1"/>
    <col min="1764" max="1765" width="0" style="93" hidden="1" customWidth="1"/>
    <col min="1766" max="1766" width="14.85546875" style="93" customWidth="1"/>
    <col min="1767" max="1768" width="0" style="93" hidden="1" customWidth="1"/>
    <col min="1769" max="1769" width="14.85546875" style="93" customWidth="1"/>
    <col min="1770" max="1771" width="0" style="93" hidden="1" customWidth="1"/>
    <col min="1772" max="1773" width="14.85546875" style="93" customWidth="1"/>
    <col min="1774" max="1774" width="44.42578125" style="93" customWidth="1"/>
    <col min="1775" max="1779" width="14.85546875" style="93" customWidth="1"/>
    <col min="1780" max="1780" width="63.85546875" style="93" customWidth="1"/>
    <col min="1781" max="1781" width="13.28515625" style="93" customWidth="1"/>
    <col min="1782" max="1967" width="9" style="93"/>
    <col min="1968" max="1969" width="0" style="93" hidden="1" customWidth="1"/>
    <col min="1970" max="1970" width="13.7109375" style="93" customWidth="1"/>
    <col min="1971" max="1971" width="52.85546875" style="93" customWidth="1"/>
    <col min="1972" max="2011" width="0" style="93" hidden="1" customWidth="1"/>
    <col min="2012" max="2013" width="14.85546875" style="93" customWidth="1"/>
    <col min="2014" max="2015" width="0" style="93" hidden="1" customWidth="1"/>
    <col min="2016" max="2016" width="14.85546875" style="93" customWidth="1"/>
    <col min="2017" max="2018" width="0" style="93" hidden="1" customWidth="1"/>
    <col min="2019" max="2019" width="14.85546875" style="93" customWidth="1"/>
    <col min="2020" max="2021" width="0" style="93" hidden="1" customWidth="1"/>
    <col min="2022" max="2022" width="14.85546875" style="93" customWidth="1"/>
    <col min="2023" max="2024" width="0" style="93" hidden="1" customWidth="1"/>
    <col min="2025" max="2025" width="14.85546875" style="93" customWidth="1"/>
    <col min="2026" max="2027" width="0" style="93" hidden="1" customWidth="1"/>
    <col min="2028" max="2029" width="14.85546875" style="93" customWidth="1"/>
    <col min="2030" max="2030" width="44.42578125" style="93" customWidth="1"/>
    <col min="2031" max="2035" width="14.85546875" style="93" customWidth="1"/>
    <col min="2036" max="2036" width="63.85546875" style="93" customWidth="1"/>
    <col min="2037" max="2037" width="13.28515625" style="93" customWidth="1"/>
    <col min="2038" max="2223" width="9" style="93"/>
    <col min="2224" max="2225" width="0" style="93" hidden="1" customWidth="1"/>
    <col min="2226" max="2226" width="13.7109375" style="93" customWidth="1"/>
    <col min="2227" max="2227" width="52.85546875" style="93" customWidth="1"/>
    <col min="2228" max="2267" width="0" style="93" hidden="1" customWidth="1"/>
    <col min="2268" max="2269" width="14.85546875" style="93" customWidth="1"/>
    <col min="2270" max="2271" width="0" style="93" hidden="1" customWidth="1"/>
    <col min="2272" max="2272" width="14.85546875" style="93" customWidth="1"/>
    <col min="2273" max="2274" width="0" style="93" hidden="1" customWidth="1"/>
    <col min="2275" max="2275" width="14.85546875" style="93" customWidth="1"/>
    <col min="2276" max="2277" width="0" style="93" hidden="1" customWidth="1"/>
    <col min="2278" max="2278" width="14.85546875" style="93" customWidth="1"/>
    <col min="2279" max="2280" width="0" style="93" hidden="1" customWidth="1"/>
    <col min="2281" max="2281" width="14.85546875" style="93" customWidth="1"/>
    <col min="2282" max="2283" width="0" style="93" hidden="1" customWidth="1"/>
    <col min="2284" max="2285" width="14.85546875" style="93" customWidth="1"/>
    <col min="2286" max="2286" width="44.42578125" style="93" customWidth="1"/>
    <col min="2287" max="2291" width="14.85546875" style="93" customWidth="1"/>
    <col min="2292" max="2292" width="63.85546875" style="93" customWidth="1"/>
    <col min="2293" max="2293" width="13.28515625" style="93" customWidth="1"/>
    <col min="2294" max="2479" width="9" style="93"/>
    <col min="2480" max="2481" width="0" style="93" hidden="1" customWidth="1"/>
    <col min="2482" max="2482" width="13.7109375" style="93" customWidth="1"/>
    <col min="2483" max="2483" width="52.85546875" style="93" customWidth="1"/>
    <col min="2484" max="2523" width="0" style="93" hidden="1" customWidth="1"/>
    <col min="2524" max="2525" width="14.85546875" style="93" customWidth="1"/>
    <col min="2526" max="2527" width="0" style="93" hidden="1" customWidth="1"/>
    <col min="2528" max="2528" width="14.85546875" style="93" customWidth="1"/>
    <col min="2529" max="2530" width="0" style="93" hidden="1" customWidth="1"/>
    <col min="2531" max="2531" width="14.85546875" style="93" customWidth="1"/>
    <col min="2532" max="2533" width="0" style="93" hidden="1" customWidth="1"/>
    <col min="2534" max="2534" width="14.85546875" style="93" customWidth="1"/>
    <col min="2535" max="2536" width="0" style="93" hidden="1" customWidth="1"/>
    <col min="2537" max="2537" width="14.85546875" style="93" customWidth="1"/>
    <col min="2538" max="2539" width="0" style="93" hidden="1" customWidth="1"/>
    <col min="2540" max="2541" width="14.85546875" style="93" customWidth="1"/>
    <col min="2542" max="2542" width="44.42578125" style="93" customWidth="1"/>
    <col min="2543" max="2547" width="14.85546875" style="93" customWidth="1"/>
    <col min="2548" max="2548" width="63.85546875" style="93" customWidth="1"/>
    <col min="2549" max="2549" width="13.28515625" style="93" customWidth="1"/>
    <col min="2550" max="2735" width="9" style="93"/>
    <col min="2736" max="2737" width="0" style="93" hidden="1" customWidth="1"/>
    <col min="2738" max="2738" width="13.7109375" style="93" customWidth="1"/>
    <col min="2739" max="2739" width="52.85546875" style="93" customWidth="1"/>
    <col min="2740" max="2779" width="0" style="93" hidden="1" customWidth="1"/>
    <col min="2780" max="2781" width="14.85546875" style="93" customWidth="1"/>
    <col min="2782" max="2783" width="0" style="93" hidden="1" customWidth="1"/>
    <col min="2784" max="2784" width="14.85546875" style="93" customWidth="1"/>
    <col min="2785" max="2786" width="0" style="93" hidden="1" customWidth="1"/>
    <col min="2787" max="2787" width="14.85546875" style="93" customWidth="1"/>
    <col min="2788" max="2789" width="0" style="93" hidden="1" customWidth="1"/>
    <col min="2790" max="2790" width="14.85546875" style="93" customWidth="1"/>
    <col min="2791" max="2792" width="0" style="93" hidden="1" customWidth="1"/>
    <col min="2793" max="2793" width="14.85546875" style="93" customWidth="1"/>
    <col min="2794" max="2795" width="0" style="93" hidden="1" customWidth="1"/>
    <col min="2796" max="2797" width="14.85546875" style="93" customWidth="1"/>
    <col min="2798" max="2798" width="44.42578125" style="93" customWidth="1"/>
    <col min="2799" max="2803" width="14.85546875" style="93" customWidth="1"/>
    <col min="2804" max="2804" width="63.85546875" style="93" customWidth="1"/>
    <col min="2805" max="2805" width="13.28515625" style="93" customWidth="1"/>
    <col min="2806" max="2991" width="9" style="93"/>
    <col min="2992" max="2993" width="0" style="93" hidden="1" customWidth="1"/>
    <col min="2994" max="2994" width="13.7109375" style="93" customWidth="1"/>
    <col min="2995" max="2995" width="52.85546875" style="93" customWidth="1"/>
    <col min="2996" max="3035" width="0" style="93" hidden="1" customWidth="1"/>
    <col min="3036" max="3037" width="14.85546875" style="93" customWidth="1"/>
    <col min="3038" max="3039" width="0" style="93" hidden="1" customWidth="1"/>
    <col min="3040" max="3040" width="14.85546875" style="93" customWidth="1"/>
    <col min="3041" max="3042" width="0" style="93" hidden="1" customWidth="1"/>
    <col min="3043" max="3043" width="14.85546875" style="93" customWidth="1"/>
    <col min="3044" max="3045" width="0" style="93" hidden="1" customWidth="1"/>
    <col min="3046" max="3046" width="14.85546875" style="93" customWidth="1"/>
    <col min="3047" max="3048" width="0" style="93" hidden="1" customWidth="1"/>
    <col min="3049" max="3049" width="14.85546875" style="93" customWidth="1"/>
    <col min="3050" max="3051" width="0" style="93" hidden="1" customWidth="1"/>
    <col min="3052" max="3053" width="14.85546875" style="93" customWidth="1"/>
    <col min="3054" max="3054" width="44.42578125" style="93" customWidth="1"/>
    <col min="3055" max="3059" width="14.85546875" style="93" customWidth="1"/>
    <col min="3060" max="3060" width="63.85546875" style="93" customWidth="1"/>
    <col min="3061" max="3061" width="13.28515625" style="93" customWidth="1"/>
    <col min="3062" max="3247" width="9" style="93"/>
    <col min="3248" max="3249" width="0" style="93" hidden="1" customWidth="1"/>
    <col min="3250" max="3250" width="13.7109375" style="93" customWidth="1"/>
    <col min="3251" max="3251" width="52.85546875" style="93" customWidth="1"/>
    <col min="3252" max="3291" width="0" style="93" hidden="1" customWidth="1"/>
    <col min="3292" max="3293" width="14.85546875" style="93" customWidth="1"/>
    <col min="3294" max="3295" width="0" style="93" hidden="1" customWidth="1"/>
    <col min="3296" max="3296" width="14.85546875" style="93" customWidth="1"/>
    <col min="3297" max="3298" width="0" style="93" hidden="1" customWidth="1"/>
    <col min="3299" max="3299" width="14.85546875" style="93" customWidth="1"/>
    <col min="3300" max="3301" width="0" style="93" hidden="1" customWidth="1"/>
    <col min="3302" max="3302" width="14.85546875" style="93" customWidth="1"/>
    <col min="3303" max="3304" width="0" style="93" hidden="1" customWidth="1"/>
    <col min="3305" max="3305" width="14.85546875" style="93" customWidth="1"/>
    <col min="3306" max="3307" width="0" style="93" hidden="1" customWidth="1"/>
    <col min="3308" max="3309" width="14.85546875" style="93" customWidth="1"/>
    <col min="3310" max="3310" width="44.42578125" style="93" customWidth="1"/>
    <col min="3311" max="3315" width="14.85546875" style="93" customWidth="1"/>
    <col min="3316" max="3316" width="63.85546875" style="93" customWidth="1"/>
    <col min="3317" max="3317" width="13.28515625" style="93" customWidth="1"/>
    <col min="3318" max="3503" width="9" style="93"/>
    <col min="3504" max="3505" width="0" style="93" hidden="1" customWidth="1"/>
    <col min="3506" max="3506" width="13.7109375" style="93" customWidth="1"/>
    <col min="3507" max="3507" width="52.85546875" style="93" customWidth="1"/>
    <col min="3508" max="3547" width="0" style="93" hidden="1" customWidth="1"/>
    <col min="3548" max="3549" width="14.85546875" style="93" customWidth="1"/>
    <col min="3550" max="3551" width="0" style="93" hidden="1" customWidth="1"/>
    <col min="3552" max="3552" width="14.85546875" style="93" customWidth="1"/>
    <col min="3553" max="3554" width="0" style="93" hidden="1" customWidth="1"/>
    <col min="3555" max="3555" width="14.85546875" style="93" customWidth="1"/>
    <col min="3556" max="3557" width="0" style="93" hidden="1" customWidth="1"/>
    <col min="3558" max="3558" width="14.85546875" style="93" customWidth="1"/>
    <col min="3559" max="3560" width="0" style="93" hidden="1" customWidth="1"/>
    <col min="3561" max="3561" width="14.85546875" style="93" customWidth="1"/>
    <col min="3562" max="3563" width="0" style="93" hidden="1" customWidth="1"/>
    <col min="3564" max="3565" width="14.85546875" style="93" customWidth="1"/>
    <col min="3566" max="3566" width="44.42578125" style="93" customWidth="1"/>
    <col min="3567" max="3571" width="14.85546875" style="93" customWidth="1"/>
    <col min="3572" max="3572" width="63.85546875" style="93" customWidth="1"/>
    <col min="3573" max="3573" width="13.28515625" style="93" customWidth="1"/>
    <col min="3574" max="3759" width="9" style="93"/>
    <col min="3760" max="3761" width="0" style="93" hidden="1" customWidth="1"/>
    <col min="3762" max="3762" width="13.7109375" style="93" customWidth="1"/>
    <col min="3763" max="3763" width="52.85546875" style="93" customWidth="1"/>
    <col min="3764" max="3803" width="0" style="93" hidden="1" customWidth="1"/>
    <col min="3804" max="3805" width="14.85546875" style="93" customWidth="1"/>
    <col min="3806" max="3807" width="0" style="93" hidden="1" customWidth="1"/>
    <col min="3808" max="3808" width="14.85546875" style="93" customWidth="1"/>
    <col min="3809" max="3810" width="0" style="93" hidden="1" customWidth="1"/>
    <col min="3811" max="3811" width="14.85546875" style="93" customWidth="1"/>
    <col min="3812" max="3813" width="0" style="93" hidden="1" customWidth="1"/>
    <col min="3814" max="3814" width="14.85546875" style="93" customWidth="1"/>
    <col min="3815" max="3816" width="0" style="93" hidden="1" customWidth="1"/>
    <col min="3817" max="3817" width="14.85546875" style="93" customWidth="1"/>
    <col min="3818" max="3819" width="0" style="93" hidden="1" customWidth="1"/>
    <col min="3820" max="3821" width="14.85546875" style="93" customWidth="1"/>
    <col min="3822" max="3822" width="44.42578125" style="93" customWidth="1"/>
    <col min="3823" max="3827" width="14.85546875" style="93" customWidth="1"/>
    <col min="3828" max="3828" width="63.85546875" style="93" customWidth="1"/>
    <col min="3829" max="3829" width="13.28515625" style="93" customWidth="1"/>
    <col min="3830" max="4015" width="9" style="93"/>
    <col min="4016" max="4017" width="0" style="93" hidden="1" customWidth="1"/>
    <col min="4018" max="4018" width="13.7109375" style="93" customWidth="1"/>
    <col min="4019" max="4019" width="52.85546875" style="93" customWidth="1"/>
    <col min="4020" max="4059" width="0" style="93" hidden="1" customWidth="1"/>
    <col min="4060" max="4061" width="14.85546875" style="93" customWidth="1"/>
    <col min="4062" max="4063" width="0" style="93" hidden="1" customWidth="1"/>
    <col min="4064" max="4064" width="14.85546875" style="93" customWidth="1"/>
    <col min="4065" max="4066" width="0" style="93" hidden="1" customWidth="1"/>
    <col min="4067" max="4067" width="14.85546875" style="93" customWidth="1"/>
    <col min="4068" max="4069" width="0" style="93" hidden="1" customWidth="1"/>
    <col min="4070" max="4070" width="14.85546875" style="93" customWidth="1"/>
    <col min="4071" max="4072" width="0" style="93" hidden="1" customWidth="1"/>
    <col min="4073" max="4073" width="14.85546875" style="93" customWidth="1"/>
    <col min="4074" max="4075" width="0" style="93" hidden="1" customWidth="1"/>
    <col min="4076" max="4077" width="14.85546875" style="93" customWidth="1"/>
    <col min="4078" max="4078" width="44.42578125" style="93" customWidth="1"/>
    <col min="4079" max="4083" width="14.85546875" style="93" customWidth="1"/>
    <col min="4084" max="4084" width="63.85546875" style="93" customWidth="1"/>
    <col min="4085" max="4085" width="13.28515625" style="93" customWidth="1"/>
    <col min="4086" max="4271" width="9" style="93"/>
    <col min="4272" max="4273" width="0" style="93" hidden="1" customWidth="1"/>
    <col min="4274" max="4274" width="13.7109375" style="93" customWidth="1"/>
    <col min="4275" max="4275" width="52.85546875" style="93" customWidth="1"/>
    <col min="4276" max="4315" width="0" style="93" hidden="1" customWidth="1"/>
    <col min="4316" max="4317" width="14.85546875" style="93" customWidth="1"/>
    <col min="4318" max="4319" width="0" style="93" hidden="1" customWidth="1"/>
    <col min="4320" max="4320" width="14.85546875" style="93" customWidth="1"/>
    <col min="4321" max="4322" width="0" style="93" hidden="1" customWidth="1"/>
    <col min="4323" max="4323" width="14.85546875" style="93" customWidth="1"/>
    <col min="4324" max="4325" width="0" style="93" hidden="1" customWidth="1"/>
    <col min="4326" max="4326" width="14.85546875" style="93" customWidth="1"/>
    <col min="4327" max="4328" width="0" style="93" hidden="1" customWidth="1"/>
    <col min="4329" max="4329" width="14.85546875" style="93" customWidth="1"/>
    <col min="4330" max="4331" width="0" style="93" hidden="1" customWidth="1"/>
    <col min="4332" max="4333" width="14.85546875" style="93" customWidth="1"/>
    <col min="4334" max="4334" width="44.42578125" style="93" customWidth="1"/>
    <col min="4335" max="4339" width="14.85546875" style="93" customWidth="1"/>
    <col min="4340" max="4340" width="63.85546875" style="93" customWidth="1"/>
    <col min="4341" max="4341" width="13.28515625" style="93" customWidth="1"/>
    <col min="4342" max="4527" width="9" style="93"/>
    <col min="4528" max="4529" width="0" style="93" hidden="1" customWidth="1"/>
    <col min="4530" max="4530" width="13.7109375" style="93" customWidth="1"/>
    <col min="4531" max="4531" width="52.85546875" style="93" customWidth="1"/>
    <col min="4532" max="4571" width="0" style="93" hidden="1" customWidth="1"/>
    <col min="4572" max="4573" width="14.85546875" style="93" customWidth="1"/>
    <col min="4574" max="4575" width="0" style="93" hidden="1" customWidth="1"/>
    <col min="4576" max="4576" width="14.85546875" style="93" customWidth="1"/>
    <col min="4577" max="4578" width="0" style="93" hidden="1" customWidth="1"/>
    <col min="4579" max="4579" width="14.85546875" style="93" customWidth="1"/>
    <col min="4580" max="4581" width="0" style="93" hidden="1" customWidth="1"/>
    <col min="4582" max="4582" width="14.85546875" style="93" customWidth="1"/>
    <col min="4583" max="4584" width="0" style="93" hidden="1" customWidth="1"/>
    <col min="4585" max="4585" width="14.85546875" style="93" customWidth="1"/>
    <col min="4586" max="4587" width="0" style="93" hidden="1" customWidth="1"/>
    <col min="4588" max="4589" width="14.85546875" style="93" customWidth="1"/>
    <col min="4590" max="4590" width="44.42578125" style="93" customWidth="1"/>
    <col min="4591" max="4595" width="14.85546875" style="93" customWidth="1"/>
    <col min="4596" max="4596" width="63.85546875" style="93" customWidth="1"/>
    <col min="4597" max="4597" width="13.28515625" style="93" customWidth="1"/>
    <col min="4598" max="4783" width="9" style="93"/>
    <col min="4784" max="4785" width="0" style="93" hidden="1" customWidth="1"/>
    <col min="4786" max="4786" width="13.7109375" style="93" customWidth="1"/>
    <col min="4787" max="4787" width="52.85546875" style="93" customWidth="1"/>
    <col min="4788" max="4827" width="0" style="93" hidden="1" customWidth="1"/>
    <col min="4828" max="4829" width="14.85546875" style="93" customWidth="1"/>
    <col min="4830" max="4831" width="0" style="93" hidden="1" customWidth="1"/>
    <col min="4832" max="4832" width="14.85546875" style="93" customWidth="1"/>
    <col min="4833" max="4834" width="0" style="93" hidden="1" customWidth="1"/>
    <col min="4835" max="4835" width="14.85546875" style="93" customWidth="1"/>
    <col min="4836" max="4837" width="0" style="93" hidden="1" customWidth="1"/>
    <col min="4838" max="4838" width="14.85546875" style="93" customWidth="1"/>
    <col min="4839" max="4840" width="0" style="93" hidden="1" customWidth="1"/>
    <col min="4841" max="4841" width="14.85546875" style="93" customWidth="1"/>
    <col min="4842" max="4843" width="0" style="93" hidden="1" customWidth="1"/>
    <col min="4844" max="4845" width="14.85546875" style="93" customWidth="1"/>
    <col min="4846" max="4846" width="44.42578125" style="93" customWidth="1"/>
    <col min="4847" max="4851" width="14.85546875" style="93" customWidth="1"/>
    <col min="4852" max="4852" width="63.85546875" style="93" customWidth="1"/>
    <col min="4853" max="4853" width="13.28515625" style="93" customWidth="1"/>
    <col min="4854" max="5039" width="9" style="93"/>
    <col min="5040" max="5041" width="0" style="93" hidden="1" customWidth="1"/>
    <col min="5042" max="5042" width="13.7109375" style="93" customWidth="1"/>
    <col min="5043" max="5043" width="52.85546875" style="93" customWidth="1"/>
    <col min="5044" max="5083" width="0" style="93" hidden="1" customWidth="1"/>
    <col min="5084" max="5085" width="14.85546875" style="93" customWidth="1"/>
    <col min="5086" max="5087" width="0" style="93" hidden="1" customWidth="1"/>
    <col min="5088" max="5088" width="14.85546875" style="93" customWidth="1"/>
    <col min="5089" max="5090" width="0" style="93" hidden="1" customWidth="1"/>
    <col min="5091" max="5091" width="14.85546875" style="93" customWidth="1"/>
    <col min="5092" max="5093" width="0" style="93" hidden="1" customWidth="1"/>
    <col min="5094" max="5094" width="14.85546875" style="93" customWidth="1"/>
    <col min="5095" max="5096" width="0" style="93" hidden="1" customWidth="1"/>
    <col min="5097" max="5097" width="14.85546875" style="93" customWidth="1"/>
    <col min="5098" max="5099" width="0" style="93" hidden="1" customWidth="1"/>
    <col min="5100" max="5101" width="14.85546875" style="93" customWidth="1"/>
    <col min="5102" max="5102" width="44.42578125" style="93" customWidth="1"/>
    <col min="5103" max="5107" width="14.85546875" style="93" customWidth="1"/>
    <col min="5108" max="5108" width="63.85546875" style="93" customWidth="1"/>
    <col min="5109" max="5109" width="13.28515625" style="93" customWidth="1"/>
    <col min="5110" max="5295" width="9" style="93"/>
    <col min="5296" max="5297" width="0" style="93" hidden="1" customWidth="1"/>
    <col min="5298" max="5298" width="13.7109375" style="93" customWidth="1"/>
    <col min="5299" max="5299" width="52.85546875" style="93" customWidth="1"/>
    <col min="5300" max="5339" width="0" style="93" hidden="1" customWidth="1"/>
    <col min="5340" max="5341" width="14.85546875" style="93" customWidth="1"/>
    <col min="5342" max="5343" width="0" style="93" hidden="1" customWidth="1"/>
    <col min="5344" max="5344" width="14.85546875" style="93" customWidth="1"/>
    <col min="5345" max="5346" width="0" style="93" hidden="1" customWidth="1"/>
    <col min="5347" max="5347" width="14.85546875" style="93" customWidth="1"/>
    <col min="5348" max="5349" width="0" style="93" hidden="1" customWidth="1"/>
    <col min="5350" max="5350" width="14.85546875" style="93" customWidth="1"/>
    <col min="5351" max="5352" width="0" style="93" hidden="1" customWidth="1"/>
    <col min="5353" max="5353" width="14.85546875" style="93" customWidth="1"/>
    <col min="5354" max="5355" width="0" style="93" hidden="1" customWidth="1"/>
    <col min="5356" max="5357" width="14.85546875" style="93" customWidth="1"/>
    <col min="5358" max="5358" width="44.42578125" style="93" customWidth="1"/>
    <col min="5359" max="5363" width="14.85546875" style="93" customWidth="1"/>
    <col min="5364" max="5364" width="63.85546875" style="93" customWidth="1"/>
    <col min="5365" max="5365" width="13.28515625" style="93" customWidth="1"/>
    <col min="5366" max="5551" width="9" style="93"/>
    <col min="5552" max="5553" width="0" style="93" hidden="1" customWidth="1"/>
    <col min="5554" max="5554" width="13.7109375" style="93" customWidth="1"/>
    <col min="5555" max="5555" width="52.85546875" style="93" customWidth="1"/>
    <col min="5556" max="5595" width="0" style="93" hidden="1" customWidth="1"/>
    <col min="5596" max="5597" width="14.85546875" style="93" customWidth="1"/>
    <col min="5598" max="5599" width="0" style="93" hidden="1" customWidth="1"/>
    <col min="5600" max="5600" width="14.85546875" style="93" customWidth="1"/>
    <col min="5601" max="5602" width="0" style="93" hidden="1" customWidth="1"/>
    <col min="5603" max="5603" width="14.85546875" style="93" customWidth="1"/>
    <col min="5604" max="5605" width="0" style="93" hidden="1" customWidth="1"/>
    <col min="5606" max="5606" width="14.85546875" style="93" customWidth="1"/>
    <col min="5607" max="5608" width="0" style="93" hidden="1" customWidth="1"/>
    <col min="5609" max="5609" width="14.85546875" style="93" customWidth="1"/>
    <col min="5610" max="5611" width="0" style="93" hidden="1" customWidth="1"/>
    <col min="5612" max="5613" width="14.85546875" style="93" customWidth="1"/>
    <col min="5614" max="5614" width="44.42578125" style="93" customWidth="1"/>
    <col min="5615" max="5619" width="14.85546875" style="93" customWidth="1"/>
    <col min="5620" max="5620" width="63.85546875" style="93" customWidth="1"/>
    <col min="5621" max="5621" width="13.28515625" style="93" customWidth="1"/>
    <col min="5622" max="5807" width="9" style="93"/>
    <col min="5808" max="5809" width="0" style="93" hidden="1" customWidth="1"/>
    <col min="5810" max="5810" width="13.7109375" style="93" customWidth="1"/>
    <col min="5811" max="5811" width="52.85546875" style="93" customWidth="1"/>
    <col min="5812" max="5851" width="0" style="93" hidden="1" customWidth="1"/>
    <col min="5852" max="5853" width="14.85546875" style="93" customWidth="1"/>
    <col min="5854" max="5855" width="0" style="93" hidden="1" customWidth="1"/>
    <col min="5856" max="5856" width="14.85546875" style="93" customWidth="1"/>
    <col min="5857" max="5858" width="0" style="93" hidden="1" customWidth="1"/>
    <col min="5859" max="5859" width="14.85546875" style="93" customWidth="1"/>
    <col min="5860" max="5861" width="0" style="93" hidden="1" customWidth="1"/>
    <col min="5862" max="5862" width="14.85546875" style="93" customWidth="1"/>
    <col min="5863" max="5864" width="0" style="93" hidden="1" customWidth="1"/>
    <col min="5865" max="5865" width="14.85546875" style="93" customWidth="1"/>
    <col min="5866" max="5867" width="0" style="93" hidden="1" customWidth="1"/>
    <col min="5868" max="5869" width="14.85546875" style="93" customWidth="1"/>
    <col min="5870" max="5870" width="44.42578125" style="93" customWidth="1"/>
    <col min="5871" max="5875" width="14.85546875" style="93" customWidth="1"/>
    <col min="5876" max="5876" width="63.85546875" style="93" customWidth="1"/>
    <col min="5877" max="5877" width="13.28515625" style="93" customWidth="1"/>
    <col min="5878" max="6063" width="9" style="93"/>
    <col min="6064" max="6065" width="0" style="93" hidden="1" customWidth="1"/>
    <col min="6066" max="6066" width="13.7109375" style="93" customWidth="1"/>
    <col min="6067" max="6067" width="52.85546875" style="93" customWidth="1"/>
    <col min="6068" max="6107" width="0" style="93" hidden="1" customWidth="1"/>
    <col min="6108" max="6109" width="14.85546875" style="93" customWidth="1"/>
    <col min="6110" max="6111" width="0" style="93" hidden="1" customWidth="1"/>
    <col min="6112" max="6112" width="14.85546875" style="93" customWidth="1"/>
    <col min="6113" max="6114" width="0" style="93" hidden="1" customWidth="1"/>
    <col min="6115" max="6115" width="14.85546875" style="93" customWidth="1"/>
    <col min="6116" max="6117" width="0" style="93" hidden="1" customWidth="1"/>
    <col min="6118" max="6118" width="14.85546875" style="93" customWidth="1"/>
    <col min="6119" max="6120" width="0" style="93" hidden="1" customWidth="1"/>
    <col min="6121" max="6121" width="14.85546875" style="93" customWidth="1"/>
    <col min="6122" max="6123" width="0" style="93" hidden="1" customWidth="1"/>
    <col min="6124" max="6125" width="14.85546875" style="93" customWidth="1"/>
    <col min="6126" max="6126" width="44.42578125" style="93" customWidth="1"/>
    <col min="6127" max="6131" width="14.85546875" style="93" customWidth="1"/>
    <col min="6132" max="6132" width="63.85546875" style="93" customWidth="1"/>
    <col min="6133" max="6133" width="13.28515625" style="93" customWidth="1"/>
    <col min="6134" max="6319" width="9" style="93"/>
    <col min="6320" max="6321" width="0" style="93" hidden="1" customWidth="1"/>
    <col min="6322" max="6322" width="13.7109375" style="93" customWidth="1"/>
    <col min="6323" max="6323" width="52.85546875" style="93" customWidth="1"/>
    <col min="6324" max="6363" width="0" style="93" hidden="1" customWidth="1"/>
    <col min="6364" max="6365" width="14.85546875" style="93" customWidth="1"/>
    <col min="6366" max="6367" width="0" style="93" hidden="1" customWidth="1"/>
    <col min="6368" max="6368" width="14.85546875" style="93" customWidth="1"/>
    <col min="6369" max="6370" width="0" style="93" hidden="1" customWidth="1"/>
    <col min="6371" max="6371" width="14.85546875" style="93" customWidth="1"/>
    <col min="6372" max="6373" width="0" style="93" hidden="1" customWidth="1"/>
    <col min="6374" max="6374" width="14.85546875" style="93" customWidth="1"/>
    <col min="6375" max="6376" width="0" style="93" hidden="1" customWidth="1"/>
    <col min="6377" max="6377" width="14.85546875" style="93" customWidth="1"/>
    <col min="6378" max="6379" width="0" style="93" hidden="1" customWidth="1"/>
    <col min="6380" max="6381" width="14.85546875" style="93" customWidth="1"/>
    <col min="6382" max="6382" width="44.42578125" style="93" customWidth="1"/>
    <col min="6383" max="6387" width="14.85546875" style="93" customWidth="1"/>
    <col min="6388" max="6388" width="63.85546875" style="93" customWidth="1"/>
    <col min="6389" max="6389" width="13.28515625" style="93" customWidth="1"/>
    <col min="6390" max="6575" width="9" style="93"/>
    <col min="6576" max="6577" width="0" style="93" hidden="1" customWidth="1"/>
    <col min="6578" max="6578" width="13.7109375" style="93" customWidth="1"/>
    <col min="6579" max="6579" width="52.85546875" style="93" customWidth="1"/>
    <col min="6580" max="6619" width="0" style="93" hidden="1" customWidth="1"/>
    <col min="6620" max="6621" width="14.85546875" style="93" customWidth="1"/>
    <col min="6622" max="6623" width="0" style="93" hidden="1" customWidth="1"/>
    <col min="6624" max="6624" width="14.85546875" style="93" customWidth="1"/>
    <col min="6625" max="6626" width="0" style="93" hidden="1" customWidth="1"/>
    <col min="6627" max="6627" width="14.85546875" style="93" customWidth="1"/>
    <col min="6628" max="6629" width="0" style="93" hidden="1" customWidth="1"/>
    <col min="6630" max="6630" width="14.85546875" style="93" customWidth="1"/>
    <col min="6631" max="6632" width="0" style="93" hidden="1" customWidth="1"/>
    <col min="6633" max="6633" width="14.85546875" style="93" customWidth="1"/>
    <col min="6634" max="6635" width="0" style="93" hidden="1" customWidth="1"/>
    <col min="6636" max="6637" width="14.85546875" style="93" customWidth="1"/>
    <col min="6638" max="6638" width="44.42578125" style="93" customWidth="1"/>
    <col min="6639" max="6643" width="14.85546875" style="93" customWidth="1"/>
    <col min="6644" max="6644" width="63.85546875" style="93" customWidth="1"/>
    <col min="6645" max="6645" width="13.28515625" style="93" customWidth="1"/>
    <col min="6646" max="6831" width="9" style="93"/>
    <col min="6832" max="6833" width="0" style="93" hidden="1" customWidth="1"/>
    <col min="6834" max="6834" width="13.7109375" style="93" customWidth="1"/>
    <col min="6835" max="6835" width="52.85546875" style="93" customWidth="1"/>
    <col min="6836" max="6875" width="0" style="93" hidden="1" customWidth="1"/>
    <col min="6876" max="6877" width="14.85546875" style="93" customWidth="1"/>
    <col min="6878" max="6879" width="0" style="93" hidden="1" customWidth="1"/>
    <col min="6880" max="6880" width="14.85546875" style="93" customWidth="1"/>
    <col min="6881" max="6882" width="0" style="93" hidden="1" customWidth="1"/>
    <col min="6883" max="6883" width="14.85546875" style="93" customWidth="1"/>
    <col min="6884" max="6885" width="0" style="93" hidden="1" customWidth="1"/>
    <col min="6886" max="6886" width="14.85546875" style="93" customWidth="1"/>
    <col min="6887" max="6888" width="0" style="93" hidden="1" customWidth="1"/>
    <col min="6889" max="6889" width="14.85546875" style="93" customWidth="1"/>
    <col min="6890" max="6891" width="0" style="93" hidden="1" customWidth="1"/>
    <col min="6892" max="6893" width="14.85546875" style="93" customWidth="1"/>
    <col min="6894" max="6894" width="44.42578125" style="93" customWidth="1"/>
    <col min="6895" max="6899" width="14.85546875" style="93" customWidth="1"/>
    <col min="6900" max="6900" width="63.85546875" style="93" customWidth="1"/>
    <col min="6901" max="6901" width="13.28515625" style="93" customWidth="1"/>
    <col min="6902" max="7087" width="9" style="93"/>
    <col min="7088" max="7089" width="0" style="93" hidden="1" customWidth="1"/>
    <col min="7090" max="7090" width="13.7109375" style="93" customWidth="1"/>
    <col min="7091" max="7091" width="52.85546875" style="93" customWidth="1"/>
    <col min="7092" max="7131" width="0" style="93" hidden="1" customWidth="1"/>
    <col min="7132" max="7133" width="14.85546875" style="93" customWidth="1"/>
    <col min="7134" max="7135" width="0" style="93" hidden="1" customWidth="1"/>
    <col min="7136" max="7136" width="14.85546875" style="93" customWidth="1"/>
    <col min="7137" max="7138" width="0" style="93" hidden="1" customWidth="1"/>
    <col min="7139" max="7139" width="14.85546875" style="93" customWidth="1"/>
    <col min="7140" max="7141" width="0" style="93" hidden="1" customWidth="1"/>
    <col min="7142" max="7142" width="14.85546875" style="93" customWidth="1"/>
    <col min="7143" max="7144" width="0" style="93" hidden="1" customWidth="1"/>
    <col min="7145" max="7145" width="14.85546875" style="93" customWidth="1"/>
    <col min="7146" max="7147" width="0" style="93" hidden="1" customWidth="1"/>
    <col min="7148" max="7149" width="14.85546875" style="93" customWidth="1"/>
    <col min="7150" max="7150" width="44.42578125" style="93" customWidth="1"/>
    <col min="7151" max="7155" width="14.85546875" style="93" customWidth="1"/>
    <col min="7156" max="7156" width="63.85546875" style="93" customWidth="1"/>
    <col min="7157" max="7157" width="13.28515625" style="93" customWidth="1"/>
    <col min="7158" max="7343" width="9" style="93"/>
    <col min="7344" max="7345" width="0" style="93" hidden="1" customWidth="1"/>
    <col min="7346" max="7346" width="13.7109375" style="93" customWidth="1"/>
    <col min="7347" max="7347" width="52.85546875" style="93" customWidth="1"/>
    <col min="7348" max="7387" width="0" style="93" hidden="1" customWidth="1"/>
    <col min="7388" max="7389" width="14.85546875" style="93" customWidth="1"/>
    <col min="7390" max="7391" width="0" style="93" hidden="1" customWidth="1"/>
    <col min="7392" max="7392" width="14.85546875" style="93" customWidth="1"/>
    <col min="7393" max="7394" width="0" style="93" hidden="1" customWidth="1"/>
    <col min="7395" max="7395" width="14.85546875" style="93" customWidth="1"/>
    <col min="7396" max="7397" width="0" style="93" hidden="1" customWidth="1"/>
    <col min="7398" max="7398" width="14.85546875" style="93" customWidth="1"/>
    <col min="7399" max="7400" width="0" style="93" hidden="1" customWidth="1"/>
    <col min="7401" max="7401" width="14.85546875" style="93" customWidth="1"/>
    <col min="7402" max="7403" width="0" style="93" hidden="1" customWidth="1"/>
    <col min="7404" max="7405" width="14.85546875" style="93" customWidth="1"/>
    <col min="7406" max="7406" width="44.42578125" style="93" customWidth="1"/>
    <col min="7407" max="7411" width="14.85546875" style="93" customWidth="1"/>
    <col min="7412" max="7412" width="63.85546875" style="93" customWidth="1"/>
    <col min="7413" max="7413" width="13.28515625" style="93" customWidth="1"/>
    <col min="7414" max="7599" width="9" style="93"/>
    <col min="7600" max="7601" width="0" style="93" hidden="1" customWidth="1"/>
    <col min="7602" max="7602" width="13.7109375" style="93" customWidth="1"/>
    <col min="7603" max="7603" width="52.85546875" style="93" customWidth="1"/>
    <col min="7604" max="7643" width="0" style="93" hidden="1" customWidth="1"/>
    <col min="7644" max="7645" width="14.85546875" style="93" customWidth="1"/>
    <col min="7646" max="7647" width="0" style="93" hidden="1" customWidth="1"/>
    <col min="7648" max="7648" width="14.85546875" style="93" customWidth="1"/>
    <col min="7649" max="7650" width="0" style="93" hidden="1" customWidth="1"/>
    <col min="7651" max="7651" width="14.85546875" style="93" customWidth="1"/>
    <col min="7652" max="7653" width="0" style="93" hidden="1" customWidth="1"/>
    <col min="7654" max="7654" width="14.85546875" style="93" customWidth="1"/>
    <col min="7655" max="7656" width="0" style="93" hidden="1" customWidth="1"/>
    <col min="7657" max="7657" width="14.85546875" style="93" customWidth="1"/>
    <col min="7658" max="7659" width="0" style="93" hidden="1" customWidth="1"/>
    <col min="7660" max="7661" width="14.85546875" style="93" customWidth="1"/>
    <col min="7662" max="7662" width="44.42578125" style="93" customWidth="1"/>
    <col min="7663" max="7667" width="14.85546875" style="93" customWidth="1"/>
    <col min="7668" max="7668" width="63.85546875" style="93" customWidth="1"/>
    <col min="7669" max="7669" width="13.28515625" style="93" customWidth="1"/>
    <col min="7670" max="7855" width="9" style="93"/>
    <col min="7856" max="7857" width="0" style="93" hidden="1" customWidth="1"/>
    <col min="7858" max="7858" width="13.7109375" style="93" customWidth="1"/>
    <col min="7859" max="7859" width="52.85546875" style="93" customWidth="1"/>
    <col min="7860" max="7899" width="0" style="93" hidden="1" customWidth="1"/>
    <col min="7900" max="7901" width="14.85546875" style="93" customWidth="1"/>
    <col min="7902" max="7903" width="0" style="93" hidden="1" customWidth="1"/>
    <col min="7904" max="7904" width="14.85546875" style="93" customWidth="1"/>
    <col min="7905" max="7906" width="0" style="93" hidden="1" customWidth="1"/>
    <col min="7907" max="7907" width="14.85546875" style="93" customWidth="1"/>
    <col min="7908" max="7909" width="0" style="93" hidden="1" customWidth="1"/>
    <col min="7910" max="7910" width="14.85546875" style="93" customWidth="1"/>
    <col min="7911" max="7912" width="0" style="93" hidden="1" customWidth="1"/>
    <col min="7913" max="7913" width="14.85546875" style="93" customWidth="1"/>
    <col min="7914" max="7915" width="0" style="93" hidden="1" customWidth="1"/>
    <col min="7916" max="7917" width="14.85546875" style="93" customWidth="1"/>
    <col min="7918" max="7918" width="44.42578125" style="93" customWidth="1"/>
    <col min="7919" max="7923" width="14.85546875" style="93" customWidth="1"/>
    <col min="7924" max="7924" width="63.85546875" style="93" customWidth="1"/>
    <col min="7925" max="7925" width="13.28515625" style="93" customWidth="1"/>
    <col min="7926" max="8111" width="9" style="93"/>
    <col min="8112" max="8113" width="0" style="93" hidden="1" customWidth="1"/>
    <col min="8114" max="8114" width="13.7109375" style="93" customWidth="1"/>
    <col min="8115" max="8115" width="52.85546875" style="93" customWidth="1"/>
    <col min="8116" max="8155" width="0" style="93" hidden="1" customWidth="1"/>
    <col min="8156" max="8157" width="14.85546875" style="93" customWidth="1"/>
    <col min="8158" max="8159" width="0" style="93" hidden="1" customWidth="1"/>
    <col min="8160" max="8160" width="14.85546875" style="93" customWidth="1"/>
    <col min="8161" max="8162" width="0" style="93" hidden="1" customWidth="1"/>
    <col min="8163" max="8163" width="14.85546875" style="93" customWidth="1"/>
    <col min="8164" max="8165" width="0" style="93" hidden="1" customWidth="1"/>
    <col min="8166" max="8166" width="14.85546875" style="93" customWidth="1"/>
    <col min="8167" max="8168" width="0" style="93" hidden="1" customWidth="1"/>
    <col min="8169" max="8169" width="14.85546875" style="93" customWidth="1"/>
    <col min="8170" max="8171" width="0" style="93" hidden="1" customWidth="1"/>
    <col min="8172" max="8173" width="14.85546875" style="93" customWidth="1"/>
    <col min="8174" max="8174" width="44.42578125" style="93" customWidth="1"/>
    <col min="8175" max="8179" width="14.85546875" style="93" customWidth="1"/>
    <col min="8180" max="8180" width="63.85546875" style="93" customWidth="1"/>
    <col min="8181" max="8181" width="13.28515625" style="93" customWidth="1"/>
    <col min="8182" max="8367" width="9" style="93"/>
    <col min="8368" max="8369" width="0" style="93" hidden="1" customWidth="1"/>
    <col min="8370" max="8370" width="13.7109375" style="93" customWidth="1"/>
    <col min="8371" max="8371" width="52.85546875" style="93" customWidth="1"/>
    <col min="8372" max="8411" width="0" style="93" hidden="1" customWidth="1"/>
    <col min="8412" max="8413" width="14.85546875" style="93" customWidth="1"/>
    <col min="8414" max="8415" width="0" style="93" hidden="1" customWidth="1"/>
    <col min="8416" max="8416" width="14.85546875" style="93" customWidth="1"/>
    <col min="8417" max="8418" width="0" style="93" hidden="1" customWidth="1"/>
    <col min="8419" max="8419" width="14.85546875" style="93" customWidth="1"/>
    <col min="8420" max="8421" width="0" style="93" hidden="1" customWidth="1"/>
    <col min="8422" max="8422" width="14.85546875" style="93" customWidth="1"/>
    <col min="8423" max="8424" width="0" style="93" hidden="1" customWidth="1"/>
    <col min="8425" max="8425" width="14.85546875" style="93" customWidth="1"/>
    <col min="8426" max="8427" width="0" style="93" hidden="1" customWidth="1"/>
    <col min="8428" max="8429" width="14.85546875" style="93" customWidth="1"/>
    <col min="8430" max="8430" width="44.42578125" style="93" customWidth="1"/>
    <col min="8431" max="8435" width="14.85546875" style="93" customWidth="1"/>
    <col min="8436" max="8436" width="63.85546875" style="93" customWidth="1"/>
    <col min="8437" max="8437" width="13.28515625" style="93" customWidth="1"/>
    <col min="8438" max="8623" width="9" style="93"/>
    <col min="8624" max="8625" width="0" style="93" hidden="1" customWidth="1"/>
    <col min="8626" max="8626" width="13.7109375" style="93" customWidth="1"/>
    <col min="8627" max="8627" width="52.85546875" style="93" customWidth="1"/>
    <col min="8628" max="8667" width="0" style="93" hidden="1" customWidth="1"/>
    <col min="8668" max="8669" width="14.85546875" style="93" customWidth="1"/>
    <col min="8670" max="8671" width="0" style="93" hidden="1" customWidth="1"/>
    <col min="8672" max="8672" width="14.85546875" style="93" customWidth="1"/>
    <col min="8673" max="8674" width="0" style="93" hidden="1" customWidth="1"/>
    <col min="8675" max="8675" width="14.85546875" style="93" customWidth="1"/>
    <col min="8676" max="8677" width="0" style="93" hidden="1" customWidth="1"/>
    <col min="8678" max="8678" width="14.85546875" style="93" customWidth="1"/>
    <col min="8679" max="8680" width="0" style="93" hidden="1" customWidth="1"/>
    <col min="8681" max="8681" width="14.85546875" style="93" customWidth="1"/>
    <col min="8682" max="8683" width="0" style="93" hidden="1" customWidth="1"/>
    <col min="8684" max="8685" width="14.85546875" style="93" customWidth="1"/>
    <col min="8686" max="8686" width="44.42578125" style="93" customWidth="1"/>
    <col min="8687" max="8691" width="14.85546875" style="93" customWidth="1"/>
    <col min="8692" max="8692" width="63.85546875" style="93" customWidth="1"/>
    <col min="8693" max="8693" width="13.28515625" style="93" customWidth="1"/>
    <col min="8694" max="8879" width="9" style="93"/>
    <col min="8880" max="8881" width="0" style="93" hidden="1" customWidth="1"/>
    <col min="8882" max="8882" width="13.7109375" style="93" customWidth="1"/>
    <col min="8883" max="8883" width="52.85546875" style="93" customWidth="1"/>
    <col min="8884" max="8923" width="0" style="93" hidden="1" customWidth="1"/>
    <col min="8924" max="8925" width="14.85546875" style="93" customWidth="1"/>
    <col min="8926" max="8927" width="0" style="93" hidden="1" customWidth="1"/>
    <col min="8928" max="8928" width="14.85546875" style="93" customWidth="1"/>
    <col min="8929" max="8930" width="0" style="93" hidden="1" customWidth="1"/>
    <col min="8931" max="8931" width="14.85546875" style="93" customWidth="1"/>
    <col min="8932" max="8933" width="0" style="93" hidden="1" customWidth="1"/>
    <col min="8934" max="8934" width="14.85546875" style="93" customWidth="1"/>
    <col min="8935" max="8936" width="0" style="93" hidden="1" customWidth="1"/>
    <col min="8937" max="8937" width="14.85546875" style="93" customWidth="1"/>
    <col min="8938" max="8939" width="0" style="93" hidden="1" customWidth="1"/>
    <col min="8940" max="8941" width="14.85546875" style="93" customWidth="1"/>
    <col min="8942" max="8942" width="44.42578125" style="93" customWidth="1"/>
    <col min="8943" max="8947" width="14.85546875" style="93" customWidth="1"/>
    <col min="8948" max="8948" width="63.85546875" style="93" customWidth="1"/>
    <col min="8949" max="8949" width="13.28515625" style="93" customWidth="1"/>
    <col min="8950" max="9135" width="9" style="93"/>
    <col min="9136" max="9137" width="0" style="93" hidden="1" customWidth="1"/>
    <col min="9138" max="9138" width="13.7109375" style="93" customWidth="1"/>
    <col min="9139" max="9139" width="52.85546875" style="93" customWidth="1"/>
    <col min="9140" max="9179" width="0" style="93" hidden="1" customWidth="1"/>
    <col min="9180" max="9181" width="14.85546875" style="93" customWidth="1"/>
    <col min="9182" max="9183" width="0" style="93" hidden="1" customWidth="1"/>
    <col min="9184" max="9184" width="14.85546875" style="93" customWidth="1"/>
    <col min="9185" max="9186" width="0" style="93" hidden="1" customWidth="1"/>
    <col min="9187" max="9187" width="14.85546875" style="93" customWidth="1"/>
    <col min="9188" max="9189" width="0" style="93" hidden="1" customWidth="1"/>
    <col min="9190" max="9190" width="14.85546875" style="93" customWidth="1"/>
    <col min="9191" max="9192" width="0" style="93" hidden="1" customWidth="1"/>
    <col min="9193" max="9193" width="14.85546875" style="93" customWidth="1"/>
    <col min="9194" max="9195" width="0" style="93" hidden="1" customWidth="1"/>
    <col min="9196" max="9197" width="14.85546875" style="93" customWidth="1"/>
    <col min="9198" max="9198" width="44.42578125" style="93" customWidth="1"/>
    <col min="9199" max="9203" width="14.85546875" style="93" customWidth="1"/>
    <col min="9204" max="9204" width="63.85546875" style="93" customWidth="1"/>
    <col min="9205" max="9205" width="13.28515625" style="93" customWidth="1"/>
    <col min="9206" max="9391" width="9" style="93"/>
    <col min="9392" max="9393" width="0" style="93" hidden="1" customWidth="1"/>
    <col min="9394" max="9394" width="13.7109375" style="93" customWidth="1"/>
    <col min="9395" max="9395" width="52.85546875" style="93" customWidth="1"/>
    <col min="9396" max="9435" width="0" style="93" hidden="1" customWidth="1"/>
    <col min="9436" max="9437" width="14.85546875" style="93" customWidth="1"/>
    <col min="9438" max="9439" width="0" style="93" hidden="1" customWidth="1"/>
    <col min="9440" max="9440" width="14.85546875" style="93" customWidth="1"/>
    <col min="9441" max="9442" width="0" style="93" hidden="1" customWidth="1"/>
    <col min="9443" max="9443" width="14.85546875" style="93" customWidth="1"/>
    <col min="9444" max="9445" width="0" style="93" hidden="1" customWidth="1"/>
    <col min="9446" max="9446" width="14.85546875" style="93" customWidth="1"/>
    <col min="9447" max="9448" width="0" style="93" hidden="1" customWidth="1"/>
    <col min="9449" max="9449" width="14.85546875" style="93" customWidth="1"/>
    <col min="9450" max="9451" width="0" style="93" hidden="1" customWidth="1"/>
    <col min="9452" max="9453" width="14.85546875" style="93" customWidth="1"/>
    <col min="9454" max="9454" width="44.42578125" style="93" customWidth="1"/>
    <col min="9455" max="9459" width="14.85546875" style="93" customWidth="1"/>
    <col min="9460" max="9460" width="63.85546875" style="93" customWidth="1"/>
    <col min="9461" max="9461" width="13.28515625" style="93" customWidth="1"/>
    <col min="9462" max="9647" width="9" style="93"/>
    <col min="9648" max="9649" width="0" style="93" hidden="1" customWidth="1"/>
    <col min="9650" max="9650" width="13.7109375" style="93" customWidth="1"/>
    <col min="9651" max="9651" width="52.85546875" style="93" customWidth="1"/>
    <col min="9652" max="9691" width="0" style="93" hidden="1" customWidth="1"/>
    <col min="9692" max="9693" width="14.85546875" style="93" customWidth="1"/>
    <col min="9694" max="9695" width="0" style="93" hidden="1" customWidth="1"/>
    <col min="9696" max="9696" width="14.85546875" style="93" customWidth="1"/>
    <col min="9697" max="9698" width="0" style="93" hidden="1" customWidth="1"/>
    <col min="9699" max="9699" width="14.85546875" style="93" customWidth="1"/>
    <col min="9700" max="9701" width="0" style="93" hidden="1" customWidth="1"/>
    <col min="9702" max="9702" width="14.85546875" style="93" customWidth="1"/>
    <col min="9703" max="9704" width="0" style="93" hidden="1" customWidth="1"/>
    <col min="9705" max="9705" width="14.85546875" style="93" customWidth="1"/>
    <col min="9706" max="9707" width="0" style="93" hidden="1" customWidth="1"/>
    <col min="9708" max="9709" width="14.85546875" style="93" customWidth="1"/>
    <col min="9710" max="9710" width="44.42578125" style="93" customWidth="1"/>
    <col min="9711" max="9715" width="14.85546875" style="93" customWidth="1"/>
    <col min="9716" max="9716" width="63.85546875" style="93" customWidth="1"/>
    <col min="9717" max="9717" width="13.28515625" style="93" customWidth="1"/>
    <col min="9718" max="9903" width="9" style="93"/>
    <col min="9904" max="9905" width="0" style="93" hidden="1" customWidth="1"/>
    <col min="9906" max="9906" width="13.7109375" style="93" customWidth="1"/>
    <col min="9907" max="9907" width="52.85546875" style="93" customWidth="1"/>
    <col min="9908" max="9947" width="0" style="93" hidden="1" customWidth="1"/>
    <col min="9948" max="9949" width="14.85546875" style="93" customWidth="1"/>
    <col min="9950" max="9951" width="0" style="93" hidden="1" customWidth="1"/>
    <col min="9952" max="9952" width="14.85546875" style="93" customWidth="1"/>
    <col min="9953" max="9954" width="0" style="93" hidden="1" customWidth="1"/>
    <col min="9955" max="9955" width="14.85546875" style="93" customWidth="1"/>
    <col min="9956" max="9957" width="0" style="93" hidden="1" customWidth="1"/>
    <col min="9958" max="9958" width="14.85546875" style="93" customWidth="1"/>
    <col min="9959" max="9960" width="0" style="93" hidden="1" customWidth="1"/>
    <col min="9961" max="9961" width="14.85546875" style="93" customWidth="1"/>
    <col min="9962" max="9963" width="0" style="93" hidden="1" customWidth="1"/>
    <col min="9964" max="9965" width="14.85546875" style="93" customWidth="1"/>
    <col min="9966" max="9966" width="44.42578125" style="93" customWidth="1"/>
    <col min="9967" max="9971" width="14.85546875" style="93" customWidth="1"/>
    <col min="9972" max="9972" width="63.85546875" style="93" customWidth="1"/>
    <col min="9973" max="9973" width="13.28515625" style="93" customWidth="1"/>
    <col min="9974" max="10159" width="9" style="93"/>
    <col min="10160" max="10161" width="0" style="93" hidden="1" customWidth="1"/>
    <col min="10162" max="10162" width="13.7109375" style="93" customWidth="1"/>
    <col min="10163" max="10163" width="52.85546875" style="93" customWidth="1"/>
    <col min="10164" max="10203" width="0" style="93" hidden="1" customWidth="1"/>
    <col min="10204" max="10205" width="14.85546875" style="93" customWidth="1"/>
    <col min="10206" max="10207" width="0" style="93" hidden="1" customWidth="1"/>
    <col min="10208" max="10208" width="14.85546875" style="93" customWidth="1"/>
    <col min="10209" max="10210" width="0" style="93" hidden="1" customWidth="1"/>
    <col min="10211" max="10211" width="14.85546875" style="93" customWidth="1"/>
    <col min="10212" max="10213" width="0" style="93" hidden="1" customWidth="1"/>
    <col min="10214" max="10214" width="14.85546875" style="93" customWidth="1"/>
    <col min="10215" max="10216" width="0" style="93" hidden="1" customWidth="1"/>
    <col min="10217" max="10217" width="14.85546875" style="93" customWidth="1"/>
    <col min="10218" max="10219" width="0" style="93" hidden="1" customWidth="1"/>
    <col min="10220" max="10221" width="14.85546875" style="93" customWidth="1"/>
    <col min="10222" max="10222" width="44.42578125" style="93" customWidth="1"/>
    <col min="10223" max="10227" width="14.85546875" style="93" customWidth="1"/>
    <col min="10228" max="10228" width="63.85546875" style="93" customWidth="1"/>
    <col min="10229" max="10229" width="13.28515625" style="93" customWidth="1"/>
    <col min="10230" max="10415" width="9" style="93"/>
    <col min="10416" max="10417" width="0" style="93" hidden="1" customWidth="1"/>
    <col min="10418" max="10418" width="13.7109375" style="93" customWidth="1"/>
    <col min="10419" max="10419" width="52.85546875" style="93" customWidth="1"/>
    <col min="10420" max="10459" width="0" style="93" hidden="1" customWidth="1"/>
    <col min="10460" max="10461" width="14.85546875" style="93" customWidth="1"/>
    <col min="10462" max="10463" width="0" style="93" hidden="1" customWidth="1"/>
    <col min="10464" max="10464" width="14.85546875" style="93" customWidth="1"/>
    <col min="10465" max="10466" width="0" style="93" hidden="1" customWidth="1"/>
    <col min="10467" max="10467" width="14.85546875" style="93" customWidth="1"/>
    <col min="10468" max="10469" width="0" style="93" hidden="1" customWidth="1"/>
    <col min="10470" max="10470" width="14.85546875" style="93" customWidth="1"/>
    <col min="10471" max="10472" width="0" style="93" hidden="1" customWidth="1"/>
    <col min="10473" max="10473" width="14.85546875" style="93" customWidth="1"/>
    <col min="10474" max="10475" width="0" style="93" hidden="1" customWidth="1"/>
    <col min="10476" max="10477" width="14.85546875" style="93" customWidth="1"/>
    <col min="10478" max="10478" width="44.42578125" style="93" customWidth="1"/>
    <col min="10479" max="10483" width="14.85546875" style="93" customWidth="1"/>
    <col min="10484" max="10484" width="63.85546875" style="93" customWidth="1"/>
    <col min="10485" max="10485" width="13.28515625" style="93" customWidth="1"/>
    <col min="10486" max="10671" width="9" style="93"/>
    <col min="10672" max="10673" width="0" style="93" hidden="1" customWidth="1"/>
    <col min="10674" max="10674" width="13.7109375" style="93" customWidth="1"/>
    <col min="10675" max="10675" width="52.85546875" style="93" customWidth="1"/>
    <col min="10676" max="10715" width="0" style="93" hidden="1" customWidth="1"/>
    <col min="10716" max="10717" width="14.85546875" style="93" customWidth="1"/>
    <col min="10718" max="10719" width="0" style="93" hidden="1" customWidth="1"/>
    <col min="10720" max="10720" width="14.85546875" style="93" customWidth="1"/>
    <col min="10721" max="10722" width="0" style="93" hidden="1" customWidth="1"/>
    <col min="10723" max="10723" width="14.85546875" style="93" customWidth="1"/>
    <col min="10724" max="10725" width="0" style="93" hidden="1" customWidth="1"/>
    <col min="10726" max="10726" width="14.85546875" style="93" customWidth="1"/>
    <col min="10727" max="10728" width="0" style="93" hidden="1" customWidth="1"/>
    <col min="10729" max="10729" width="14.85546875" style="93" customWidth="1"/>
    <col min="10730" max="10731" width="0" style="93" hidden="1" customWidth="1"/>
    <col min="10732" max="10733" width="14.85546875" style="93" customWidth="1"/>
    <col min="10734" max="10734" width="44.42578125" style="93" customWidth="1"/>
    <col min="10735" max="10739" width="14.85546875" style="93" customWidth="1"/>
    <col min="10740" max="10740" width="63.85546875" style="93" customWidth="1"/>
    <col min="10741" max="10741" width="13.28515625" style="93" customWidth="1"/>
    <col min="10742" max="10927" width="9" style="93"/>
    <col min="10928" max="10929" width="0" style="93" hidden="1" customWidth="1"/>
    <col min="10930" max="10930" width="13.7109375" style="93" customWidth="1"/>
    <col min="10931" max="10931" width="52.85546875" style="93" customWidth="1"/>
    <col min="10932" max="10971" width="0" style="93" hidden="1" customWidth="1"/>
    <col min="10972" max="10973" width="14.85546875" style="93" customWidth="1"/>
    <col min="10974" max="10975" width="0" style="93" hidden="1" customWidth="1"/>
    <col min="10976" max="10976" width="14.85546875" style="93" customWidth="1"/>
    <col min="10977" max="10978" width="0" style="93" hidden="1" customWidth="1"/>
    <col min="10979" max="10979" width="14.85546875" style="93" customWidth="1"/>
    <col min="10980" max="10981" width="0" style="93" hidden="1" customWidth="1"/>
    <col min="10982" max="10982" width="14.85546875" style="93" customWidth="1"/>
    <col min="10983" max="10984" width="0" style="93" hidden="1" customWidth="1"/>
    <col min="10985" max="10985" width="14.85546875" style="93" customWidth="1"/>
    <col min="10986" max="10987" width="0" style="93" hidden="1" customWidth="1"/>
    <col min="10988" max="10989" width="14.85546875" style="93" customWidth="1"/>
    <col min="10990" max="10990" width="44.42578125" style="93" customWidth="1"/>
    <col min="10991" max="10995" width="14.85546875" style="93" customWidth="1"/>
    <col min="10996" max="10996" width="63.85546875" style="93" customWidth="1"/>
    <col min="10997" max="10997" width="13.28515625" style="93" customWidth="1"/>
    <col min="10998" max="11183" width="9" style="93"/>
    <col min="11184" max="11185" width="0" style="93" hidden="1" customWidth="1"/>
    <col min="11186" max="11186" width="13.7109375" style="93" customWidth="1"/>
    <col min="11187" max="11187" width="52.85546875" style="93" customWidth="1"/>
    <col min="11188" max="11227" width="0" style="93" hidden="1" customWidth="1"/>
    <col min="11228" max="11229" width="14.85546875" style="93" customWidth="1"/>
    <col min="11230" max="11231" width="0" style="93" hidden="1" customWidth="1"/>
    <col min="11232" max="11232" width="14.85546875" style="93" customWidth="1"/>
    <col min="11233" max="11234" width="0" style="93" hidden="1" customWidth="1"/>
    <col min="11235" max="11235" width="14.85546875" style="93" customWidth="1"/>
    <col min="11236" max="11237" width="0" style="93" hidden="1" customWidth="1"/>
    <col min="11238" max="11238" width="14.85546875" style="93" customWidth="1"/>
    <col min="11239" max="11240" width="0" style="93" hidden="1" customWidth="1"/>
    <col min="11241" max="11241" width="14.85546875" style="93" customWidth="1"/>
    <col min="11242" max="11243" width="0" style="93" hidden="1" customWidth="1"/>
    <col min="11244" max="11245" width="14.85546875" style="93" customWidth="1"/>
    <col min="11246" max="11246" width="44.42578125" style="93" customWidth="1"/>
    <col min="11247" max="11251" width="14.85546875" style="93" customWidth="1"/>
    <col min="11252" max="11252" width="63.85546875" style="93" customWidth="1"/>
    <col min="11253" max="11253" width="13.28515625" style="93" customWidth="1"/>
    <col min="11254" max="11439" width="9" style="93"/>
    <col min="11440" max="11441" width="0" style="93" hidden="1" customWidth="1"/>
    <col min="11442" max="11442" width="13.7109375" style="93" customWidth="1"/>
    <col min="11443" max="11443" width="52.85546875" style="93" customWidth="1"/>
    <col min="11444" max="11483" width="0" style="93" hidden="1" customWidth="1"/>
    <col min="11484" max="11485" width="14.85546875" style="93" customWidth="1"/>
    <col min="11486" max="11487" width="0" style="93" hidden="1" customWidth="1"/>
    <col min="11488" max="11488" width="14.85546875" style="93" customWidth="1"/>
    <col min="11489" max="11490" width="0" style="93" hidden="1" customWidth="1"/>
    <col min="11491" max="11491" width="14.85546875" style="93" customWidth="1"/>
    <col min="11492" max="11493" width="0" style="93" hidden="1" customWidth="1"/>
    <col min="11494" max="11494" width="14.85546875" style="93" customWidth="1"/>
    <col min="11495" max="11496" width="0" style="93" hidden="1" customWidth="1"/>
    <col min="11497" max="11497" width="14.85546875" style="93" customWidth="1"/>
    <col min="11498" max="11499" width="0" style="93" hidden="1" customWidth="1"/>
    <col min="11500" max="11501" width="14.85546875" style="93" customWidth="1"/>
    <col min="11502" max="11502" width="44.42578125" style="93" customWidth="1"/>
    <col min="11503" max="11507" width="14.85546875" style="93" customWidth="1"/>
    <col min="11508" max="11508" width="63.85546875" style="93" customWidth="1"/>
    <col min="11509" max="11509" width="13.28515625" style="93" customWidth="1"/>
    <col min="11510" max="11695" width="9" style="93"/>
    <col min="11696" max="11697" width="0" style="93" hidden="1" customWidth="1"/>
    <col min="11698" max="11698" width="13.7109375" style="93" customWidth="1"/>
    <col min="11699" max="11699" width="52.85546875" style="93" customWidth="1"/>
    <col min="11700" max="11739" width="0" style="93" hidden="1" customWidth="1"/>
    <col min="11740" max="11741" width="14.85546875" style="93" customWidth="1"/>
    <col min="11742" max="11743" width="0" style="93" hidden="1" customWidth="1"/>
    <col min="11744" max="11744" width="14.85546875" style="93" customWidth="1"/>
    <col min="11745" max="11746" width="0" style="93" hidden="1" customWidth="1"/>
    <col min="11747" max="11747" width="14.85546875" style="93" customWidth="1"/>
    <col min="11748" max="11749" width="0" style="93" hidden="1" customWidth="1"/>
    <col min="11750" max="11750" width="14.85546875" style="93" customWidth="1"/>
    <col min="11751" max="11752" width="0" style="93" hidden="1" customWidth="1"/>
    <col min="11753" max="11753" width="14.85546875" style="93" customWidth="1"/>
    <col min="11754" max="11755" width="0" style="93" hidden="1" customWidth="1"/>
    <col min="11756" max="11757" width="14.85546875" style="93" customWidth="1"/>
    <col min="11758" max="11758" width="44.42578125" style="93" customWidth="1"/>
    <col min="11759" max="11763" width="14.85546875" style="93" customWidth="1"/>
    <col min="11764" max="11764" width="63.85546875" style="93" customWidth="1"/>
    <col min="11765" max="11765" width="13.28515625" style="93" customWidth="1"/>
    <col min="11766" max="11951" width="9" style="93"/>
    <col min="11952" max="11953" width="0" style="93" hidden="1" customWidth="1"/>
    <col min="11954" max="11954" width="13.7109375" style="93" customWidth="1"/>
    <col min="11955" max="11955" width="52.85546875" style="93" customWidth="1"/>
    <col min="11956" max="11995" width="0" style="93" hidden="1" customWidth="1"/>
    <col min="11996" max="11997" width="14.85546875" style="93" customWidth="1"/>
    <col min="11998" max="11999" width="0" style="93" hidden="1" customWidth="1"/>
    <col min="12000" max="12000" width="14.85546875" style="93" customWidth="1"/>
    <col min="12001" max="12002" width="0" style="93" hidden="1" customWidth="1"/>
    <col min="12003" max="12003" width="14.85546875" style="93" customWidth="1"/>
    <col min="12004" max="12005" width="0" style="93" hidden="1" customWidth="1"/>
    <col min="12006" max="12006" width="14.85546875" style="93" customWidth="1"/>
    <col min="12007" max="12008" width="0" style="93" hidden="1" customWidth="1"/>
    <col min="12009" max="12009" width="14.85546875" style="93" customWidth="1"/>
    <col min="12010" max="12011" width="0" style="93" hidden="1" customWidth="1"/>
    <col min="12012" max="12013" width="14.85546875" style="93" customWidth="1"/>
    <col min="12014" max="12014" width="44.42578125" style="93" customWidth="1"/>
    <col min="12015" max="12019" width="14.85546875" style="93" customWidth="1"/>
    <col min="12020" max="12020" width="63.85546875" style="93" customWidth="1"/>
    <col min="12021" max="12021" width="13.28515625" style="93" customWidth="1"/>
    <col min="12022" max="12207" width="9" style="93"/>
    <col min="12208" max="12209" width="0" style="93" hidden="1" customWidth="1"/>
    <col min="12210" max="12210" width="13.7109375" style="93" customWidth="1"/>
    <col min="12211" max="12211" width="52.85546875" style="93" customWidth="1"/>
    <col min="12212" max="12251" width="0" style="93" hidden="1" customWidth="1"/>
    <col min="12252" max="12253" width="14.85546875" style="93" customWidth="1"/>
    <col min="12254" max="12255" width="0" style="93" hidden="1" customWidth="1"/>
    <col min="12256" max="12256" width="14.85546875" style="93" customWidth="1"/>
    <col min="12257" max="12258" width="0" style="93" hidden="1" customWidth="1"/>
    <col min="12259" max="12259" width="14.85546875" style="93" customWidth="1"/>
    <col min="12260" max="12261" width="0" style="93" hidden="1" customWidth="1"/>
    <col min="12262" max="12262" width="14.85546875" style="93" customWidth="1"/>
    <col min="12263" max="12264" width="0" style="93" hidden="1" customWidth="1"/>
    <col min="12265" max="12265" width="14.85546875" style="93" customWidth="1"/>
    <col min="12266" max="12267" width="0" style="93" hidden="1" customWidth="1"/>
    <col min="12268" max="12269" width="14.85546875" style="93" customWidth="1"/>
    <col min="12270" max="12270" width="44.42578125" style="93" customWidth="1"/>
    <col min="12271" max="12275" width="14.85546875" style="93" customWidth="1"/>
    <col min="12276" max="12276" width="63.85546875" style="93" customWidth="1"/>
    <col min="12277" max="12277" width="13.28515625" style="93" customWidth="1"/>
    <col min="12278" max="12463" width="9" style="93"/>
    <col min="12464" max="12465" width="0" style="93" hidden="1" customWidth="1"/>
    <col min="12466" max="12466" width="13.7109375" style="93" customWidth="1"/>
    <col min="12467" max="12467" width="52.85546875" style="93" customWidth="1"/>
    <col min="12468" max="12507" width="0" style="93" hidden="1" customWidth="1"/>
    <col min="12508" max="12509" width="14.85546875" style="93" customWidth="1"/>
    <col min="12510" max="12511" width="0" style="93" hidden="1" customWidth="1"/>
    <col min="12512" max="12512" width="14.85546875" style="93" customWidth="1"/>
    <col min="12513" max="12514" width="0" style="93" hidden="1" customWidth="1"/>
    <col min="12515" max="12515" width="14.85546875" style="93" customWidth="1"/>
    <col min="12516" max="12517" width="0" style="93" hidden="1" customWidth="1"/>
    <col min="12518" max="12518" width="14.85546875" style="93" customWidth="1"/>
    <col min="12519" max="12520" width="0" style="93" hidden="1" customWidth="1"/>
    <col min="12521" max="12521" width="14.85546875" style="93" customWidth="1"/>
    <col min="12522" max="12523" width="0" style="93" hidden="1" customWidth="1"/>
    <col min="12524" max="12525" width="14.85546875" style="93" customWidth="1"/>
    <col min="12526" max="12526" width="44.42578125" style="93" customWidth="1"/>
    <col min="12527" max="12531" width="14.85546875" style="93" customWidth="1"/>
    <col min="12532" max="12532" width="63.85546875" style="93" customWidth="1"/>
    <col min="12533" max="12533" width="13.28515625" style="93" customWidth="1"/>
    <col min="12534" max="12719" width="9" style="93"/>
    <col min="12720" max="12721" width="0" style="93" hidden="1" customWidth="1"/>
    <col min="12722" max="12722" width="13.7109375" style="93" customWidth="1"/>
    <col min="12723" max="12723" width="52.85546875" style="93" customWidth="1"/>
    <col min="12724" max="12763" width="0" style="93" hidden="1" customWidth="1"/>
    <col min="12764" max="12765" width="14.85546875" style="93" customWidth="1"/>
    <col min="12766" max="12767" width="0" style="93" hidden="1" customWidth="1"/>
    <col min="12768" max="12768" width="14.85546875" style="93" customWidth="1"/>
    <col min="12769" max="12770" width="0" style="93" hidden="1" customWidth="1"/>
    <col min="12771" max="12771" width="14.85546875" style="93" customWidth="1"/>
    <col min="12772" max="12773" width="0" style="93" hidden="1" customWidth="1"/>
    <col min="12774" max="12774" width="14.85546875" style="93" customWidth="1"/>
    <col min="12775" max="12776" width="0" style="93" hidden="1" customWidth="1"/>
    <col min="12777" max="12777" width="14.85546875" style="93" customWidth="1"/>
    <col min="12778" max="12779" width="0" style="93" hidden="1" customWidth="1"/>
    <col min="12780" max="12781" width="14.85546875" style="93" customWidth="1"/>
    <col min="12782" max="12782" width="44.42578125" style="93" customWidth="1"/>
    <col min="12783" max="12787" width="14.85546875" style="93" customWidth="1"/>
    <col min="12788" max="12788" width="63.85546875" style="93" customWidth="1"/>
    <col min="12789" max="12789" width="13.28515625" style="93" customWidth="1"/>
    <col min="12790" max="12975" width="9" style="93"/>
    <col min="12976" max="12977" width="0" style="93" hidden="1" customWidth="1"/>
    <col min="12978" max="12978" width="13.7109375" style="93" customWidth="1"/>
    <col min="12979" max="12979" width="52.85546875" style="93" customWidth="1"/>
    <col min="12980" max="13019" width="0" style="93" hidden="1" customWidth="1"/>
    <col min="13020" max="13021" width="14.85546875" style="93" customWidth="1"/>
    <col min="13022" max="13023" width="0" style="93" hidden="1" customWidth="1"/>
    <col min="13024" max="13024" width="14.85546875" style="93" customWidth="1"/>
    <col min="13025" max="13026" width="0" style="93" hidden="1" customWidth="1"/>
    <col min="13027" max="13027" width="14.85546875" style="93" customWidth="1"/>
    <col min="13028" max="13029" width="0" style="93" hidden="1" customWidth="1"/>
    <col min="13030" max="13030" width="14.85546875" style="93" customWidth="1"/>
    <col min="13031" max="13032" width="0" style="93" hidden="1" customWidth="1"/>
    <col min="13033" max="13033" width="14.85546875" style="93" customWidth="1"/>
    <col min="13034" max="13035" width="0" style="93" hidden="1" customWidth="1"/>
    <col min="13036" max="13037" width="14.85546875" style="93" customWidth="1"/>
    <col min="13038" max="13038" width="44.42578125" style="93" customWidth="1"/>
    <col min="13039" max="13043" width="14.85546875" style="93" customWidth="1"/>
    <col min="13044" max="13044" width="63.85546875" style="93" customWidth="1"/>
    <col min="13045" max="13045" width="13.28515625" style="93" customWidth="1"/>
    <col min="13046" max="13231" width="9" style="93"/>
    <col min="13232" max="13233" width="0" style="93" hidden="1" customWidth="1"/>
    <col min="13234" max="13234" width="13.7109375" style="93" customWidth="1"/>
    <col min="13235" max="13235" width="52.85546875" style="93" customWidth="1"/>
    <col min="13236" max="13275" width="0" style="93" hidden="1" customWidth="1"/>
    <col min="13276" max="13277" width="14.85546875" style="93" customWidth="1"/>
    <col min="13278" max="13279" width="0" style="93" hidden="1" customWidth="1"/>
    <col min="13280" max="13280" width="14.85546875" style="93" customWidth="1"/>
    <col min="13281" max="13282" width="0" style="93" hidden="1" customWidth="1"/>
    <col min="13283" max="13283" width="14.85546875" style="93" customWidth="1"/>
    <col min="13284" max="13285" width="0" style="93" hidden="1" customWidth="1"/>
    <col min="13286" max="13286" width="14.85546875" style="93" customWidth="1"/>
    <col min="13287" max="13288" width="0" style="93" hidden="1" customWidth="1"/>
    <col min="13289" max="13289" width="14.85546875" style="93" customWidth="1"/>
    <col min="13290" max="13291" width="0" style="93" hidden="1" customWidth="1"/>
    <col min="13292" max="13293" width="14.85546875" style="93" customWidth="1"/>
    <col min="13294" max="13294" width="44.42578125" style="93" customWidth="1"/>
    <col min="13295" max="13299" width="14.85546875" style="93" customWidth="1"/>
    <col min="13300" max="13300" width="63.85546875" style="93" customWidth="1"/>
    <col min="13301" max="13301" width="13.28515625" style="93" customWidth="1"/>
    <col min="13302" max="13487" width="9" style="93"/>
    <col min="13488" max="13489" width="0" style="93" hidden="1" customWidth="1"/>
    <col min="13490" max="13490" width="13.7109375" style="93" customWidth="1"/>
    <col min="13491" max="13491" width="52.85546875" style="93" customWidth="1"/>
    <col min="13492" max="13531" width="0" style="93" hidden="1" customWidth="1"/>
    <col min="13532" max="13533" width="14.85546875" style="93" customWidth="1"/>
    <col min="13534" max="13535" width="0" style="93" hidden="1" customWidth="1"/>
    <col min="13536" max="13536" width="14.85546875" style="93" customWidth="1"/>
    <col min="13537" max="13538" width="0" style="93" hidden="1" customWidth="1"/>
    <col min="13539" max="13539" width="14.85546875" style="93" customWidth="1"/>
    <col min="13540" max="13541" width="0" style="93" hidden="1" customWidth="1"/>
    <col min="13542" max="13542" width="14.85546875" style="93" customWidth="1"/>
    <col min="13543" max="13544" width="0" style="93" hidden="1" customWidth="1"/>
    <col min="13545" max="13545" width="14.85546875" style="93" customWidth="1"/>
    <col min="13546" max="13547" width="0" style="93" hidden="1" customWidth="1"/>
    <col min="13548" max="13549" width="14.85546875" style="93" customWidth="1"/>
    <col min="13550" max="13550" width="44.42578125" style="93" customWidth="1"/>
    <col min="13551" max="13555" width="14.85546875" style="93" customWidth="1"/>
    <col min="13556" max="13556" width="63.85546875" style="93" customWidth="1"/>
    <col min="13557" max="13557" width="13.28515625" style="93" customWidth="1"/>
    <col min="13558" max="13743" width="9" style="93"/>
    <col min="13744" max="13745" width="0" style="93" hidden="1" customWidth="1"/>
    <col min="13746" max="13746" width="13.7109375" style="93" customWidth="1"/>
    <col min="13747" max="13747" width="52.85546875" style="93" customWidth="1"/>
    <col min="13748" max="13787" width="0" style="93" hidden="1" customWidth="1"/>
    <col min="13788" max="13789" width="14.85546875" style="93" customWidth="1"/>
    <col min="13790" max="13791" width="0" style="93" hidden="1" customWidth="1"/>
    <col min="13792" max="13792" width="14.85546875" style="93" customWidth="1"/>
    <col min="13793" max="13794" width="0" style="93" hidden="1" customWidth="1"/>
    <col min="13795" max="13795" width="14.85546875" style="93" customWidth="1"/>
    <col min="13796" max="13797" width="0" style="93" hidden="1" customWidth="1"/>
    <col min="13798" max="13798" width="14.85546875" style="93" customWidth="1"/>
    <col min="13799" max="13800" width="0" style="93" hidden="1" customWidth="1"/>
    <col min="13801" max="13801" width="14.85546875" style="93" customWidth="1"/>
    <col min="13802" max="13803" width="0" style="93" hidden="1" customWidth="1"/>
    <col min="13804" max="13805" width="14.85546875" style="93" customWidth="1"/>
    <col min="13806" max="13806" width="44.42578125" style="93" customWidth="1"/>
    <col min="13807" max="13811" width="14.85546875" style="93" customWidth="1"/>
    <col min="13812" max="13812" width="63.85546875" style="93" customWidth="1"/>
    <col min="13813" max="13813" width="13.28515625" style="93" customWidth="1"/>
    <col min="13814" max="13999" width="9" style="93"/>
    <col min="14000" max="14001" width="0" style="93" hidden="1" customWidth="1"/>
    <col min="14002" max="14002" width="13.7109375" style="93" customWidth="1"/>
    <col min="14003" max="14003" width="52.85546875" style="93" customWidth="1"/>
    <col min="14004" max="14043" width="0" style="93" hidden="1" customWidth="1"/>
    <col min="14044" max="14045" width="14.85546875" style="93" customWidth="1"/>
    <col min="14046" max="14047" width="0" style="93" hidden="1" customWidth="1"/>
    <col min="14048" max="14048" width="14.85546875" style="93" customWidth="1"/>
    <col min="14049" max="14050" width="0" style="93" hidden="1" customWidth="1"/>
    <col min="14051" max="14051" width="14.85546875" style="93" customWidth="1"/>
    <col min="14052" max="14053" width="0" style="93" hidden="1" customWidth="1"/>
    <col min="14054" max="14054" width="14.85546875" style="93" customWidth="1"/>
    <col min="14055" max="14056" width="0" style="93" hidden="1" customWidth="1"/>
    <col min="14057" max="14057" width="14.85546875" style="93" customWidth="1"/>
    <col min="14058" max="14059" width="0" style="93" hidden="1" customWidth="1"/>
    <col min="14060" max="14061" width="14.85546875" style="93" customWidth="1"/>
    <col min="14062" max="14062" width="44.42578125" style="93" customWidth="1"/>
    <col min="14063" max="14067" width="14.85546875" style="93" customWidth="1"/>
    <col min="14068" max="14068" width="63.85546875" style="93" customWidth="1"/>
    <col min="14069" max="14069" width="13.28515625" style="93" customWidth="1"/>
    <col min="14070" max="14255" width="9" style="93"/>
    <col min="14256" max="14257" width="0" style="93" hidden="1" customWidth="1"/>
    <col min="14258" max="14258" width="13.7109375" style="93" customWidth="1"/>
    <col min="14259" max="14259" width="52.85546875" style="93" customWidth="1"/>
    <col min="14260" max="14299" width="0" style="93" hidden="1" customWidth="1"/>
    <col min="14300" max="14301" width="14.85546875" style="93" customWidth="1"/>
    <col min="14302" max="14303" width="0" style="93" hidden="1" customWidth="1"/>
    <col min="14304" max="14304" width="14.85546875" style="93" customWidth="1"/>
    <col min="14305" max="14306" width="0" style="93" hidden="1" customWidth="1"/>
    <col min="14307" max="14307" width="14.85546875" style="93" customWidth="1"/>
    <col min="14308" max="14309" width="0" style="93" hidden="1" customWidth="1"/>
    <col min="14310" max="14310" width="14.85546875" style="93" customWidth="1"/>
    <col min="14311" max="14312" width="0" style="93" hidden="1" customWidth="1"/>
    <col min="14313" max="14313" width="14.85546875" style="93" customWidth="1"/>
    <col min="14314" max="14315" width="0" style="93" hidden="1" customWidth="1"/>
    <col min="14316" max="14317" width="14.85546875" style="93" customWidth="1"/>
    <col min="14318" max="14318" width="44.42578125" style="93" customWidth="1"/>
    <col min="14319" max="14323" width="14.85546875" style="93" customWidth="1"/>
    <col min="14324" max="14324" width="63.85546875" style="93" customWidth="1"/>
    <col min="14325" max="14325" width="13.28515625" style="93" customWidth="1"/>
    <col min="14326" max="14511" width="9" style="93"/>
    <col min="14512" max="14513" width="0" style="93" hidden="1" customWidth="1"/>
    <col min="14514" max="14514" width="13.7109375" style="93" customWidth="1"/>
    <col min="14515" max="14515" width="52.85546875" style="93" customWidth="1"/>
    <col min="14516" max="14555" width="0" style="93" hidden="1" customWidth="1"/>
    <col min="14556" max="14557" width="14.85546875" style="93" customWidth="1"/>
    <col min="14558" max="14559" width="0" style="93" hidden="1" customWidth="1"/>
    <col min="14560" max="14560" width="14.85546875" style="93" customWidth="1"/>
    <col min="14561" max="14562" width="0" style="93" hidden="1" customWidth="1"/>
    <col min="14563" max="14563" width="14.85546875" style="93" customWidth="1"/>
    <col min="14564" max="14565" width="0" style="93" hidden="1" customWidth="1"/>
    <col min="14566" max="14566" width="14.85546875" style="93" customWidth="1"/>
    <col min="14567" max="14568" width="0" style="93" hidden="1" customWidth="1"/>
    <col min="14569" max="14569" width="14.85546875" style="93" customWidth="1"/>
    <col min="14570" max="14571" width="0" style="93" hidden="1" customWidth="1"/>
    <col min="14572" max="14573" width="14.85546875" style="93" customWidth="1"/>
    <col min="14574" max="14574" width="44.42578125" style="93" customWidth="1"/>
    <col min="14575" max="14579" width="14.85546875" style="93" customWidth="1"/>
    <col min="14580" max="14580" width="63.85546875" style="93" customWidth="1"/>
    <col min="14581" max="14581" width="13.28515625" style="93" customWidth="1"/>
    <col min="14582" max="14767" width="9" style="93"/>
    <col min="14768" max="14769" width="0" style="93" hidden="1" customWidth="1"/>
    <col min="14770" max="14770" width="13.7109375" style="93" customWidth="1"/>
    <col min="14771" max="14771" width="52.85546875" style="93" customWidth="1"/>
    <col min="14772" max="14811" width="0" style="93" hidden="1" customWidth="1"/>
    <col min="14812" max="14813" width="14.85546875" style="93" customWidth="1"/>
    <col min="14814" max="14815" width="0" style="93" hidden="1" customWidth="1"/>
    <col min="14816" max="14816" width="14.85546875" style="93" customWidth="1"/>
    <col min="14817" max="14818" width="0" style="93" hidden="1" customWidth="1"/>
    <col min="14819" max="14819" width="14.85546875" style="93" customWidth="1"/>
    <col min="14820" max="14821" width="0" style="93" hidden="1" customWidth="1"/>
    <col min="14822" max="14822" width="14.85546875" style="93" customWidth="1"/>
    <col min="14823" max="14824" width="0" style="93" hidden="1" customWidth="1"/>
    <col min="14825" max="14825" width="14.85546875" style="93" customWidth="1"/>
    <col min="14826" max="14827" width="0" style="93" hidden="1" customWidth="1"/>
    <col min="14828" max="14829" width="14.85546875" style="93" customWidth="1"/>
    <col min="14830" max="14830" width="44.42578125" style="93" customWidth="1"/>
    <col min="14831" max="14835" width="14.85546875" style="93" customWidth="1"/>
    <col min="14836" max="14836" width="63.85546875" style="93" customWidth="1"/>
    <col min="14837" max="14837" width="13.28515625" style="93" customWidth="1"/>
    <col min="14838" max="15023" width="9" style="93"/>
    <col min="15024" max="15025" width="0" style="93" hidden="1" customWidth="1"/>
    <col min="15026" max="15026" width="13.7109375" style="93" customWidth="1"/>
    <col min="15027" max="15027" width="52.85546875" style="93" customWidth="1"/>
    <col min="15028" max="15067" width="0" style="93" hidden="1" customWidth="1"/>
    <col min="15068" max="15069" width="14.85546875" style="93" customWidth="1"/>
    <col min="15070" max="15071" width="0" style="93" hidden="1" customWidth="1"/>
    <col min="15072" max="15072" width="14.85546875" style="93" customWidth="1"/>
    <col min="15073" max="15074" width="0" style="93" hidden="1" customWidth="1"/>
    <col min="15075" max="15075" width="14.85546875" style="93" customWidth="1"/>
    <col min="15076" max="15077" width="0" style="93" hidden="1" customWidth="1"/>
    <col min="15078" max="15078" width="14.85546875" style="93" customWidth="1"/>
    <col min="15079" max="15080" width="0" style="93" hidden="1" customWidth="1"/>
    <col min="15081" max="15081" width="14.85546875" style="93" customWidth="1"/>
    <col min="15082" max="15083" width="0" style="93" hidden="1" customWidth="1"/>
    <col min="15084" max="15085" width="14.85546875" style="93" customWidth="1"/>
    <col min="15086" max="15086" width="44.42578125" style="93" customWidth="1"/>
    <col min="15087" max="15091" width="14.85546875" style="93" customWidth="1"/>
    <col min="15092" max="15092" width="63.85546875" style="93" customWidth="1"/>
    <col min="15093" max="15093" width="13.28515625" style="93" customWidth="1"/>
    <col min="15094" max="15279" width="9" style="93"/>
    <col min="15280" max="15281" width="0" style="93" hidden="1" customWidth="1"/>
    <col min="15282" max="15282" width="13.7109375" style="93" customWidth="1"/>
    <col min="15283" max="15283" width="52.85546875" style="93" customWidth="1"/>
    <col min="15284" max="15323" width="0" style="93" hidden="1" customWidth="1"/>
    <col min="15324" max="15325" width="14.85546875" style="93" customWidth="1"/>
    <col min="15326" max="15327" width="0" style="93" hidden="1" customWidth="1"/>
    <col min="15328" max="15328" width="14.85546875" style="93" customWidth="1"/>
    <col min="15329" max="15330" width="0" style="93" hidden="1" customWidth="1"/>
    <col min="15331" max="15331" width="14.85546875" style="93" customWidth="1"/>
    <col min="15332" max="15333" width="0" style="93" hidden="1" customWidth="1"/>
    <col min="15334" max="15334" width="14.85546875" style="93" customWidth="1"/>
    <col min="15335" max="15336" width="0" style="93" hidden="1" customWidth="1"/>
    <col min="15337" max="15337" width="14.85546875" style="93" customWidth="1"/>
    <col min="15338" max="15339" width="0" style="93" hidden="1" customWidth="1"/>
    <col min="15340" max="15341" width="14.85546875" style="93" customWidth="1"/>
    <col min="15342" max="15342" width="44.42578125" style="93" customWidth="1"/>
    <col min="15343" max="15347" width="14.85546875" style="93" customWidth="1"/>
    <col min="15348" max="15348" width="63.85546875" style="93" customWidth="1"/>
    <col min="15349" max="15349" width="13.28515625" style="93" customWidth="1"/>
    <col min="15350" max="15535" width="9" style="93"/>
    <col min="15536" max="15537" width="0" style="93" hidden="1" customWidth="1"/>
    <col min="15538" max="15538" width="13.7109375" style="93" customWidth="1"/>
    <col min="15539" max="15539" width="52.85546875" style="93" customWidth="1"/>
    <col min="15540" max="15579" width="0" style="93" hidden="1" customWidth="1"/>
    <col min="15580" max="15581" width="14.85546875" style="93" customWidth="1"/>
    <col min="15582" max="15583" width="0" style="93" hidden="1" customWidth="1"/>
    <col min="15584" max="15584" width="14.85546875" style="93" customWidth="1"/>
    <col min="15585" max="15586" width="0" style="93" hidden="1" customWidth="1"/>
    <col min="15587" max="15587" width="14.85546875" style="93" customWidth="1"/>
    <col min="15588" max="15589" width="0" style="93" hidden="1" customWidth="1"/>
    <col min="15590" max="15590" width="14.85546875" style="93" customWidth="1"/>
    <col min="15591" max="15592" width="0" style="93" hidden="1" customWidth="1"/>
    <col min="15593" max="15593" width="14.85546875" style="93" customWidth="1"/>
    <col min="15594" max="15595" width="0" style="93" hidden="1" customWidth="1"/>
    <col min="15596" max="15597" width="14.85546875" style="93" customWidth="1"/>
    <col min="15598" max="15598" width="44.42578125" style="93" customWidth="1"/>
    <col min="15599" max="15603" width="14.85546875" style="93" customWidth="1"/>
    <col min="15604" max="15604" width="63.85546875" style="93" customWidth="1"/>
    <col min="15605" max="15605" width="13.28515625" style="93" customWidth="1"/>
    <col min="15606" max="15791" width="9" style="93"/>
    <col min="15792" max="15793" width="0" style="93" hidden="1" customWidth="1"/>
    <col min="15794" max="15794" width="13.7109375" style="93" customWidth="1"/>
    <col min="15795" max="15795" width="52.85546875" style="93" customWidth="1"/>
    <col min="15796" max="15835" width="0" style="93" hidden="1" customWidth="1"/>
    <col min="15836" max="15837" width="14.85546875" style="93" customWidth="1"/>
    <col min="15838" max="15839" width="0" style="93" hidden="1" customWidth="1"/>
    <col min="15840" max="15840" width="14.85546875" style="93" customWidth="1"/>
    <col min="15841" max="15842" width="0" style="93" hidden="1" customWidth="1"/>
    <col min="15843" max="15843" width="14.85546875" style="93" customWidth="1"/>
    <col min="15844" max="15845" width="0" style="93" hidden="1" customWidth="1"/>
    <col min="15846" max="15846" width="14.85546875" style="93" customWidth="1"/>
    <col min="15847" max="15848" width="0" style="93" hidden="1" customWidth="1"/>
    <col min="15849" max="15849" width="14.85546875" style="93" customWidth="1"/>
    <col min="15850" max="15851" width="0" style="93" hidden="1" customWidth="1"/>
    <col min="15852" max="15853" width="14.85546875" style="93" customWidth="1"/>
    <col min="15854" max="15854" width="44.42578125" style="93" customWidth="1"/>
    <col min="15855" max="15859" width="14.85546875" style="93" customWidth="1"/>
    <col min="15860" max="15860" width="63.85546875" style="93" customWidth="1"/>
    <col min="15861" max="15861" width="13.28515625" style="93" customWidth="1"/>
    <col min="15862" max="16047" width="9" style="93"/>
    <col min="16048" max="16049" width="0" style="93" hidden="1" customWidth="1"/>
    <col min="16050" max="16050" width="13.7109375" style="93" customWidth="1"/>
    <col min="16051" max="16051" width="52.85546875" style="93" customWidth="1"/>
    <col min="16052" max="16091" width="0" style="93" hidden="1" customWidth="1"/>
    <col min="16092" max="16093" width="14.85546875" style="93" customWidth="1"/>
    <col min="16094" max="16095" width="0" style="93" hidden="1" customWidth="1"/>
    <col min="16096" max="16096" width="14.85546875" style="93" customWidth="1"/>
    <col min="16097" max="16098" width="0" style="93" hidden="1" customWidth="1"/>
    <col min="16099" max="16099" width="14.85546875" style="93" customWidth="1"/>
    <col min="16100" max="16101" width="0" style="93" hidden="1" customWidth="1"/>
    <col min="16102" max="16102" width="14.85546875" style="93" customWidth="1"/>
    <col min="16103" max="16104" width="0" style="93" hidden="1" customWidth="1"/>
    <col min="16105" max="16105" width="14.85546875" style="93" customWidth="1"/>
    <col min="16106" max="16107" width="0" style="93" hidden="1" customWidth="1"/>
    <col min="16108" max="16109" width="14.85546875" style="93" customWidth="1"/>
    <col min="16110" max="16110" width="44.42578125" style="93" customWidth="1"/>
    <col min="16111" max="16115" width="14.85546875" style="93" customWidth="1"/>
    <col min="16116" max="16116" width="63.85546875" style="93" customWidth="1"/>
    <col min="16117" max="16117" width="13.28515625" style="93" customWidth="1"/>
    <col min="16118" max="16316" width="9" style="93"/>
    <col min="16317" max="16349" width="9.140625" style="93" customWidth="1"/>
    <col min="16350" max="16384" width="9" style="93"/>
  </cols>
  <sheetData>
    <row r="1" spans="1:11" ht="25.5" outlineLevel="1" x14ac:dyDescent="0.35">
      <c r="C1" s="94" t="s">
        <v>0</v>
      </c>
      <c r="D1" s="94"/>
      <c r="E1" s="95"/>
      <c r="F1" s="95"/>
      <c r="G1" s="95"/>
      <c r="H1" s="2"/>
      <c r="I1" s="95"/>
      <c r="J1" s="95"/>
      <c r="K1" s="2"/>
    </row>
    <row r="2" spans="1:11" ht="25.5" outlineLevel="1" x14ac:dyDescent="0.35">
      <c r="C2" s="350" t="s">
        <v>1</v>
      </c>
      <c r="D2" s="350"/>
      <c r="E2" s="96"/>
      <c r="F2" s="96"/>
      <c r="G2" s="96"/>
      <c r="H2" s="4"/>
      <c r="I2" s="96"/>
      <c r="J2" s="96"/>
      <c r="K2" s="4"/>
    </row>
    <row r="3" spans="1:11" ht="20.25" outlineLevel="1" x14ac:dyDescent="0.3">
      <c r="C3" s="346" t="s">
        <v>2</v>
      </c>
      <c r="D3" s="346"/>
      <c r="E3" s="5"/>
      <c r="F3" s="5"/>
      <c r="G3" s="5"/>
      <c r="I3" s="5"/>
      <c r="J3" s="5"/>
    </row>
    <row r="4" spans="1:11" ht="15.75" outlineLevel="1" thickBot="1" x14ac:dyDescent="0.3">
      <c r="C4" s="7"/>
      <c r="E4" s="8"/>
      <c r="F4" s="8"/>
      <c r="G4" s="6"/>
      <c r="I4" s="8"/>
      <c r="J4" s="6"/>
    </row>
    <row r="5" spans="1:11" ht="51.6" customHeight="1" thickBot="1" x14ac:dyDescent="0.3">
      <c r="C5" s="97" t="s">
        <v>3</v>
      </c>
      <c r="D5" s="98" t="s">
        <v>4</v>
      </c>
      <c r="E5" s="9" t="s">
        <v>6</v>
      </c>
      <c r="F5" s="9" t="s">
        <v>7</v>
      </c>
      <c r="G5" s="9" t="s">
        <v>8</v>
      </c>
      <c r="H5" s="10" t="s">
        <v>9</v>
      </c>
      <c r="I5" s="9" t="s">
        <v>10</v>
      </c>
      <c r="J5" s="9" t="s">
        <v>11</v>
      </c>
      <c r="K5" s="10" t="s">
        <v>9</v>
      </c>
    </row>
    <row r="6" spans="1:11" x14ac:dyDescent="0.25">
      <c r="C6" s="99" t="s">
        <v>12</v>
      </c>
      <c r="D6" s="100" t="s">
        <v>13</v>
      </c>
      <c r="E6" s="11">
        <v>31414871</v>
      </c>
      <c r="F6" s="11">
        <f t="shared" ref="F6" si="0">ROUND((F7+F11+F14+F17+F20),0)</f>
        <v>31414871</v>
      </c>
      <c r="G6" s="101">
        <f>F6-E6</f>
        <v>0</v>
      </c>
      <c r="H6" s="12"/>
      <c r="I6" s="11">
        <f t="shared" ref="I6" si="1">ROUND((I7+I11+I14+I17+I20),0)</f>
        <v>31582267</v>
      </c>
      <c r="J6" s="101">
        <f t="shared" ref="J6:J7" si="2">I6-F6</f>
        <v>167396</v>
      </c>
      <c r="K6" s="12"/>
    </row>
    <row r="7" spans="1:11" x14ac:dyDescent="0.25">
      <c r="B7" s="93" t="s">
        <v>14</v>
      </c>
      <c r="C7" s="102" t="s">
        <v>15</v>
      </c>
      <c r="D7" s="103" t="s">
        <v>16</v>
      </c>
      <c r="E7" s="104">
        <v>28441559</v>
      </c>
      <c r="F7" s="104">
        <f>SUM(F8:F9)</f>
        <v>28441559</v>
      </c>
      <c r="G7" s="104">
        <f t="shared" ref="G7:G71" si="3">F7-E7</f>
        <v>0</v>
      </c>
      <c r="H7" s="13"/>
      <c r="I7" s="104">
        <f>SUM(I8:I9)</f>
        <v>28608955</v>
      </c>
      <c r="J7" s="104">
        <f t="shared" si="2"/>
        <v>167396</v>
      </c>
      <c r="K7" s="13"/>
    </row>
    <row r="8" spans="1:11" x14ac:dyDescent="0.25">
      <c r="A8" s="93" t="s">
        <v>17</v>
      </c>
      <c r="B8" s="105" t="s">
        <v>18</v>
      </c>
      <c r="C8" s="106" t="s">
        <v>19</v>
      </c>
      <c r="D8" s="107" t="s">
        <v>20</v>
      </c>
      <c r="E8" s="108">
        <v>28441559</v>
      </c>
      <c r="F8" s="108">
        <f>ROUND(E8,0)</f>
        <v>28441559</v>
      </c>
      <c r="G8" s="108">
        <f t="shared" si="3"/>
        <v>0</v>
      </c>
      <c r="H8" s="14"/>
      <c r="I8" s="108">
        <f>ROUND(F8,0)+167396</f>
        <v>28608955</v>
      </c>
      <c r="J8" s="108">
        <f>I8-F8</f>
        <v>167396</v>
      </c>
      <c r="K8" s="14" t="s">
        <v>21</v>
      </c>
    </row>
    <row r="9" spans="1:11" ht="27.75" hidden="1" customHeight="1" outlineLevel="1" x14ac:dyDescent="0.25">
      <c r="B9" s="105"/>
      <c r="C9" s="106" t="s">
        <v>22</v>
      </c>
      <c r="D9" s="107" t="s">
        <v>23</v>
      </c>
      <c r="E9" s="108">
        <v>0</v>
      </c>
      <c r="F9" s="108">
        <f>ROUND(E9,0)</f>
        <v>0</v>
      </c>
      <c r="G9" s="108">
        <f t="shared" si="3"/>
        <v>0</v>
      </c>
      <c r="H9" s="14"/>
      <c r="I9" s="108">
        <f>ROUND(H9,0)</f>
        <v>0</v>
      </c>
      <c r="J9" s="108">
        <f t="shared" ref="J9:J72" si="4">I9-F9</f>
        <v>0</v>
      </c>
      <c r="K9" s="14"/>
    </row>
    <row r="10" spans="1:11" ht="15.75" customHeight="1" collapsed="1" x14ac:dyDescent="0.25">
      <c r="C10" s="99" t="s">
        <v>24</v>
      </c>
      <c r="D10" s="100" t="s">
        <v>25</v>
      </c>
      <c r="E10" s="11">
        <v>2903312</v>
      </c>
      <c r="F10" s="11">
        <f>F11+F14+F17</f>
        <v>2903312</v>
      </c>
      <c r="G10" s="101">
        <f t="shared" si="3"/>
        <v>0</v>
      </c>
      <c r="H10" s="12"/>
      <c r="I10" s="11">
        <f>I11+I14+I17</f>
        <v>2903312</v>
      </c>
      <c r="J10" s="101">
        <f t="shared" si="4"/>
        <v>0</v>
      </c>
      <c r="K10" s="12"/>
    </row>
    <row r="11" spans="1:11" x14ac:dyDescent="0.25">
      <c r="B11" s="93" t="s">
        <v>26</v>
      </c>
      <c r="C11" s="110" t="s">
        <v>27</v>
      </c>
      <c r="D11" s="111" t="s">
        <v>28</v>
      </c>
      <c r="E11" s="112">
        <v>1998295</v>
      </c>
      <c r="F11" s="112">
        <f>SUM(F12:F13)</f>
        <v>1998295</v>
      </c>
      <c r="G11" s="112">
        <f t="shared" si="3"/>
        <v>0</v>
      </c>
      <c r="H11" s="15"/>
      <c r="I11" s="112">
        <f>SUM(I12:I13)</f>
        <v>1998295</v>
      </c>
      <c r="J11" s="112">
        <f t="shared" si="4"/>
        <v>0</v>
      </c>
      <c r="K11" s="15"/>
    </row>
    <row r="12" spans="1:11" x14ac:dyDescent="0.25">
      <c r="A12" s="93" t="s">
        <v>17</v>
      </c>
      <c r="B12" s="105" t="s">
        <v>29</v>
      </c>
      <c r="C12" s="106" t="s">
        <v>30</v>
      </c>
      <c r="D12" s="107" t="s">
        <v>20</v>
      </c>
      <c r="E12" s="108">
        <v>1807872</v>
      </c>
      <c r="F12" s="108">
        <f>ROUND(E12,0)</f>
        <v>1807872</v>
      </c>
      <c r="G12" s="108">
        <f t="shared" si="3"/>
        <v>0</v>
      </c>
      <c r="H12" s="16"/>
      <c r="I12" s="108">
        <f t="shared" ref="I12:I13" si="5">ROUND(F12,0)</f>
        <v>1807872</v>
      </c>
      <c r="J12" s="108">
        <f t="shared" si="4"/>
        <v>0</v>
      </c>
      <c r="K12" s="16"/>
    </row>
    <row r="13" spans="1:11" x14ac:dyDescent="0.25">
      <c r="A13" s="93" t="s">
        <v>17</v>
      </c>
      <c r="B13" s="105" t="s">
        <v>31</v>
      </c>
      <c r="C13" s="106" t="s">
        <v>32</v>
      </c>
      <c r="D13" s="107" t="s">
        <v>33</v>
      </c>
      <c r="E13" s="108">
        <v>190423</v>
      </c>
      <c r="F13" s="108">
        <f>ROUND(E13,0)</f>
        <v>190423</v>
      </c>
      <c r="G13" s="108">
        <f t="shared" si="3"/>
        <v>0</v>
      </c>
      <c r="H13" s="14"/>
      <c r="I13" s="108">
        <f t="shared" si="5"/>
        <v>190423</v>
      </c>
      <c r="J13" s="108">
        <f t="shared" si="4"/>
        <v>0</v>
      </c>
      <c r="K13" s="14"/>
    </row>
    <row r="14" spans="1:11" x14ac:dyDescent="0.25">
      <c r="B14" s="93" t="s">
        <v>34</v>
      </c>
      <c r="C14" s="110" t="s">
        <v>35</v>
      </c>
      <c r="D14" s="111" t="s">
        <v>36</v>
      </c>
      <c r="E14" s="112">
        <v>412472</v>
      </c>
      <c r="F14" s="112">
        <f>SUM(F15:F16)</f>
        <v>412472</v>
      </c>
      <c r="G14" s="112">
        <f t="shared" si="3"/>
        <v>0</v>
      </c>
      <c r="H14" s="15"/>
      <c r="I14" s="112">
        <f>SUM(I15:I16)</f>
        <v>412472</v>
      </c>
      <c r="J14" s="112">
        <f t="shared" si="4"/>
        <v>0</v>
      </c>
      <c r="K14" s="15"/>
    </row>
    <row r="15" spans="1:11" x14ac:dyDescent="0.25">
      <c r="A15" s="93" t="s">
        <v>17</v>
      </c>
      <c r="B15" s="105" t="s">
        <v>37</v>
      </c>
      <c r="C15" s="106" t="s">
        <v>38</v>
      </c>
      <c r="D15" s="107" t="s">
        <v>39</v>
      </c>
      <c r="E15" s="108">
        <v>326353</v>
      </c>
      <c r="F15" s="108">
        <f>ROUND(E15,0)</f>
        <v>326353</v>
      </c>
      <c r="G15" s="108">
        <f t="shared" si="3"/>
        <v>0</v>
      </c>
      <c r="H15" s="17"/>
      <c r="I15" s="108">
        <f t="shared" ref="I15:I16" si="6">ROUND(F15,0)</f>
        <v>326353</v>
      </c>
      <c r="J15" s="108">
        <f t="shared" si="4"/>
        <v>0</v>
      </c>
      <c r="K15" s="17"/>
    </row>
    <row r="16" spans="1:11" x14ac:dyDescent="0.25">
      <c r="A16" s="93" t="s">
        <v>17</v>
      </c>
      <c r="B16" s="105" t="s">
        <v>40</v>
      </c>
      <c r="C16" s="106" t="s">
        <v>41</v>
      </c>
      <c r="D16" s="107" t="s">
        <v>33</v>
      </c>
      <c r="E16" s="108">
        <v>86119</v>
      </c>
      <c r="F16" s="108">
        <f>ROUND(E16,0)</f>
        <v>86119</v>
      </c>
      <c r="G16" s="108">
        <f t="shared" si="3"/>
        <v>0</v>
      </c>
      <c r="H16" s="14"/>
      <c r="I16" s="108">
        <f t="shared" si="6"/>
        <v>86119</v>
      </c>
      <c r="J16" s="108">
        <f t="shared" si="4"/>
        <v>0</v>
      </c>
      <c r="K16" s="14"/>
    </row>
    <row r="17" spans="1:11" ht="29.25" x14ac:dyDescent="0.25">
      <c r="B17" s="93" t="s">
        <v>42</v>
      </c>
      <c r="C17" s="110" t="s">
        <v>43</v>
      </c>
      <c r="D17" s="111" t="s">
        <v>44</v>
      </c>
      <c r="E17" s="112">
        <v>492545</v>
      </c>
      <c r="F17" s="112">
        <f>SUM(F18:F19)</f>
        <v>492545</v>
      </c>
      <c r="G17" s="112">
        <f t="shared" si="3"/>
        <v>0</v>
      </c>
      <c r="H17" s="15"/>
      <c r="I17" s="112">
        <f>SUM(I18:I19)</f>
        <v>492545</v>
      </c>
      <c r="J17" s="112">
        <f t="shared" si="4"/>
        <v>0</v>
      </c>
      <c r="K17" s="15"/>
    </row>
    <row r="18" spans="1:11" ht="18.75" customHeight="1" x14ac:dyDescent="0.25">
      <c r="A18" s="93" t="s">
        <v>17</v>
      </c>
      <c r="B18" s="105" t="s">
        <v>45</v>
      </c>
      <c r="C18" s="106" t="s">
        <v>46</v>
      </c>
      <c r="D18" s="107" t="s">
        <v>39</v>
      </c>
      <c r="E18" s="108">
        <v>431787</v>
      </c>
      <c r="F18" s="108">
        <f>ROUND(E18,0)</f>
        <v>431787</v>
      </c>
      <c r="G18" s="108">
        <f t="shared" si="3"/>
        <v>0</v>
      </c>
      <c r="H18" s="17"/>
      <c r="I18" s="108">
        <f t="shared" ref="I18:I19" si="7">ROUND(F18,0)</f>
        <v>431787</v>
      </c>
      <c r="J18" s="108">
        <f t="shared" si="4"/>
        <v>0</v>
      </c>
      <c r="K18" s="17"/>
    </row>
    <row r="19" spans="1:11" x14ac:dyDescent="0.25">
      <c r="A19" s="93" t="s">
        <v>17</v>
      </c>
      <c r="B19" s="105" t="s">
        <v>47</v>
      </c>
      <c r="C19" s="106" t="s">
        <v>48</v>
      </c>
      <c r="D19" s="107" t="s">
        <v>33</v>
      </c>
      <c r="E19" s="108">
        <v>60758</v>
      </c>
      <c r="F19" s="108">
        <f>ROUND(E19,0)</f>
        <v>60758</v>
      </c>
      <c r="G19" s="108">
        <f t="shared" si="3"/>
        <v>0</v>
      </c>
      <c r="H19" s="16"/>
      <c r="I19" s="108">
        <f t="shared" si="7"/>
        <v>60758</v>
      </c>
      <c r="J19" s="108">
        <f t="shared" si="4"/>
        <v>0</v>
      </c>
      <c r="K19" s="16"/>
    </row>
    <row r="20" spans="1:11" ht="29.25" x14ac:dyDescent="0.25">
      <c r="B20" s="113"/>
      <c r="C20" s="110" t="s">
        <v>49</v>
      </c>
      <c r="D20" s="111" t="s">
        <v>50</v>
      </c>
      <c r="E20" s="112">
        <v>70000</v>
      </c>
      <c r="F20" s="112">
        <f t="shared" ref="F20" si="8">SUM(F21:F22)</f>
        <v>70000</v>
      </c>
      <c r="G20" s="112">
        <f t="shared" si="3"/>
        <v>0</v>
      </c>
      <c r="H20" s="15"/>
      <c r="I20" s="112">
        <f t="shared" ref="I20" si="9">SUM(I21:I22)</f>
        <v>70000</v>
      </c>
      <c r="J20" s="112">
        <f t="shared" si="4"/>
        <v>0</v>
      </c>
      <c r="K20" s="15"/>
    </row>
    <row r="21" spans="1:11" ht="14.45" customHeight="1" outlineLevel="1" x14ac:dyDescent="0.25">
      <c r="B21" s="105" t="s">
        <v>51</v>
      </c>
      <c r="C21" s="106" t="s">
        <v>52</v>
      </c>
      <c r="D21" s="107" t="s">
        <v>53</v>
      </c>
      <c r="E21" s="108">
        <v>0</v>
      </c>
      <c r="F21" s="108">
        <f>ROUND(E21,0)</f>
        <v>0</v>
      </c>
      <c r="G21" s="108">
        <f t="shared" si="3"/>
        <v>0</v>
      </c>
      <c r="H21" s="17"/>
      <c r="I21" s="108">
        <f>ROUND(F21,0)</f>
        <v>0</v>
      </c>
      <c r="J21" s="108">
        <f t="shared" si="4"/>
        <v>0</v>
      </c>
      <c r="K21" s="17"/>
    </row>
    <row r="22" spans="1:11" ht="19.899999999999999" customHeight="1" x14ac:dyDescent="0.25">
      <c r="B22" s="105" t="s">
        <v>54</v>
      </c>
      <c r="C22" s="106" t="s">
        <v>52</v>
      </c>
      <c r="D22" s="107" t="s">
        <v>55</v>
      </c>
      <c r="E22" s="108">
        <v>70000</v>
      </c>
      <c r="F22" s="108">
        <f>ROUND(E22,0)</f>
        <v>70000</v>
      </c>
      <c r="G22" s="108">
        <f t="shared" si="3"/>
        <v>0</v>
      </c>
      <c r="H22" s="18"/>
      <c r="I22" s="108">
        <f>ROUND(F22,0)</f>
        <v>70000</v>
      </c>
      <c r="J22" s="108">
        <f t="shared" si="4"/>
        <v>0</v>
      </c>
      <c r="K22" s="18"/>
    </row>
    <row r="23" spans="1:11" ht="15.75" customHeight="1" x14ac:dyDescent="0.25">
      <c r="B23" s="93" t="s">
        <v>56</v>
      </c>
      <c r="C23" s="110" t="s">
        <v>57</v>
      </c>
      <c r="D23" s="111" t="s">
        <v>58</v>
      </c>
      <c r="E23" s="112">
        <v>160000</v>
      </c>
      <c r="F23" s="112">
        <f t="shared" ref="F23" si="10">F24+F28</f>
        <v>160000</v>
      </c>
      <c r="G23" s="112">
        <f t="shared" si="3"/>
        <v>0</v>
      </c>
      <c r="H23" s="15"/>
      <c r="I23" s="112">
        <f t="shared" ref="I23" si="11">I24+I28</f>
        <v>160000</v>
      </c>
      <c r="J23" s="112">
        <f t="shared" si="4"/>
        <v>0</v>
      </c>
      <c r="K23" s="15"/>
    </row>
    <row r="24" spans="1:11" x14ac:dyDescent="0.25">
      <c r="A24" s="93" t="s">
        <v>17</v>
      </c>
      <c r="B24" s="93" t="s">
        <v>59</v>
      </c>
      <c r="C24" s="106" t="s">
        <v>60</v>
      </c>
      <c r="D24" s="107" t="s">
        <v>61</v>
      </c>
      <c r="E24" s="108">
        <v>6700</v>
      </c>
      <c r="F24" s="108">
        <f>F25+F26+F27</f>
        <v>6700</v>
      </c>
      <c r="G24" s="108">
        <f t="shared" si="3"/>
        <v>0</v>
      </c>
      <c r="H24" s="16"/>
      <c r="I24" s="108">
        <f>I25+I26+I27</f>
        <v>6700</v>
      </c>
      <c r="J24" s="108">
        <f t="shared" si="4"/>
        <v>0</v>
      </c>
      <c r="K24" s="16"/>
    </row>
    <row r="25" spans="1:11" ht="26.25" x14ac:dyDescent="0.25">
      <c r="B25" s="105" t="s">
        <v>62</v>
      </c>
      <c r="C25" s="114" t="s">
        <v>63</v>
      </c>
      <c r="D25" s="115" t="s">
        <v>64</v>
      </c>
      <c r="E25" s="108">
        <v>1700</v>
      </c>
      <c r="F25" s="108">
        <f>ROUND(E25,0)</f>
        <v>1700</v>
      </c>
      <c r="G25" s="108">
        <f t="shared" si="3"/>
        <v>0</v>
      </c>
      <c r="H25" s="16"/>
      <c r="I25" s="108">
        <f>ROUND(F25,0)</f>
        <v>1700</v>
      </c>
      <c r="J25" s="108">
        <f t="shared" si="4"/>
        <v>0</v>
      </c>
      <c r="K25" s="16"/>
    </row>
    <row r="26" spans="1:11" ht="26.25" x14ac:dyDescent="0.25">
      <c r="B26" s="105" t="s">
        <v>65</v>
      </c>
      <c r="C26" s="114" t="s">
        <v>66</v>
      </c>
      <c r="D26" s="115" t="s">
        <v>67</v>
      </c>
      <c r="E26" s="108">
        <v>4500</v>
      </c>
      <c r="F26" s="108">
        <f>ROUND(E26,0)</f>
        <v>4500</v>
      </c>
      <c r="G26" s="108">
        <f t="shared" si="3"/>
        <v>0</v>
      </c>
      <c r="H26" s="16"/>
      <c r="I26" s="108">
        <f>ROUND(F26,0)</f>
        <v>4500</v>
      </c>
      <c r="J26" s="108">
        <f t="shared" si="4"/>
        <v>0</v>
      </c>
      <c r="K26" s="16"/>
    </row>
    <row r="27" spans="1:11" ht="26.25" x14ac:dyDescent="0.25">
      <c r="B27" s="105" t="s">
        <v>68</v>
      </c>
      <c r="C27" s="114" t="s">
        <v>69</v>
      </c>
      <c r="D27" s="115" t="s">
        <v>70</v>
      </c>
      <c r="E27" s="108">
        <v>500</v>
      </c>
      <c r="F27" s="108">
        <f>ROUND(E27,0)</f>
        <v>500</v>
      </c>
      <c r="G27" s="108">
        <f t="shared" si="3"/>
        <v>0</v>
      </c>
      <c r="H27" s="16"/>
      <c r="I27" s="108">
        <f>ROUND(F27,0)</f>
        <v>500</v>
      </c>
      <c r="J27" s="108">
        <f t="shared" si="4"/>
        <v>0</v>
      </c>
      <c r="K27" s="16"/>
    </row>
    <row r="28" spans="1:11" x14ac:dyDescent="0.25">
      <c r="A28" s="93" t="s">
        <v>17</v>
      </c>
      <c r="B28" s="93" t="s">
        <v>71</v>
      </c>
      <c r="C28" s="106" t="s">
        <v>72</v>
      </c>
      <c r="D28" s="107" t="s">
        <v>73</v>
      </c>
      <c r="E28" s="108">
        <v>153300</v>
      </c>
      <c r="F28" s="108">
        <f>SUM(F29:F35)</f>
        <v>153300</v>
      </c>
      <c r="G28" s="108">
        <f t="shared" si="3"/>
        <v>0</v>
      </c>
      <c r="H28" s="16"/>
      <c r="I28" s="108">
        <f>SUM(I29:I35)</f>
        <v>153300</v>
      </c>
      <c r="J28" s="108">
        <f t="shared" si="4"/>
        <v>0</v>
      </c>
      <c r="K28" s="16"/>
    </row>
    <row r="29" spans="1:11" ht="26.25" x14ac:dyDescent="0.25">
      <c r="B29" s="105" t="s">
        <v>74</v>
      </c>
      <c r="C29" s="114" t="s">
        <v>75</v>
      </c>
      <c r="D29" s="115" t="s">
        <v>76</v>
      </c>
      <c r="E29" s="108">
        <v>350</v>
      </c>
      <c r="F29" s="108">
        <f t="shared" ref="F29:F35" si="12">ROUND(E29,0)</f>
        <v>350</v>
      </c>
      <c r="G29" s="108">
        <f t="shared" si="3"/>
        <v>0</v>
      </c>
      <c r="H29" s="16"/>
      <c r="I29" s="108">
        <f t="shared" ref="I29:I35" si="13">ROUND(F29,0)</f>
        <v>350</v>
      </c>
      <c r="J29" s="108">
        <f t="shared" si="4"/>
        <v>0</v>
      </c>
      <c r="K29" s="16"/>
    </row>
    <row r="30" spans="1:11" ht="26.25" x14ac:dyDescent="0.25">
      <c r="B30" s="116" t="s">
        <v>77</v>
      </c>
      <c r="C30" s="114" t="s">
        <v>78</v>
      </c>
      <c r="D30" s="115" t="s">
        <v>79</v>
      </c>
      <c r="E30" s="108">
        <v>1100</v>
      </c>
      <c r="F30" s="108">
        <f t="shared" si="12"/>
        <v>1100</v>
      </c>
      <c r="G30" s="108">
        <f t="shared" si="3"/>
        <v>0</v>
      </c>
      <c r="H30" s="16"/>
      <c r="I30" s="108">
        <f t="shared" si="13"/>
        <v>1100</v>
      </c>
      <c r="J30" s="108">
        <f t="shared" si="4"/>
        <v>0</v>
      </c>
      <c r="K30" s="16"/>
    </row>
    <row r="31" spans="1:11" x14ac:dyDescent="0.25">
      <c r="B31" s="105" t="s">
        <v>80</v>
      </c>
      <c r="C31" s="114" t="s">
        <v>81</v>
      </c>
      <c r="D31" s="115" t="s">
        <v>82</v>
      </c>
      <c r="E31" s="108">
        <v>27000</v>
      </c>
      <c r="F31" s="108">
        <f t="shared" si="12"/>
        <v>27000</v>
      </c>
      <c r="G31" s="108">
        <f t="shared" si="3"/>
        <v>0</v>
      </c>
      <c r="H31" s="16"/>
      <c r="I31" s="108">
        <f t="shared" si="13"/>
        <v>27000</v>
      </c>
      <c r="J31" s="108">
        <f t="shared" si="4"/>
        <v>0</v>
      </c>
      <c r="K31" s="16"/>
    </row>
    <row r="32" spans="1:11" x14ac:dyDescent="0.25">
      <c r="B32" s="105" t="s">
        <v>83</v>
      </c>
      <c r="C32" s="114" t="s">
        <v>84</v>
      </c>
      <c r="D32" s="115" t="s">
        <v>85</v>
      </c>
      <c r="E32" s="108">
        <v>0</v>
      </c>
      <c r="F32" s="108">
        <f t="shared" si="12"/>
        <v>0</v>
      </c>
      <c r="G32" s="108">
        <f t="shared" si="3"/>
        <v>0</v>
      </c>
      <c r="H32" s="16"/>
      <c r="I32" s="108">
        <f t="shared" si="13"/>
        <v>0</v>
      </c>
      <c r="J32" s="108">
        <f t="shared" si="4"/>
        <v>0</v>
      </c>
      <c r="K32" s="16"/>
    </row>
    <row r="33" spans="1:11" ht="26.25" x14ac:dyDescent="0.25">
      <c r="B33" s="105" t="s">
        <v>86</v>
      </c>
      <c r="C33" s="114" t="s">
        <v>87</v>
      </c>
      <c r="D33" s="115" t="s">
        <v>88</v>
      </c>
      <c r="E33" s="108">
        <v>11500</v>
      </c>
      <c r="F33" s="108">
        <f t="shared" si="12"/>
        <v>11500</v>
      </c>
      <c r="G33" s="108">
        <f t="shared" si="3"/>
        <v>0</v>
      </c>
      <c r="H33" s="16"/>
      <c r="I33" s="108">
        <f t="shared" si="13"/>
        <v>11500</v>
      </c>
      <c r="J33" s="108">
        <f t="shared" si="4"/>
        <v>0</v>
      </c>
      <c r="K33" s="16"/>
    </row>
    <row r="34" spans="1:11" x14ac:dyDescent="0.25">
      <c r="B34" s="105" t="s">
        <v>89</v>
      </c>
      <c r="C34" s="114" t="s">
        <v>90</v>
      </c>
      <c r="D34" s="115" t="s">
        <v>91</v>
      </c>
      <c r="E34" s="108">
        <v>106350</v>
      </c>
      <c r="F34" s="108">
        <f t="shared" si="12"/>
        <v>106350</v>
      </c>
      <c r="G34" s="108">
        <f t="shared" si="3"/>
        <v>0</v>
      </c>
      <c r="H34" s="16"/>
      <c r="I34" s="108">
        <f t="shared" si="13"/>
        <v>106350</v>
      </c>
      <c r="J34" s="108">
        <f t="shared" si="4"/>
        <v>0</v>
      </c>
      <c r="K34" s="16"/>
    </row>
    <row r="35" spans="1:11" x14ac:dyDescent="0.25">
      <c r="B35" s="105" t="s">
        <v>92</v>
      </c>
      <c r="C35" s="114" t="s">
        <v>93</v>
      </c>
      <c r="D35" s="115" t="s">
        <v>94</v>
      </c>
      <c r="E35" s="108">
        <v>7000</v>
      </c>
      <c r="F35" s="108">
        <f t="shared" si="12"/>
        <v>7000</v>
      </c>
      <c r="G35" s="108">
        <f t="shared" si="3"/>
        <v>0</v>
      </c>
      <c r="H35" s="16"/>
      <c r="I35" s="108">
        <f t="shared" si="13"/>
        <v>7000</v>
      </c>
      <c r="J35" s="108">
        <f t="shared" si="4"/>
        <v>0</v>
      </c>
      <c r="K35" s="16"/>
    </row>
    <row r="36" spans="1:11" ht="18" customHeight="1" x14ac:dyDescent="0.25">
      <c r="B36" s="93" t="s">
        <v>95</v>
      </c>
      <c r="C36" s="110" t="s">
        <v>96</v>
      </c>
      <c r="D36" s="111" t="s">
        <v>97</v>
      </c>
      <c r="E36" s="112">
        <v>65000</v>
      </c>
      <c r="F36" s="112">
        <f>F37+F38</f>
        <v>65000</v>
      </c>
      <c r="G36" s="112">
        <f t="shared" si="3"/>
        <v>0</v>
      </c>
      <c r="H36" s="19"/>
      <c r="I36" s="112">
        <f>I37+I38</f>
        <v>65000</v>
      </c>
      <c r="J36" s="112">
        <f t="shared" si="4"/>
        <v>0</v>
      </c>
      <c r="K36" s="19"/>
    </row>
    <row r="37" spans="1:11" ht="16.5" customHeight="1" x14ac:dyDescent="0.25">
      <c r="B37" s="113" t="s">
        <v>98</v>
      </c>
      <c r="C37" s="106" t="s">
        <v>99</v>
      </c>
      <c r="D37" s="107" t="s">
        <v>97</v>
      </c>
      <c r="E37" s="108">
        <v>31000</v>
      </c>
      <c r="F37" s="108">
        <f>ROUND(E37,0)</f>
        <v>31000</v>
      </c>
      <c r="G37" s="108">
        <f t="shared" si="3"/>
        <v>0</v>
      </c>
      <c r="H37" s="14"/>
      <c r="I37" s="108">
        <f>ROUND(F37,0)</f>
        <v>31000</v>
      </c>
      <c r="J37" s="108">
        <f t="shared" si="4"/>
        <v>0</v>
      </c>
      <c r="K37" s="14"/>
    </row>
    <row r="38" spans="1:11" ht="30" x14ac:dyDescent="0.25">
      <c r="B38" s="113" t="s">
        <v>100</v>
      </c>
      <c r="C38" s="106" t="s">
        <v>101</v>
      </c>
      <c r="D38" s="107" t="s">
        <v>102</v>
      </c>
      <c r="E38" s="108">
        <v>34000</v>
      </c>
      <c r="F38" s="108">
        <f>ROUND(E38,0)</f>
        <v>34000</v>
      </c>
      <c r="G38" s="108">
        <f t="shared" si="3"/>
        <v>0</v>
      </c>
      <c r="H38" s="14"/>
      <c r="I38" s="108">
        <f>ROUND(F38,0)</f>
        <v>34000</v>
      </c>
      <c r="J38" s="108">
        <f t="shared" si="4"/>
        <v>0</v>
      </c>
      <c r="K38" s="14"/>
    </row>
    <row r="39" spans="1:11" x14ac:dyDescent="0.25">
      <c r="B39" s="93" t="s">
        <v>103</v>
      </c>
      <c r="C39" s="110" t="s">
        <v>104</v>
      </c>
      <c r="D39" s="111" t="s">
        <v>105</v>
      </c>
      <c r="E39" s="112">
        <v>22453</v>
      </c>
      <c r="F39" s="112">
        <f>F40+F41+F42</f>
        <v>33317</v>
      </c>
      <c r="G39" s="112">
        <f t="shared" si="3"/>
        <v>10864</v>
      </c>
      <c r="H39" s="15"/>
      <c r="I39" s="112">
        <f>I40+I41+I42</f>
        <v>176317</v>
      </c>
      <c r="J39" s="112">
        <f t="shared" si="4"/>
        <v>143000</v>
      </c>
      <c r="K39" s="15"/>
    </row>
    <row r="40" spans="1:11" ht="16.899999999999999" customHeight="1" x14ac:dyDescent="0.25">
      <c r="A40" s="93" t="s">
        <v>17</v>
      </c>
      <c r="B40" s="95" t="s">
        <v>106</v>
      </c>
      <c r="C40" s="106" t="s">
        <v>107</v>
      </c>
      <c r="D40" s="117" t="s">
        <v>108</v>
      </c>
      <c r="E40" s="108">
        <v>16000</v>
      </c>
      <c r="F40" s="108">
        <f>ROUND(E40,0)+10864</f>
        <v>26864</v>
      </c>
      <c r="G40" s="108">
        <f t="shared" si="3"/>
        <v>10864</v>
      </c>
      <c r="H40" s="20" t="s">
        <v>109</v>
      </c>
      <c r="I40" s="108">
        <f>ROUND(F40,0)+143000</f>
        <v>169864</v>
      </c>
      <c r="J40" s="109">
        <f t="shared" si="4"/>
        <v>143000</v>
      </c>
      <c r="K40" s="118" t="s">
        <v>682</v>
      </c>
    </row>
    <row r="41" spans="1:11" ht="30" x14ac:dyDescent="0.25">
      <c r="B41" s="93" t="s">
        <v>110</v>
      </c>
      <c r="C41" s="106" t="s">
        <v>111</v>
      </c>
      <c r="D41" s="107" t="s">
        <v>112</v>
      </c>
      <c r="E41" s="108">
        <v>500</v>
      </c>
      <c r="F41" s="108">
        <f>ROUND(E41,0)</f>
        <v>500</v>
      </c>
      <c r="G41" s="108">
        <f t="shared" si="3"/>
        <v>0</v>
      </c>
      <c r="H41" s="20"/>
      <c r="I41" s="108">
        <f>ROUND(F41,0)</f>
        <v>500</v>
      </c>
      <c r="J41" s="108">
        <f t="shared" si="4"/>
        <v>0</v>
      </c>
      <c r="K41" s="20"/>
    </row>
    <row r="42" spans="1:11" x14ac:dyDescent="0.25">
      <c r="C42" s="106" t="s">
        <v>113</v>
      </c>
      <c r="D42" s="107" t="s">
        <v>114</v>
      </c>
      <c r="E42" s="108">
        <v>5953</v>
      </c>
      <c r="F42" s="108">
        <f>ROUND(E42,0)</f>
        <v>5953</v>
      </c>
      <c r="G42" s="108">
        <f t="shared" si="3"/>
        <v>0</v>
      </c>
      <c r="H42" s="14"/>
      <c r="I42" s="108">
        <f>ROUND(F42,0)</f>
        <v>5953</v>
      </c>
      <c r="J42" s="108">
        <f t="shared" si="4"/>
        <v>0</v>
      </c>
      <c r="K42" s="14"/>
    </row>
    <row r="43" spans="1:11" ht="32.450000000000003" customHeight="1" x14ac:dyDescent="0.25">
      <c r="B43" s="93" t="s">
        <v>115</v>
      </c>
      <c r="C43" s="119" t="s">
        <v>116</v>
      </c>
      <c r="D43" s="111" t="s">
        <v>117</v>
      </c>
      <c r="E43" s="112">
        <v>433856</v>
      </c>
      <c r="F43" s="112">
        <f>ROUND(E43,0)</f>
        <v>433856</v>
      </c>
      <c r="G43" s="112">
        <f t="shared" si="3"/>
        <v>0</v>
      </c>
      <c r="H43" s="19"/>
      <c r="I43" s="112">
        <f>ROUND(F43,0)</f>
        <v>433856</v>
      </c>
      <c r="J43" s="112">
        <f t="shared" si="4"/>
        <v>0</v>
      </c>
      <c r="K43" s="19"/>
    </row>
    <row r="44" spans="1:11" x14ac:dyDescent="0.25">
      <c r="C44" s="119" t="s">
        <v>118</v>
      </c>
      <c r="D44" s="111" t="s">
        <v>119</v>
      </c>
      <c r="E44" s="112">
        <v>9528140.4900000002</v>
      </c>
      <c r="F44" s="112">
        <f t="shared" ref="F44" si="14">F45+F67+F88</f>
        <v>9575632</v>
      </c>
      <c r="G44" s="112">
        <f t="shared" si="3"/>
        <v>47491.509999999776</v>
      </c>
      <c r="H44" s="112"/>
      <c r="I44" s="112">
        <f t="shared" ref="I44" si="15">I45+I67+I88</f>
        <v>9633217</v>
      </c>
      <c r="J44" s="112">
        <f t="shared" si="4"/>
        <v>57585</v>
      </c>
      <c r="K44" s="112"/>
    </row>
    <row r="45" spans="1:11" ht="17.45" customHeight="1" x14ac:dyDescent="0.25">
      <c r="B45" s="105"/>
      <c r="C45" s="120" t="s">
        <v>120</v>
      </c>
      <c r="D45" s="121" t="s">
        <v>121</v>
      </c>
      <c r="E45" s="108">
        <v>7875899</v>
      </c>
      <c r="F45" s="108">
        <f t="shared" ref="F45" si="16">SUM(F46:F49)+F52+SUM(F56:F66)</f>
        <v>7923391</v>
      </c>
      <c r="G45" s="108">
        <f t="shared" si="3"/>
        <v>47492</v>
      </c>
      <c r="H45" s="108"/>
      <c r="I45" s="108">
        <f t="shared" ref="I45" si="17">SUM(I46:I49)+I52+SUM(I56:I66)</f>
        <v>7975976</v>
      </c>
      <c r="J45" s="108">
        <f t="shared" si="4"/>
        <v>52585</v>
      </c>
      <c r="K45" s="108"/>
    </row>
    <row r="46" spans="1:11" ht="16.899999999999999" customHeight="1" x14ac:dyDescent="0.25">
      <c r="A46" s="93" t="s">
        <v>122</v>
      </c>
      <c r="B46" s="93" t="s">
        <v>123</v>
      </c>
      <c r="C46" s="114" t="s">
        <v>124</v>
      </c>
      <c r="D46" s="107" t="s">
        <v>125</v>
      </c>
      <c r="E46" s="108">
        <v>593640</v>
      </c>
      <c r="F46" s="108">
        <f>ROUND(E46,0)+52289</f>
        <v>645929</v>
      </c>
      <c r="G46" s="108">
        <f t="shared" si="3"/>
        <v>52289</v>
      </c>
      <c r="H46" s="20" t="s">
        <v>126</v>
      </c>
      <c r="I46" s="108">
        <f>ROUND(F46,0)</f>
        <v>645929</v>
      </c>
      <c r="J46" s="108">
        <f t="shared" si="4"/>
        <v>0</v>
      </c>
      <c r="K46" s="20"/>
    </row>
    <row r="47" spans="1:11" ht="13.9" customHeight="1" x14ac:dyDescent="0.25">
      <c r="A47" s="93" t="s">
        <v>122</v>
      </c>
      <c r="B47" s="113" t="s">
        <v>127</v>
      </c>
      <c r="C47" s="114" t="s">
        <v>128</v>
      </c>
      <c r="D47" s="107" t="s">
        <v>129</v>
      </c>
      <c r="E47" s="108">
        <v>299288</v>
      </c>
      <c r="F47" s="108">
        <f>ROUND(E47,0)</f>
        <v>299288</v>
      </c>
      <c r="G47" s="108">
        <f t="shared" si="3"/>
        <v>0</v>
      </c>
      <c r="H47" s="14"/>
      <c r="I47" s="108">
        <f>ROUND(F47,0)</f>
        <v>299288</v>
      </c>
      <c r="J47" s="108">
        <f t="shared" si="4"/>
        <v>0</v>
      </c>
      <c r="K47" s="14"/>
    </row>
    <row r="48" spans="1:11" x14ac:dyDescent="0.25">
      <c r="B48" s="113" t="s">
        <v>130</v>
      </c>
      <c r="C48" s="114" t="s">
        <v>131</v>
      </c>
      <c r="D48" s="107" t="s">
        <v>132</v>
      </c>
      <c r="E48" s="108">
        <v>249276</v>
      </c>
      <c r="F48" s="108">
        <f>ROUND(E48,0)</f>
        <v>249276</v>
      </c>
      <c r="G48" s="108">
        <f t="shared" si="3"/>
        <v>0</v>
      </c>
      <c r="H48" s="20"/>
      <c r="I48" s="108">
        <f>ROUND(F48,0)</f>
        <v>249276</v>
      </c>
      <c r="J48" s="108">
        <f t="shared" si="4"/>
        <v>0</v>
      </c>
      <c r="K48" s="20"/>
    </row>
    <row r="49" spans="1:11" ht="14.25" customHeight="1" x14ac:dyDescent="0.25">
      <c r="A49" s="93" t="s">
        <v>122</v>
      </c>
      <c r="B49" s="113" t="s">
        <v>133</v>
      </c>
      <c r="C49" s="114" t="s">
        <v>134</v>
      </c>
      <c r="D49" s="107" t="s">
        <v>135</v>
      </c>
      <c r="E49" s="108">
        <v>0</v>
      </c>
      <c r="F49" s="108">
        <f t="shared" ref="F49" si="18">F50+F51</f>
        <v>0</v>
      </c>
      <c r="G49" s="108">
        <f t="shared" si="3"/>
        <v>0</v>
      </c>
      <c r="H49" s="108"/>
      <c r="I49" s="108">
        <f t="shared" ref="I49" si="19">I50+I51</f>
        <v>0</v>
      </c>
      <c r="J49" s="108">
        <f t="shared" si="4"/>
        <v>0</v>
      </c>
      <c r="K49" s="108"/>
    </row>
    <row r="50" spans="1:11" ht="14.25" customHeight="1" x14ac:dyDescent="0.25">
      <c r="B50" s="113"/>
      <c r="C50" s="114" t="s">
        <v>136</v>
      </c>
      <c r="D50" s="115" t="s">
        <v>137</v>
      </c>
      <c r="E50" s="108"/>
      <c r="F50" s="108"/>
      <c r="G50" s="108">
        <f t="shared" si="3"/>
        <v>0</v>
      </c>
      <c r="H50" s="20"/>
      <c r="I50" s="108"/>
      <c r="J50" s="108">
        <f t="shared" si="4"/>
        <v>0</v>
      </c>
      <c r="K50" s="20"/>
    </row>
    <row r="51" spans="1:11" ht="17.45" customHeight="1" x14ac:dyDescent="0.25">
      <c r="B51" s="113"/>
      <c r="C51" s="114" t="s">
        <v>138</v>
      </c>
      <c r="D51" s="115" t="s">
        <v>139</v>
      </c>
      <c r="E51" s="108"/>
      <c r="F51" s="108"/>
      <c r="G51" s="108">
        <f t="shared" si="3"/>
        <v>0</v>
      </c>
      <c r="H51" s="20"/>
      <c r="I51" s="108"/>
      <c r="J51" s="108">
        <f t="shared" si="4"/>
        <v>0</v>
      </c>
      <c r="K51" s="20"/>
    </row>
    <row r="52" spans="1:11" ht="13.9" customHeight="1" x14ac:dyDescent="0.25">
      <c r="B52" s="93" t="s">
        <v>140</v>
      </c>
      <c r="C52" s="114" t="s">
        <v>141</v>
      </c>
      <c r="D52" s="107" t="s">
        <v>142</v>
      </c>
      <c r="E52" s="123">
        <v>5320740</v>
      </c>
      <c r="F52" s="123">
        <f>F53+F54+F55</f>
        <v>5320740</v>
      </c>
      <c r="G52" s="123">
        <f t="shared" si="3"/>
        <v>0</v>
      </c>
      <c r="H52" s="124"/>
      <c r="I52" s="123">
        <f>I53+I54+I55</f>
        <v>5320740</v>
      </c>
      <c r="J52" s="123">
        <f t="shared" si="4"/>
        <v>0</v>
      </c>
      <c r="K52" s="124"/>
    </row>
    <row r="53" spans="1:11" s="126" customFormat="1" x14ac:dyDescent="0.25">
      <c r="A53" s="93" t="s">
        <v>122</v>
      </c>
      <c r="B53" s="113" t="s">
        <v>143</v>
      </c>
      <c r="C53" s="114" t="s">
        <v>144</v>
      </c>
      <c r="D53" s="115" t="s">
        <v>145</v>
      </c>
      <c r="E53" s="125">
        <v>723948</v>
      </c>
      <c r="F53" s="125">
        <f t="shared" ref="F53:F65" si="20">ROUND(E53,0)</f>
        <v>723948</v>
      </c>
      <c r="G53" s="125">
        <f t="shared" si="3"/>
        <v>0</v>
      </c>
      <c r="H53" s="21"/>
      <c r="I53" s="125">
        <f t="shared" ref="I53:I60" si="21">ROUND(F53,0)</f>
        <v>723948</v>
      </c>
      <c r="J53" s="125">
        <f t="shared" si="4"/>
        <v>0</v>
      </c>
      <c r="K53" s="21"/>
    </row>
    <row r="54" spans="1:11" s="126" customFormat="1" x14ac:dyDescent="0.25">
      <c r="A54" s="93" t="s">
        <v>122</v>
      </c>
      <c r="B54" s="113" t="s">
        <v>146</v>
      </c>
      <c r="C54" s="114" t="s">
        <v>147</v>
      </c>
      <c r="D54" s="115" t="s">
        <v>148</v>
      </c>
      <c r="E54" s="125">
        <v>4279428</v>
      </c>
      <c r="F54" s="125">
        <f>ROUND(E54,0)</f>
        <v>4279428</v>
      </c>
      <c r="G54" s="125">
        <f t="shared" si="3"/>
        <v>0</v>
      </c>
      <c r="H54" s="21"/>
      <c r="I54" s="125">
        <f t="shared" si="21"/>
        <v>4279428</v>
      </c>
      <c r="J54" s="125">
        <f t="shared" si="4"/>
        <v>0</v>
      </c>
      <c r="K54" s="21"/>
    </row>
    <row r="55" spans="1:11" s="126" customFormat="1" x14ac:dyDescent="0.25">
      <c r="A55" s="93" t="s">
        <v>122</v>
      </c>
      <c r="B55" s="93"/>
      <c r="C55" s="114" t="s">
        <v>149</v>
      </c>
      <c r="D55" s="115" t="s">
        <v>150</v>
      </c>
      <c r="E55" s="125">
        <v>317364</v>
      </c>
      <c r="F55" s="125">
        <f t="shared" si="20"/>
        <v>317364</v>
      </c>
      <c r="G55" s="127">
        <f t="shared" si="3"/>
        <v>0</v>
      </c>
      <c r="H55" s="22"/>
      <c r="I55" s="125">
        <f t="shared" si="21"/>
        <v>317364</v>
      </c>
      <c r="J55" s="127">
        <f t="shared" si="4"/>
        <v>0</v>
      </c>
      <c r="K55" s="22"/>
    </row>
    <row r="56" spans="1:11" ht="31.5" customHeight="1" x14ac:dyDescent="0.25">
      <c r="A56" s="93" t="s">
        <v>122</v>
      </c>
      <c r="B56" s="93" t="s">
        <v>151</v>
      </c>
      <c r="C56" s="114" t="s">
        <v>152</v>
      </c>
      <c r="D56" s="107" t="s">
        <v>153</v>
      </c>
      <c r="E56" s="108">
        <v>13088</v>
      </c>
      <c r="F56" s="108">
        <f t="shared" si="20"/>
        <v>13088</v>
      </c>
      <c r="G56" s="108">
        <f t="shared" si="3"/>
        <v>0</v>
      </c>
      <c r="H56" s="16"/>
      <c r="I56" s="108">
        <f t="shared" si="21"/>
        <v>13088</v>
      </c>
      <c r="J56" s="108">
        <f t="shared" si="4"/>
        <v>0</v>
      </c>
      <c r="K56" s="16"/>
    </row>
    <row r="57" spans="1:11" ht="19.149999999999999" customHeight="1" x14ac:dyDescent="0.25">
      <c r="A57" s="93" t="s">
        <v>122</v>
      </c>
      <c r="B57" s="113" t="s">
        <v>154</v>
      </c>
      <c r="C57" s="114" t="s">
        <v>155</v>
      </c>
      <c r="D57" s="107" t="s">
        <v>156</v>
      </c>
      <c r="E57" s="108">
        <v>16104</v>
      </c>
      <c r="F57" s="108">
        <f>ROUND(E57,0)-2011</f>
        <v>14093</v>
      </c>
      <c r="G57" s="108">
        <f t="shared" si="3"/>
        <v>-2011</v>
      </c>
      <c r="H57" s="14" t="s">
        <v>157</v>
      </c>
      <c r="I57" s="108">
        <f t="shared" si="21"/>
        <v>14093</v>
      </c>
      <c r="J57" s="108">
        <f t="shared" si="4"/>
        <v>0</v>
      </c>
      <c r="K57" s="14"/>
    </row>
    <row r="58" spans="1:11" ht="19.149999999999999" customHeight="1" x14ac:dyDescent="0.25">
      <c r="B58" s="113"/>
      <c r="C58" s="114" t="s">
        <v>158</v>
      </c>
      <c r="D58" s="107" t="s">
        <v>159</v>
      </c>
      <c r="E58" s="108">
        <v>6454</v>
      </c>
      <c r="F58" s="108">
        <f>ROUND(E58,0)-2786</f>
        <v>3668</v>
      </c>
      <c r="G58" s="108">
        <f t="shared" si="3"/>
        <v>-2786</v>
      </c>
      <c r="H58" s="14" t="s">
        <v>157</v>
      </c>
      <c r="I58" s="108">
        <f t="shared" si="21"/>
        <v>3668</v>
      </c>
      <c r="J58" s="108">
        <f t="shared" si="4"/>
        <v>0</v>
      </c>
      <c r="K58" s="14"/>
    </row>
    <row r="59" spans="1:11" ht="18.600000000000001" customHeight="1" x14ac:dyDescent="0.25">
      <c r="B59" s="93" t="s">
        <v>160</v>
      </c>
      <c r="C59" s="114" t="s">
        <v>161</v>
      </c>
      <c r="D59" s="107" t="s">
        <v>162</v>
      </c>
      <c r="E59" s="108">
        <v>421092</v>
      </c>
      <c r="F59" s="108">
        <f t="shared" si="20"/>
        <v>421092</v>
      </c>
      <c r="G59" s="108">
        <f t="shared" si="3"/>
        <v>0</v>
      </c>
      <c r="H59" s="20"/>
      <c r="I59" s="108">
        <f t="shared" si="21"/>
        <v>421092</v>
      </c>
      <c r="J59" s="108">
        <f t="shared" si="4"/>
        <v>0</v>
      </c>
      <c r="K59" s="20"/>
    </row>
    <row r="60" spans="1:11" ht="31.5" customHeight="1" x14ac:dyDescent="0.25">
      <c r="C60" s="114" t="s">
        <v>163</v>
      </c>
      <c r="D60" s="107" t="s">
        <v>164</v>
      </c>
      <c r="E60" s="108">
        <v>25954</v>
      </c>
      <c r="F60" s="108">
        <f t="shared" si="20"/>
        <v>25954</v>
      </c>
      <c r="G60" s="108">
        <f t="shared" si="3"/>
        <v>0</v>
      </c>
      <c r="H60" s="14"/>
      <c r="I60" s="108">
        <f t="shared" si="21"/>
        <v>25954</v>
      </c>
      <c r="J60" s="108">
        <f t="shared" si="4"/>
        <v>0</v>
      </c>
      <c r="K60" s="14"/>
    </row>
    <row r="61" spans="1:11" ht="31.5" hidden="1" customHeight="1" outlineLevel="1" x14ac:dyDescent="0.25">
      <c r="C61" s="114"/>
      <c r="D61" s="107" t="s">
        <v>165</v>
      </c>
      <c r="E61" s="108"/>
      <c r="F61" s="108"/>
      <c r="G61" s="108"/>
      <c r="H61" s="14"/>
      <c r="I61" s="108"/>
      <c r="J61" s="108">
        <f t="shared" si="4"/>
        <v>0</v>
      </c>
      <c r="K61" s="14"/>
    </row>
    <row r="62" spans="1:11" ht="16.5" customHeight="1" collapsed="1" x14ac:dyDescent="0.25">
      <c r="B62" s="128" t="s">
        <v>166</v>
      </c>
      <c r="C62" s="114" t="s">
        <v>167</v>
      </c>
      <c r="D62" s="129" t="s">
        <v>168</v>
      </c>
      <c r="E62" s="108">
        <v>342263</v>
      </c>
      <c r="F62" s="108">
        <f t="shared" si="20"/>
        <v>342263</v>
      </c>
      <c r="G62" s="108">
        <f t="shared" si="3"/>
        <v>0</v>
      </c>
      <c r="H62" s="14"/>
      <c r="I62" s="108">
        <f>ROUND(F62,0)+32585</f>
        <v>374848</v>
      </c>
      <c r="J62" s="108">
        <f t="shared" si="4"/>
        <v>32585</v>
      </c>
      <c r="K62" s="14" t="s">
        <v>169</v>
      </c>
    </row>
    <row r="63" spans="1:11" ht="58.9" customHeight="1" x14ac:dyDescent="0.25">
      <c r="C63" s="114"/>
      <c r="D63" s="107" t="s">
        <v>170</v>
      </c>
      <c r="E63" s="108">
        <v>0</v>
      </c>
      <c r="F63" s="108">
        <f t="shared" si="20"/>
        <v>0</v>
      </c>
      <c r="G63" s="108">
        <f t="shared" si="3"/>
        <v>0</v>
      </c>
      <c r="H63" s="20"/>
      <c r="I63" s="108">
        <f>ROUND(F63,0)</f>
        <v>0</v>
      </c>
      <c r="J63" s="108">
        <f t="shared" si="4"/>
        <v>0</v>
      </c>
      <c r="K63" s="20"/>
    </row>
    <row r="64" spans="1:11" ht="15.6" customHeight="1" x14ac:dyDescent="0.25">
      <c r="C64" s="114" t="s">
        <v>171</v>
      </c>
      <c r="D64" s="107" t="s">
        <v>172</v>
      </c>
      <c r="E64" s="108">
        <v>50000</v>
      </c>
      <c r="F64" s="108">
        <f t="shared" si="20"/>
        <v>50000</v>
      </c>
      <c r="G64" s="108">
        <f t="shared" si="3"/>
        <v>0</v>
      </c>
      <c r="H64" s="20"/>
      <c r="I64" s="108">
        <f>ROUND(F64,0)+20000</f>
        <v>70000</v>
      </c>
      <c r="J64" s="108">
        <f t="shared" si="4"/>
        <v>20000</v>
      </c>
      <c r="K64" s="20" t="s">
        <v>173</v>
      </c>
    </row>
    <row r="65" spans="1:11" ht="15.6" customHeight="1" x14ac:dyDescent="0.25">
      <c r="C65" s="114" t="s">
        <v>174</v>
      </c>
      <c r="D65" s="107" t="s">
        <v>175</v>
      </c>
      <c r="E65" s="108">
        <v>400000</v>
      </c>
      <c r="F65" s="108">
        <f t="shared" si="20"/>
        <v>400000</v>
      </c>
      <c r="G65" s="108">
        <f t="shared" si="3"/>
        <v>0</v>
      </c>
      <c r="H65" s="20"/>
      <c r="I65" s="108">
        <f>ROUND(F65,0)</f>
        <v>400000</v>
      </c>
      <c r="J65" s="108">
        <f t="shared" si="4"/>
        <v>0</v>
      </c>
      <c r="K65" s="20"/>
    </row>
    <row r="66" spans="1:11" ht="15.6" customHeight="1" x14ac:dyDescent="0.25">
      <c r="A66" s="128" t="s">
        <v>176</v>
      </c>
      <c r="B66" s="93" t="s">
        <v>177</v>
      </c>
      <c r="C66" s="114" t="s">
        <v>178</v>
      </c>
      <c r="D66" s="107" t="s">
        <v>179</v>
      </c>
      <c r="E66" s="108">
        <v>138000</v>
      </c>
      <c r="F66" s="108">
        <f>ROUND(E66,0)</f>
        <v>138000</v>
      </c>
      <c r="G66" s="108">
        <f t="shared" si="3"/>
        <v>0</v>
      </c>
      <c r="H66" s="20"/>
      <c r="I66" s="108">
        <f>ROUND(F66,0)</f>
        <v>138000</v>
      </c>
      <c r="J66" s="108">
        <f t="shared" si="4"/>
        <v>0</v>
      </c>
      <c r="K66" s="20"/>
    </row>
    <row r="67" spans="1:11" ht="32.25" customHeight="1" x14ac:dyDescent="0.25">
      <c r="C67" s="120" t="s">
        <v>180</v>
      </c>
      <c r="D67" s="121" t="s">
        <v>181</v>
      </c>
      <c r="E67" s="122">
        <v>1652241.49</v>
      </c>
      <c r="F67" s="122">
        <f>SUM(F68:F87)</f>
        <v>1652241</v>
      </c>
      <c r="G67" s="122">
        <f t="shared" si="3"/>
        <v>-0.48999999999068677</v>
      </c>
      <c r="H67" s="23"/>
      <c r="I67" s="122">
        <f>SUM(I68:I87)</f>
        <v>1657241</v>
      </c>
      <c r="J67" s="122">
        <f t="shared" si="4"/>
        <v>5000</v>
      </c>
      <c r="K67" s="23"/>
    </row>
    <row r="68" spans="1:11" x14ac:dyDescent="0.25">
      <c r="A68" s="93" t="s">
        <v>122</v>
      </c>
      <c r="B68" s="113" t="s">
        <v>182</v>
      </c>
      <c r="C68" s="114" t="s">
        <v>183</v>
      </c>
      <c r="D68" s="131" t="s">
        <v>184</v>
      </c>
      <c r="E68" s="108">
        <v>7417</v>
      </c>
      <c r="F68" s="108">
        <f t="shared" ref="F68:F88" si="22">ROUND(E68,0)</f>
        <v>7417</v>
      </c>
      <c r="G68" s="108">
        <f t="shared" si="3"/>
        <v>0</v>
      </c>
      <c r="H68" s="24"/>
      <c r="I68" s="108">
        <f t="shared" ref="I68:I81" si="23">ROUND(F68,0)</f>
        <v>7417</v>
      </c>
      <c r="J68" s="108">
        <f t="shared" si="4"/>
        <v>0</v>
      </c>
      <c r="K68" s="24"/>
    </row>
    <row r="69" spans="1:11" x14ac:dyDescent="0.25">
      <c r="A69" s="93" t="s">
        <v>185</v>
      </c>
      <c r="B69" s="93" t="s">
        <v>186</v>
      </c>
      <c r="C69" s="114" t="s">
        <v>187</v>
      </c>
      <c r="D69" s="131" t="s">
        <v>188</v>
      </c>
      <c r="E69" s="108">
        <v>109839.1</v>
      </c>
      <c r="F69" s="108">
        <f t="shared" si="22"/>
        <v>109839</v>
      </c>
      <c r="G69" s="108">
        <f t="shared" si="3"/>
        <v>-0.10000000000582077</v>
      </c>
      <c r="H69" s="17"/>
      <c r="I69" s="108">
        <f t="shared" si="23"/>
        <v>109839</v>
      </c>
      <c r="J69" s="108">
        <f t="shared" si="4"/>
        <v>0</v>
      </c>
      <c r="K69" s="17"/>
    </row>
    <row r="70" spans="1:11" ht="30" hidden="1" outlineLevel="1" x14ac:dyDescent="0.25">
      <c r="C70" s="114" t="s">
        <v>189</v>
      </c>
      <c r="D70" s="131" t="s">
        <v>190</v>
      </c>
      <c r="E70" s="108">
        <v>0</v>
      </c>
      <c r="F70" s="108">
        <f t="shared" si="22"/>
        <v>0</v>
      </c>
      <c r="G70" s="108">
        <f t="shared" si="3"/>
        <v>0</v>
      </c>
      <c r="H70" s="20"/>
      <c r="I70" s="108">
        <f t="shared" si="23"/>
        <v>0</v>
      </c>
      <c r="J70" s="108">
        <f t="shared" si="4"/>
        <v>0</v>
      </c>
      <c r="K70" s="20"/>
    </row>
    <row r="71" spans="1:11" ht="45" hidden="1" outlineLevel="1" x14ac:dyDescent="0.25">
      <c r="B71" s="132" t="s">
        <v>191</v>
      </c>
      <c r="C71" s="114" t="s">
        <v>192</v>
      </c>
      <c r="D71" s="131" t="s">
        <v>193</v>
      </c>
      <c r="E71" s="108">
        <v>0</v>
      </c>
      <c r="F71" s="108">
        <f t="shared" si="22"/>
        <v>0</v>
      </c>
      <c r="G71" s="108">
        <f t="shared" si="3"/>
        <v>0</v>
      </c>
      <c r="H71" s="17"/>
      <c r="I71" s="108">
        <f t="shared" si="23"/>
        <v>0</v>
      </c>
      <c r="J71" s="108">
        <f t="shared" si="4"/>
        <v>0</v>
      </c>
      <c r="K71" s="17"/>
    </row>
    <row r="72" spans="1:11" ht="30" hidden="1" outlineLevel="1" x14ac:dyDescent="0.25">
      <c r="B72" s="93" t="s">
        <v>194</v>
      </c>
      <c r="C72" s="114" t="s">
        <v>195</v>
      </c>
      <c r="D72" s="131" t="s">
        <v>196</v>
      </c>
      <c r="E72" s="108">
        <v>0</v>
      </c>
      <c r="F72" s="108">
        <f t="shared" si="22"/>
        <v>0</v>
      </c>
      <c r="G72" s="108">
        <f t="shared" ref="G72:G126" si="24">F72-E72</f>
        <v>0</v>
      </c>
      <c r="H72" s="18"/>
      <c r="I72" s="108">
        <f t="shared" si="23"/>
        <v>0</v>
      </c>
      <c r="J72" s="108">
        <f t="shared" si="4"/>
        <v>0</v>
      </c>
      <c r="K72" s="18"/>
    </row>
    <row r="73" spans="1:11" ht="30" collapsed="1" x14ac:dyDescent="0.25">
      <c r="B73" s="113" t="s">
        <v>197</v>
      </c>
      <c r="C73" s="114" t="s">
        <v>198</v>
      </c>
      <c r="D73" s="131" t="s">
        <v>199</v>
      </c>
      <c r="E73" s="108">
        <v>81714</v>
      </c>
      <c r="F73" s="108">
        <f t="shared" si="22"/>
        <v>81714</v>
      </c>
      <c r="G73" s="108">
        <f t="shared" si="24"/>
        <v>0</v>
      </c>
      <c r="H73" s="25"/>
      <c r="I73" s="108">
        <f t="shared" si="23"/>
        <v>81714</v>
      </c>
      <c r="J73" s="108">
        <f t="shared" ref="J73:J126" si="25">I73-F73</f>
        <v>0</v>
      </c>
      <c r="K73" s="25"/>
    </row>
    <row r="74" spans="1:11" ht="30" x14ac:dyDescent="0.25">
      <c r="B74" s="113"/>
      <c r="C74" s="114" t="s">
        <v>200</v>
      </c>
      <c r="D74" s="131" t="s">
        <v>201</v>
      </c>
      <c r="E74" s="108">
        <v>117147</v>
      </c>
      <c r="F74" s="108">
        <f t="shared" si="22"/>
        <v>117147</v>
      </c>
      <c r="G74" s="108">
        <f t="shared" si="24"/>
        <v>0</v>
      </c>
      <c r="H74" s="25"/>
      <c r="I74" s="108">
        <f t="shared" si="23"/>
        <v>117147</v>
      </c>
      <c r="J74" s="108">
        <f t="shared" si="25"/>
        <v>0</v>
      </c>
      <c r="K74" s="25"/>
    </row>
    <row r="75" spans="1:11" x14ac:dyDescent="0.25">
      <c r="B75" s="113"/>
      <c r="C75" s="114" t="s">
        <v>202</v>
      </c>
      <c r="D75" s="131" t="s">
        <v>203</v>
      </c>
      <c r="E75" s="108">
        <v>291947</v>
      </c>
      <c r="F75" s="108">
        <f t="shared" si="22"/>
        <v>291947</v>
      </c>
      <c r="G75" s="108">
        <f t="shared" si="24"/>
        <v>0</v>
      </c>
      <c r="H75" s="25"/>
      <c r="I75" s="108">
        <f t="shared" si="23"/>
        <v>291947</v>
      </c>
      <c r="J75" s="108">
        <f t="shared" si="25"/>
        <v>0</v>
      </c>
      <c r="K75" s="25"/>
    </row>
    <row r="76" spans="1:11" ht="30" x14ac:dyDescent="0.25">
      <c r="A76" s="93" t="s">
        <v>204</v>
      </c>
      <c r="B76" s="133" t="s">
        <v>205</v>
      </c>
      <c r="C76" s="114" t="s">
        <v>206</v>
      </c>
      <c r="D76" s="131" t="s">
        <v>207</v>
      </c>
      <c r="E76" s="108">
        <v>104321.39</v>
      </c>
      <c r="F76" s="108">
        <f t="shared" si="22"/>
        <v>104321</v>
      </c>
      <c r="G76" s="108">
        <f t="shared" si="24"/>
        <v>-0.38999999999941792</v>
      </c>
      <c r="H76" s="25"/>
      <c r="I76" s="108">
        <f t="shared" si="23"/>
        <v>104321</v>
      </c>
      <c r="J76" s="108">
        <f t="shared" si="25"/>
        <v>0</v>
      </c>
      <c r="K76" s="25"/>
    </row>
    <row r="77" spans="1:11" x14ac:dyDescent="0.25">
      <c r="B77" s="128" t="s">
        <v>5</v>
      </c>
      <c r="C77" s="114" t="s">
        <v>208</v>
      </c>
      <c r="D77" s="134" t="s">
        <v>209</v>
      </c>
      <c r="E77" s="108">
        <v>40898</v>
      </c>
      <c r="F77" s="108">
        <f t="shared" si="22"/>
        <v>40898</v>
      </c>
      <c r="G77" s="108">
        <f t="shared" si="24"/>
        <v>0</v>
      </c>
      <c r="H77" s="25"/>
      <c r="I77" s="108">
        <f t="shared" si="23"/>
        <v>40898</v>
      </c>
      <c r="J77" s="108">
        <f t="shared" si="25"/>
        <v>0</v>
      </c>
      <c r="K77" s="25"/>
    </row>
    <row r="78" spans="1:11" ht="30" hidden="1" outlineLevel="1" x14ac:dyDescent="0.25">
      <c r="B78" s="113"/>
      <c r="C78" s="114" t="s">
        <v>210</v>
      </c>
      <c r="D78" s="131" t="s">
        <v>211</v>
      </c>
      <c r="E78" s="108">
        <v>0</v>
      </c>
      <c r="F78" s="108">
        <f t="shared" si="22"/>
        <v>0</v>
      </c>
      <c r="G78" s="108">
        <f t="shared" si="24"/>
        <v>0</v>
      </c>
      <c r="H78" s="25"/>
      <c r="I78" s="108">
        <f t="shared" si="23"/>
        <v>0</v>
      </c>
      <c r="J78" s="108">
        <f t="shared" si="25"/>
        <v>0</v>
      </c>
      <c r="K78" s="25"/>
    </row>
    <row r="79" spans="1:11" ht="30" hidden="1" outlineLevel="1" x14ac:dyDescent="0.25">
      <c r="B79" s="113"/>
      <c r="C79" s="114" t="s">
        <v>212</v>
      </c>
      <c r="D79" s="131" t="s">
        <v>213</v>
      </c>
      <c r="E79" s="108">
        <v>0</v>
      </c>
      <c r="F79" s="108">
        <f t="shared" si="22"/>
        <v>0</v>
      </c>
      <c r="G79" s="108">
        <f t="shared" si="24"/>
        <v>0</v>
      </c>
      <c r="H79" s="25"/>
      <c r="I79" s="108">
        <f t="shared" si="23"/>
        <v>0</v>
      </c>
      <c r="J79" s="108">
        <f t="shared" si="25"/>
        <v>0</v>
      </c>
      <c r="K79" s="25"/>
    </row>
    <row r="80" spans="1:11" collapsed="1" x14ac:dyDescent="0.25">
      <c r="B80" s="113"/>
      <c r="C80" s="114" t="s">
        <v>214</v>
      </c>
      <c r="D80" s="134" t="s">
        <v>215</v>
      </c>
      <c r="E80" s="108">
        <v>202410</v>
      </c>
      <c r="F80" s="108">
        <f t="shared" si="22"/>
        <v>202410</v>
      </c>
      <c r="G80" s="108">
        <f t="shared" si="24"/>
        <v>0</v>
      </c>
      <c r="H80" s="25"/>
      <c r="I80" s="108">
        <f t="shared" si="23"/>
        <v>202410</v>
      </c>
      <c r="J80" s="108">
        <f t="shared" si="25"/>
        <v>0</v>
      </c>
      <c r="K80" s="25"/>
    </row>
    <row r="81" spans="1:11" ht="30" hidden="1" outlineLevel="1" x14ac:dyDescent="0.25">
      <c r="B81" s="113"/>
      <c r="C81" s="114" t="s">
        <v>216</v>
      </c>
      <c r="D81" s="131" t="s">
        <v>217</v>
      </c>
      <c r="E81" s="108">
        <v>0</v>
      </c>
      <c r="F81" s="108">
        <f t="shared" si="22"/>
        <v>0</v>
      </c>
      <c r="G81" s="108">
        <f t="shared" si="24"/>
        <v>0</v>
      </c>
      <c r="H81" s="25"/>
      <c r="I81" s="108">
        <f t="shared" si="23"/>
        <v>0</v>
      </c>
      <c r="J81" s="108">
        <f t="shared" si="25"/>
        <v>0</v>
      </c>
      <c r="K81" s="25"/>
    </row>
    <row r="82" spans="1:11" collapsed="1" x14ac:dyDescent="0.25">
      <c r="B82" s="113"/>
      <c r="C82" s="114" t="s">
        <v>218</v>
      </c>
      <c r="D82" s="131" t="s">
        <v>219</v>
      </c>
      <c r="E82" s="108">
        <v>2464</v>
      </c>
      <c r="F82" s="108">
        <f t="shared" si="22"/>
        <v>2464</v>
      </c>
      <c r="G82" s="108">
        <f t="shared" si="24"/>
        <v>0</v>
      </c>
      <c r="H82" s="25"/>
      <c r="I82" s="108">
        <f>ROUND(F82,0)+5000</f>
        <v>7464</v>
      </c>
      <c r="J82" s="108">
        <f t="shared" si="25"/>
        <v>5000</v>
      </c>
      <c r="K82" s="25" t="s">
        <v>220</v>
      </c>
    </row>
    <row r="83" spans="1:11" ht="28.9" hidden="1" customHeight="1" outlineLevel="1" x14ac:dyDescent="0.25">
      <c r="B83" s="113"/>
      <c r="C83" s="114" t="s">
        <v>221</v>
      </c>
      <c r="D83" s="131" t="s">
        <v>222</v>
      </c>
      <c r="E83" s="108">
        <v>0</v>
      </c>
      <c r="F83" s="108">
        <f t="shared" si="22"/>
        <v>0</v>
      </c>
      <c r="G83" s="108">
        <f t="shared" si="24"/>
        <v>0</v>
      </c>
      <c r="H83" s="25"/>
      <c r="I83" s="108">
        <f t="shared" ref="I83:I88" si="26">ROUND(F83,0)</f>
        <v>0</v>
      </c>
      <c r="J83" s="108">
        <f t="shared" si="25"/>
        <v>0</v>
      </c>
      <c r="K83" s="25"/>
    </row>
    <row r="84" spans="1:11" hidden="1" outlineLevel="1" x14ac:dyDescent="0.25">
      <c r="B84" s="113"/>
      <c r="C84" s="114" t="s">
        <v>223</v>
      </c>
      <c r="D84" s="131" t="s">
        <v>224</v>
      </c>
      <c r="E84" s="108">
        <v>0</v>
      </c>
      <c r="F84" s="108">
        <f t="shared" si="22"/>
        <v>0</v>
      </c>
      <c r="G84" s="108">
        <f t="shared" si="24"/>
        <v>0</v>
      </c>
      <c r="H84" s="25"/>
      <c r="I84" s="108">
        <f t="shared" si="26"/>
        <v>0</v>
      </c>
      <c r="J84" s="108">
        <f t="shared" si="25"/>
        <v>0</v>
      </c>
      <c r="K84" s="25"/>
    </row>
    <row r="85" spans="1:11" ht="30" collapsed="1" x14ac:dyDescent="0.25">
      <c r="B85" s="113"/>
      <c r="C85" s="114" t="s">
        <v>225</v>
      </c>
      <c r="D85" s="131" t="s">
        <v>226</v>
      </c>
      <c r="E85" s="108">
        <v>14100</v>
      </c>
      <c r="F85" s="108">
        <f t="shared" si="22"/>
        <v>14100</v>
      </c>
      <c r="G85" s="108">
        <f t="shared" si="24"/>
        <v>0</v>
      </c>
      <c r="H85" s="25"/>
      <c r="I85" s="108">
        <f t="shared" si="26"/>
        <v>14100</v>
      </c>
      <c r="J85" s="108">
        <f t="shared" si="25"/>
        <v>0</v>
      </c>
      <c r="K85" s="25"/>
    </row>
    <row r="86" spans="1:11" x14ac:dyDescent="0.25">
      <c r="B86" s="113"/>
      <c r="C86" s="114" t="s">
        <v>227</v>
      </c>
      <c r="D86" s="135" t="s">
        <v>228</v>
      </c>
      <c r="E86" s="108">
        <v>382739</v>
      </c>
      <c r="F86" s="108">
        <f t="shared" si="22"/>
        <v>382739</v>
      </c>
      <c r="G86" s="108">
        <f t="shared" si="24"/>
        <v>0</v>
      </c>
      <c r="H86" s="25"/>
      <c r="I86" s="108">
        <f t="shared" si="26"/>
        <v>382739</v>
      </c>
      <c r="J86" s="108">
        <f t="shared" si="25"/>
        <v>0</v>
      </c>
      <c r="K86" s="25"/>
    </row>
    <row r="87" spans="1:11" ht="16.899999999999999" customHeight="1" x14ac:dyDescent="0.25">
      <c r="B87" s="113"/>
      <c r="C87" s="114" t="s">
        <v>229</v>
      </c>
      <c r="D87" s="135" t="s">
        <v>230</v>
      </c>
      <c r="E87" s="108">
        <v>297245</v>
      </c>
      <c r="F87" s="108">
        <f t="shared" si="22"/>
        <v>297245</v>
      </c>
      <c r="G87" s="108">
        <f t="shared" si="24"/>
        <v>0</v>
      </c>
      <c r="H87" s="25"/>
      <c r="I87" s="108">
        <f t="shared" si="26"/>
        <v>297245</v>
      </c>
      <c r="J87" s="108">
        <f t="shared" si="25"/>
        <v>0</v>
      </c>
      <c r="K87" s="25"/>
    </row>
    <row r="88" spans="1:11" hidden="1" outlineLevel="1" x14ac:dyDescent="0.25">
      <c r="B88" s="105" t="s">
        <v>231</v>
      </c>
      <c r="C88" s="106" t="s">
        <v>232</v>
      </c>
      <c r="D88" s="136" t="s">
        <v>233</v>
      </c>
      <c r="E88" s="108">
        <v>0</v>
      </c>
      <c r="F88" s="108">
        <f t="shared" si="22"/>
        <v>0</v>
      </c>
      <c r="G88" s="108">
        <f t="shared" si="24"/>
        <v>0</v>
      </c>
      <c r="H88" s="14"/>
      <c r="I88" s="108">
        <f t="shared" si="26"/>
        <v>0</v>
      </c>
      <c r="J88" s="108">
        <f t="shared" si="25"/>
        <v>0</v>
      </c>
      <c r="K88" s="14"/>
    </row>
    <row r="89" spans="1:11" collapsed="1" x14ac:dyDescent="0.25">
      <c r="C89" s="119" t="s">
        <v>234</v>
      </c>
      <c r="D89" s="111" t="s">
        <v>235</v>
      </c>
      <c r="E89" s="112">
        <v>295000</v>
      </c>
      <c r="F89" s="112">
        <f>F90+F91</f>
        <v>295000</v>
      </c>
      <c r="G89" s="112">
        <f t="shared" si="24"/>
        <v>0</v>
      </c>
      <c r="H89" s="15"/>
      <c r="I89" s="112">
        <f>I90+I91</f>
        <v>295000</v>
      </c>
      <c r="J89" s="112">
        <f t="shared" si="25"/>
        <v>0</v>
      </c>
      <c r="K89" s="15"/>
    </row>
    <row r="90" spans="1:11" ht="27.6" customHeight="1" x14ac:dyDescent="0.25">
      <c r="B90" s="93" t="s">
        <v>236</v>
      </c>
      <c r="C90" s="106" t="s">
        <v>237</v>
      </c>
      <c r="D90" s="107" t="s">
        <v>238</v>
      </c>
      <c r="E90" s="108">
        <v>295000</v>
      </c>
      <c r="F90" s="108">
        <f>ROUND(E90,0)</f>
        <v>295000</v>
      </c>
      <c r="G90" s="108">
        <f t="shared" si="24"/>
        <v>0</v>
      </c>
      <c r="H90" s="20"/>
      <c r="I90" s="108">
        <f>ROUND(F90,0)</f>
        <v>295000</v>
      </c>
      <c r="J90" s="108">
        <f t="shared" si="25"/>
        <v>0</v>
      </c>
      <c r="K90" s="20"/>
    </row>
    <row r="91" spans="1:11" ht="16.149999999999999" customHeight="1" x14ac:dyDescent="0.25">
      <c r="B91" s="93" t="s">
        <v>239</v>
      </c>
      <c r="C91" s="106" t="s">
        <v>240</v>
      </c>
      <c r="D91" s="107" t="s">
        <v>241</v>
      </c>
      <c r="E91" s="108">
        <v>0</v>
      </c>
      <c r="F91" s="108">
        <f>ROUND(E91,0)</f>
        <v>0</v>
      </c>
      <c r="G91" s="108">
        <f t="shared" si="24"/>
        <v>0</v>
      </c>
      <c r="H91" s="14"/>
      <c r="I91" s="108">
        <f>ROUND(F91,0)</f>
        <v>0</v>
      </c>
      <c r="J91" s="108">
        <f t="shared" si="25"/>
        <v>0</v>
      </c>
      <c r="K91" s="14"/>
    </row>
    <row r="92" spans="1:11" ht="35.450000000000003" customHeight="1" x14ac:dyDescent="0.25">
      <c r="C92" s="119" t="s">
        <v>242</v>
      </c>
      <c r="D92" s="111" t="s">
        <v>243</v>
      </c>
      <c r="E92" s="112">
        <v>4234051</v>
      </c>
      <c r="F92" s="112">
        <f t="shared" ref="F92" si="27">F93+F96+F99+F103+F107</f>
        <v>4234051</v>
      </c>
      <c r="G92" s="112">
        <f t="shared" si="24"/>
        <v>0</v>
      </c>
      <c r="H92" s="15"/>
      <c r="I92" s="112">
        <f t="shared" ref="I92" si="28">I93+I96+I99+I103+I107</f>
        <v>4234051</v>
      </c>
      <c r="J92" s="112">
        <f t="shared" si="25"/>
        <v>0</v>
      </c>
      <c r="K92" s="15"/>
    </row>
    <row r="93" spans="1:11" x14ac:dyDescent="0.25">
      <c r="A93" s="93" t="s">
        <v>17</v>
      </c>
      <c r="B93" s="93" t="s">
        <v>244</v>
      </c>
      <c r="C93" s="106" t="s">
        <v>245</v>
      </c>
      <c r="D93" s="107" t="s">
        <v>246</v>
      </c>
      <c r="E93" s="108">
        <v>149000</v>
      </c>
      <c r="F93" s="108">
        <f>SUM(F94:F95)</f>
        <v>149000</v>
      </c>
      <c r="G93" s="108">
        <f t="shared" si="24"/>
        <v>0</v>
      </c>
      <c r="H93" s="14"/>
      <c r="I93" s="108">
        <f>SUM(I94:I95)</f>
        <v>149000</v>
      </c>
      <c r="J93" s="108">
        <f t="shared" si="25"/>
        <v>0</v>
      </c>
      <c r="K93" s="14"/>
    </row>
    <row r="94" spans="1:11" ht="14.25" customHeight="1" x14ac:dyDescent="0.25">
      <c r="B94" s="93" t="s">
        <v>247</v>
      </c>
      <c r="C94" s="137" t="s">
        <v>248</v>
      </c>
      <c r="D94" s="138" t="s">
        <v>249</v>
      </c>
      <c r="E94" s="108">
        <v>24000</v>
      </c>
      <c r="F94" s="108">
        <f>ROUND(E94,0)</f>
        <v>24000</v>
      </c>
      <c r="G94" s="108">
        <f t="shared" si="24"/>
        <v>0</v>
      </c>
      <c r="H94" s="16"/>
      <c r="I94" s="108">
        <f>ROUND(F94,0)</f>
        <v>24000</v>
      </c>
      <c r="J94" s="108">
        <f t="shared" si="25"/>
        <v>0</v>
      </c>
      <c r="K94" s="16"/>
    </row>
    <row r="95" spans="1:11" ht="15.6" customHeight="1" x14ac:dyDescent="0.25">
      <c r="B95" s="93" t="s">
        <v>250</v>
      </c>
      <c r="C95" s="137" t="s">
        <v>251</v>
      </c>
      <c r="D95" s="138" t="s">
        <v>252</v>
      </c>
      <c r="E95" s="108">
        <v>125000</v>
      </c>
      <c r="F95" s="108">
        <f>ROUND(E95,0)</f>
        <v>125000</v>
      </c>
      <c r="G95" s="108">
        <f t="shared" si="24"/>
        <v>0</v>
      </c>
      <c r="H95" s="16"/>
      <c r="I95" s="108">
        <f>ROUND(F95,0)</f>
        <v>125000</v>
      </c>
      <c r="J95" s="108">
        <f t="shared" si="25"/>
        <v>0</v>
      </c>
      <c r="K95" s="16"/>
    </row>
    <row r="96" spans="1:11" ht="13.9" customHeight="1" x14ac:dyDescent="0.25">
      <c r="C96" s="106" t="s">
        <v>253</v>
      </c>
      <c r="D96" s="107" t="s">
        <v>254</v>
      </c>
      <c r="E96" s="108">
        <v>0</v>
      </c>
      <c r="F96" s="108">
        <f>F97+F98</f>
        <v>0</v>
      </c>
      <c r="G96" s="108">
        <f t="shared" si="24"/>
        <v>0</v>
      </c>
      <c r="H96" s="26"/>
      <c r="I96" s="108">
        <f>I97+I98</f>
        <v>0</v>
      </c>
      <c r="J96" s="108">
        <f t="shared" si="25"/>
        <v>0</v>
      </c>
      <c r="K96" s="26"/>
    </row>
    <row r="97" spans="1:11" x14ac:dyDescent="0.25">
      <c r="C97" s="137" t="s">
        <v>255</v>
      </c>
      <c r="D97" s="138" t="s">
        <v>256</v>
      </c>
      <c r="E97" s="108">
        <v>0</v>
      </c>
      <c r="F97" s="108"/>
      <c r="G97" s="108">
        <f t="shared" si="24"/>
        <v>0</v>
      </c>
      <c r="H97" s="16"/>
      <c r="I97" s="108"/>
      <c r="J97" s="108">
        <f t="shared" si="25"/>
        <v>0</v>
      </c>
      <c r="K97" s="16"/>
    </row>
    <row r="98" spans="1:11" ht="30" customHeight="1" x14ac:dyDescent="0.25">
      <c r="B98" s="128" t="s">
        <v>257</v>
      </c>
      <c r="C98" s="137" t="s">
        <v>258</v>
      </c>
      <c r="D98" s="131" t="s">
        <v>259</v>
      </c>
      <c r="E98" s="108">
        <v>0</v>
      </c>
      <c r="F98" s="108">
        <f>ROUND(E98,0)</f>
        <v>0</v>
      </c>
      <c r="G98" s="108">
        <f t="shared" si="24"/>
        <v>0</v>
      </c>
      <c r="H98" s="16"/>
      <c r="I98" s="108">
        <f>ROUND(F98,0)</f>
        <v>0</v>
      </c>
      <c r="J98" s="108">
        <f t="shared" si="25"/>
        <v>0</v>
      </c>
      <c r="K98" s="16"/>
    </row>
    <row r="99" spans="1:11" x14ac:dyDescent="0.25">
      <c r="A99" s="93" t="s">
        <v>17</v>
      </c>
      <c r="B99" s="93" t="s">
        <v>260</v>
      </c>
      <c r="C99" s="106" t="s">
        <v>261</v>
      </c>
      <c r="D99" s="107" t="s">
        <v>262</v>
      </c>
      <c r="E99" s="108">
        <v>157000</v>
      </c>
      <c r="F99" s="108">
        <f>SUM(F100:F102)</f>
        <v>157000</v>
      </c>
      <c r="G99" s="108">
        <f t="shared" si="24"/>
        <v>0</v>
      </c>
      <c r="H99" s="14"/>
      <c r="I99" s="108">
        <f>SUM(I100:I102)</f>
        <v>157000</v>
      </c>
      <c r="J99" s="108">
        <f t="shared" si="25"/>
        <v>0</v>
      </c>
      <c r="K99" s="14"/>
    </row>
    <row r="100" spans="1:11" ht="15.75" customHeight="1" x14ac:dyDescent="0.25">
      <c r="B100" s="93" t="s">
        <v>263</v>
      </c>
      <c r="C100" s="137" t="s">
        <v>264</v>
      </c>
      <c r="D100" s="138" t="s">
        <v>265</v>
      </c>
      <c r="E100" s="108">
        <v>120000</v>
      </c>
      <c r="F100" s="108">
        <f>ROUND(E100,0)</f>
        <v>120000</v>
      </c>
      <c r="G100" s="108">
        <f t="shared" si="24"/>
        <v>0</v>
      </c>
      <c r="H100" s="20"/>
      <c r="I100" s="108">
        <f>ROUND(F100,0)</f>
        <v>120000</v>
      </c>
      <c r="J100" s="108">
        <f t="shared" si="25"/>
        <v>0</v>
      </c>
      <c r="K100" s="20"/>
    </row>
    <row r="101" spans="1:11" x14ac:dyDescent="0.25">
      <c r="B101" s="93" t="s">
        <v>266</v>
      </c>
      <c r="C101" s="137" t="s">
        <v>267</v>
      </c>
      <c r="D101" s="138" t="s">
        <v>268</v>
      </c>
      <c r="E101" s="108">
        <v>36000</v>
      </c>
      <c r="F101" s="108">
        <f>ROUND(E101,0)</f>
        <v>36000</v>
      </c>
      <c r="G101" s="108">
        <f t="shared" si="24"/>
        <v>0</v>
      </c>
      <c r="H101" s="14"/>
      <c r="I101" s="108">
        <f>ROUND(F101,0)</f>
        <v>36000</v>
      </c>
      <c r="J101" s="108">
        <f t="shared" si="25"/>
        <v>0</v>
      </c>
      <c r="K101" s="14"/>
    </row>
    <row r="102" spans="1:11" x14ac:dyDescent="0.25">
      <c r="C102" s="137" t="s">
        <v>269</v>
      </c>
      <c r="D102" s="131" t="s">
        <v>270</v>
      </c>
      <c r="E102" s="108">
        <v>1000</v>
      </c>
      <c r="F102" s="108">
        <f>ROUND(E102,0)</f>
        <v>1000</v>
      </c>
      <c r="G102" s="108">
        <f t="shared" si="24"/>
        <v>0</v>
      </c>
      <c r="H102" s="14"/>
      <c r="I102" s="108">
        <f>ROUND(F102,0)</f>
        <v>1000</v>
      </c>
      <c r="J102" s="108">
        <f t="shared" si="25"/>
        <v>0</v>
      </c>
      <c r="K102" s="14"/>
    </row>
    <row r="103" spans="1:11" ht="25.15" customHeight="1" x14ac:dyDescent="0.25">
      <c r="A103" s="93" t="s">
        <v>17</v>
      </c>
      <c r="B103" s="93" t="s">
        <v>271</v>
      </c>
      <c r="C103" s="106" t="s">
        <v>272</v>
      </c>
      <c r="D103" s="107" t="s">
        <v>273</v>
      </c>
      <c r="E103" s="108">
        <v>3826051</v>
      </c>
      <c r="F103" s="108">
        <f t="shared" ref="F103" si="29">SUM(F104:F106)</f>
        <v>3826051</v>
      </c>
      <c r="G103" s="108">
        <f t="shared" si="24"/>
        <v>0</v>
      </c>
      <c r="H103" s="20"/>
      <c r="I103" s="108">
        <f t="shared" ref="I103" si="30">SUM(I104:I106)</f>
        <v>3826051</v>
      </c>
      <c r="J103" s="108">
        <f t="shared" si="25"/>
        <v>0</v>
      </c>
      <c r="K103" s="20"/>
    </row>
    <row r="104" spans="1:11" ht="16.5" customHeight="1" x14ac:dyDescent="0.25">
      <c r="A104" s="128" t="s">
        <v>274</v>
      </c>
      <c r="C104" s="137" t="s">
        <v>275</v>
      </c>
      <c r="D104" s="138" t="s">
        <v>273</v>
      </c>
      <c r="E104" s="108">
        <v>110000</v>
      </c>
      <c r="F104" s="108">
        <f>ROUND(E104,0)</f>
        <v>110000</v>
      </c>
      <c r="G104" s="108">
        <f t="shared" si="24"/>
        <v>0</v>
      </c>
      <c r="H104" s="14"/>
      <c r="I104" s="108">
        <f>ROUND(F104,0)</f>
        <v>110000</v>
      </c>
      <c r="J104" s="108">
        <f t="shared" si="25"/>
        <v>0</v>
      </c>
      <c r="K104" s="14"/>
    </row>
    <row r="105" spans="1:11" ht="16.5" customHeight="1" x14ac:dyDescent="0.25">
      <c r="C105" s="137" t="s">
        <v>276</v>
      </c>
      <c r="D105" s="138" t="s">
        <v>277</v>
      </c>
      <c r="E105" s="108">
        <v>2500</v>
      </c>
      <c r="F105" s="108">
        <f>ROUND(E105,0)</f>
        <v>2500</v>
      </c>
      <c r="G105" s="108">
        <f t="shared" si="24"/>
        <v>0</v>
      </c>
      <c r="H105" s="14"/>
      <c r="I105" s="108">
        <f>ROUND(F105,0)</f>
        <v>2500</v>
      </c>
      <c r="J105" s="108">
        <f t="shared" si="25"/>
        <v>0</v>
      </c>
      <c r="K105" s="14"/>
    </row>
    <row r="106" spans="1:11" ht="28.9" customHeight="1" x14ac:dyDescent="0.25">
      <c r="C106" s="137" t="s">
        <v>278</v>
      </c>
      <c r="D106" s="138" t="s">
        <v>279</v>
      </c>
      <c r="E106" s="108">
        <v>3713551</v>
      </c>
      <c r="F106" s="108">
        <f>ROUND(E106,0)</f>
        <v>3713551</v>
      </c>
      <c r="G106" s="108">
        <f t="shared" si="24"/>
        <v>0</v>
      </c>
      <c r="H106" s="14"/>
      <c r="I106" s="108">
        <f>ROUND(F106,0)</f>
        <v>3713551</v>
      </c>
      <c r="J106" s="108">
        <f t="shared" si="25"/>
        <v>0</v>
      </c>
      <c r="K106" s="14"/>
    </row>
    <row r="107" spans="1:11" ht="18" customHeight="1" thickBot="1" x14ac:dyDescent="0.3">
      <c r="A107" s="93" t="s">
        <v>17</v>
      </c>
      <c r="B107" s="113" t="s">
        <v>280</v>
      </c>
      <c r="C107" s="106" t="s">
        <v>281</v>
      </c>
      <c r="D107" s="107" t="s">
        <v>282</v>
      </c>
      <c r="E107" s="108">
        <v>102000</v>
      </c>
      <c r="F107" s="108">
        <f>ROUND(E107,0)</f>
        <v>102000</v>
      </c>
      <c r="G107" s="108">
        <f t="shared" si="24"/>
        <v>0</v>
      </c>
      <c r="H107" s="14"/>
      <c r="I107" s="108">
        <f>ROUND(F107,0)</f>
        <v>102000</v>
      </c>
      <c r="J107" s="108">
        <f t="shared" si="25"/>
        <v>0</v>
      </c>
      <c r="K107" s="14"/>
    </row>
    <row r="108" spans="1:11" ht="15" customHeight="1" thickBot="1" x14ac:dyDescent="0.3">
      <c r="C108" s="140"/>
      <c r="D108" s="141" t="s">
        <v>283</v>
      </c>
      <c r="E108" s="142">
        <v>46153371.490000002</v>
      </c>
      <c r="F108" s="142">
        <f t="shared" ref="F108" si="31">F7+F11+F14+F17+F20+F23+F36+F39+F43+F44+F89+F92</f>
        <v>46211727</v>
      </c>
      <c r="G108" s="142">
        <f t="shared" si="24"/>
        <v>58355.509999997914</v>
      </c>
      <c r="H108" s="27"/>
      <c r="I108" s="142">
        <f t="shared" ref="I108" si="32">I7+I11+I14+I17+I20+I23+I36+I39+I43+I44+I89+I92</f>
        <v>46579708</v>
      </c>
      <c r="J108" s="142">
        <f t="shared" si="25"/>
        <v>367981</v>
      </c>
      <c r="K108" s="27"/>
    </row>
    <row r="109" spans="1:11" ht="15.75" thickBot="1" x14ac:dyDescent="0.3">
      <c r="C109" s="143" t="s">
        <v>284</v>
      </c>
      <c r="D109" s="144" t="s">
        <v>285</v>
      </c>
      <c r="E109" s="145">
        <v>7741521.0000000009</v>
      </c>
      <c r="F109" s="145">
        <f>SUM(F110:F111)</f>
        <v>7741521</v>
      </c>
      <c r="G109" s="145">
        <f t="shared" si="24"/>
        <v>0</v>
      </c>
      <c r="H109" s="28"/>
      <c r="I109" s="145">
        <f>SUM(I110:I111)</f>
        <v>7741521</v>
      </c>
      <c r="J109" s="145">
        <f t="shared" si="25"/>
        <v>0</v>
      </c>
      <c r="K109" s="28"/>
    </row>
    <row r="110" spans="1:11" ht="17.25" customHeight="1" x14ac:dyDescent="0.25">
      <c r="C110" s="106" t="s">
        <v>286</v>
      </c>
      <c r="D110" s="107" t="s">
        <v>287</v>
      </c>
      <c r="E110" s="108">
        <v>1454963.94</v>
      </c>
      <c r="F110" s="108">
        <f>ROUND(E110,0)</f>
        <v>1454964</v>
      </c>
      <c r="G110" s="108">
        <f t="shared" si="24"/>
        <v>6.0000000055879354E-2</v>
      </c>
      <c r="H110" s="20"/>
      <c r="I110" s="108">
        <f>ROUND(F110,0)</f>
        <v>1454964</v>
      </c>
      <c r="J110" s="108">
        <f t="shared" si="25"/>
        <v>0</v>
      </c>
      <c r="K110" s="20"/>
    </row>
    <row r="111" spans="1:11" x14ac:dyDescent="0.25">
      <c r="C111" s="106" t="s">
        <v>288</v>
      </c>
      <c r="D111" s="107" t="s">
        <v>289</v>
      </c>
      <c r="E111" s="108">
        <v>6286556.8600000013</v>
      </c>
      <c r="F111" s="108">
        <f>ROUND(E111,0)</f>
        <v>6286557</v>
      </c>
      <c r="G111" s="108">
        <f t="shared" si="24"/>
        <v>0.1399999987334013</v>
      </c>
      <c r="H111" s="14"/>
      <c r="I111" s="108">
        <f>ROUND(F111,0)</f>
        <v>6286557</v>
      </c>
      <c r="J111" s="108">
        <f t="shared" si="25"/>
        <v>0</v>
      </c>
      <c r="K111" s="14"/>
    </row>
    <row r="112" spans="1:11" x14ac:dyDescent="0.25">
      <c r="C112" s="119" t="s">
        <v>290</v>
      </c>
      <c r="D112" s="146" t="s">
        <v>291</v>
      </c>
      <c r="E112" s="147">
        <v>4267403.7422000002</v>
      </c>
      <c r="F112" s="147">
        <f>SUM(F113:F125)</f>
        <v>4267404</v>
      </c>
      <c r="G112" s="112">
        <f t="shared" si="24"/>
        <v>0.25779999978840351</v>
      </c>
      <c r="H112" s="15"/>
      <c r="I112" s="147">
        <f>SUM(I113:I125)</f>
        <v>4393404</v>
      </c>
      <c r="J112" s="112">
        <f t="shared" si="25"/>
        <v>126000</v>
      </c>
      <c r="K112" s="15"/>
    </row>
    <row r="113" spans="1:11" ht="30" x14ac:dyDescent="0.25">
      <c r="A113" s="128"/>
      <c r="B113" s="128"/>
      <c r="C113" s="137" t="s">
        <v>292</v>
      </c>
      <c r="D113" s="148" t="s">
        <v>222</v>
      </c>
      <c r="E113" s="108">
        <v>59922</v>
      </c>
      <c r="F113" s="108">
        <f t="shared" ref="F113:F124" si="33">ROUND(E113,0)</f>
        <v>59922</v>
      </c>
      <c r="G113" s="150">
        <f t="shared" si="24"/>
        <v>0</v>
      </c>
      <c r="H113" s="18"/>
      <c r="I113" s="108">
        <f t="shared" ref="I113:I124" si="34">ROUND(F113,0)</f>
        <v>59922</v>
      </c>
      <c r="J113" s="150">
        <f t="shared" si="25"/>
        <v>0</v>
      </c>
      <c r="K113" s="18"/>
    </row>
    <row r="114" spans="1:11" x14ac:dyDescent="0.25">
      <c r="A114" s="128"/>
      <c r="B114" s="128"/>
      <c r="C114" s="137" t="s">
        <v>293</v>
      </c>
      <c r="D114" s="148" t="s">
        <v>224</v>
      </c>
      <c r="E114" s="108">
        <v>207089</v>
      </c>
      <c r="F114" s="108">
        <f t="shared" si="33"/>
        <v>207089</v>
      </c>
      <c r="G114" s="150">
        <f t="shared" si="24"/>
        <v>0</v>
      </c>
      <c r="H114" s="18"/>
      <c r="I114" s="108">
        <f t="shared" si="34"/>
        <v>207089</v>
      </c>
      <c r="J114" s="150">
        <f t="shared" si="25"/>
        <v>0</v>
      </c>
      <c r="K114" s="18"/>
    </row>
    <row r="115" spans="1:11" ht="44.45" customHeight="1" x14ac:dyDescent="0.25">
      <c r="A115" s="128"/>
      <c r="B115" s="128"/>
      <c r="C115" s="137" t="s">
        <v>294</v>
      </c>
      <c r="D115" s="148" t="s">
        <v>295</v>
      </c>
      <c r="E115" s="108">
        <v>320141.35220000002</v>
      </c>
      <c r="F115" s="108">
        <f t="shared" si="33"/>
        <v>320141</v>
      </c>
      <c r="G115" s="150">
        <f t="shared" si="24"/>
        <v>-0.35220000002300367</v>
      </c>
      <c r="H115" s="18"/>
      <c r="I115" s="108">
        <f t="shared" si="34"/>
        <v>320141</v>
      </c>
      <c r="J115" s="150">
        <f t="shared" si="25"/>
        <v>0</v>
      </c>
      <c r="K115" s="18"/>
    </row>
    <row r="116" spans="1:11" ht="30" x14ac:dyDescent="0.25">
      <c r="A116" s="128" t="s">
        <v>185</v>
      </c>
      <c r="B116" s="128" t="s">
        <v>296</v>
      </c>
      <c r="C116" s="137" t="s">
        <v>297</v>
      </c>
      <c r="D116" s="148" t="s">
        <v>298</v>
      </c>
      <c r="E116" s="108">
        <v>624704.49</v>
      </c>
      <c r="F116" s="108">
        <f t="shared" si="33"/>
        <v>624704</v>
      </c>
      <c r="G116" s="150">
        <f t="shared" si="24"/>
        <v>-0.48999999999068677</v>
      </c>
      <c r="H116" s="17"/>
      <c r="I116" s="108">
        <f t="shared" si="34"/>
        <v>624704</v>
      </c>
      <c r="J116" s="150">
        <f t="shared" si="25"/>
        <v>0</v>
      </c>
      <c r="K116" s="17"/>
    </row>
    <row r="117" spans="1:11" ht="30" customHeight="1" x14ac:dyDescent="0.25">
      <c r="A117" s="128"/>
      <c r="B117" s="128"/>
      <c r="C117" s="137" t="s">
        <v>299</v>
      </c>
      <c r="D117" s="148" t="s">
        <v>190</v>
      </c>
      <c r="E117" s="108">
        <v>37334.9</v>
      </c>
      <c r="F117" s="108">
        <f t="shared" si="33"/>
        <v>37335</v>
      </c>
      <c r="G117" s="150">
        <f t="shared" si="24"/>
        <v>9.9999999998544808E-2</v>
      </c>
      <c r="H117" s="17"/>
      <c r="I117" s="108">
        <f t="shared" si="34"/>
        <v>37335</v>
      </c>
      <c r="J117" s="150">
        <f t="shared" si="25"/>
        <v>0</v>
      </c>
      <c r="K117" s="17"/>
    </row>
    <row r="118" spans="1:11" x14ac:dyDescent="0.25">
      <c r="B118" s="128"/>
      <c r="C118" s="137" t="s">
        <v>300</v>
      </c>
      <c r="D118" s="148" t="s">
        <v>301</v>
      </c>
      <c r="E118" s="149">
        <v>582946</v>
      </c>
      <c r="F118" s="149">
        <f t="shared" si="33"/>
        <v>582946</v>
      </c>
      <c r="G118" s="151">
        <f t="shared" si="24"/>
        <v>0</v>
      </c>
      <c r="H118" s="29"/>
      <c r="I118" s="149">
        <f>ROUND(F118,0)</f>
        <v>582946</v>
      </c>
      <c r="J118" s="151">
        <f t="shared" si="25"/>
        <v>0</v>
      </c>
      <c r="K118" s="18"/>
    </row>
    <row r="119" spans="1:11" ht="45" customHeight="1" x14ac:dyDescent="0.25">
      <c r="B119" s="128"/>
      <c r="C119" s="137" t="s">
        <v>302</v>
      </c>
      <c r="D119" s="152" t="s">
        <v>303</v>
      </c>
      <c r="E119" s="153">
        <v>390000</v>
      </c>
      <c r="F119" s="153">
        <f t="shared" si="33"/>
        <v>390000</v>
      </c>
      <c r="G119" s="151">
        <f t="shared" si="24"/>
        <v>0</v>
      </c>
      <c r="H119" s="29"/>
      <c r="I119" s="153">
        <f t="shared" si="34"/>
        <v>390000</v>
      </c>
      <c r="J119" s="151">
        <f t="shared" si="25"/>
        <v>0</v>
      </c>
      <c r="K119" s="17"/>
    </row>
    <row r="120" spans="1:11" ht="16.149999999999999" customHeight="1" x14ac:dyDescent="0.25">
      <c r="B120" s="128"/>
      <c r="C120" s="137" t="s">
        <v>304</v>
      </c>
      <c r="D120" s="154" t="s">
        <v>305</v>
      </c>
      <c r="E120" s="155">
        <v>645000</v>
      </c>
      <c r="F120" s="155">
        <f t="shared" si="33"/>
        <v>645000</v>
      </c>
      <c r="G120" s="155">
        <f t="shared" si="24"/>
        <v>0</v>
      </c>
      <c r="H120" s="30"/>
      <c r="I120" s="155">
        <f t="shared" si="34"/>
        <v>645000</v>
      </c>
      <c r="J120" s="155">
        <f t="shared" si="25"/>
        <v>0</v>
      </c>
      <c r="K120" s="17"/>
    </row>
    <row r="121" spans="1:11" ht="16.149999999999999" customHeight="1" x14ac:dyDescent="0.25">
      <c r="B121" s="128"/>
      <c r="C121" s="137" t="s">
        <v>306</v>
      </c>
      <c r="D121" s="154" t="s">
        <v>228</v>
      </c>
      <c r="E121" s="155">
        <v>164032</v>
      </c>
      <c r="F121" s="155">
        <f t="shared" si="33"/>
        <v>164032</v>
      </c>
      <c r="G121" s="155">
        <f t="shared" si="24"/>
        <v>0</v>
      </c>
      <c r="H121" s="30"/>
      <c r="I121" s="155">
        <f t="shared" si="34"/>
        <v>164032</v>
      </c>
      <c r="J121" s="155">
        <f t="shared" si="25"/>
        <v>0</v>
      </c>
      <c r="K121" s="17"/>
    </row>
    <row r="122" spans="1:11" ht="16.899999999999999" customHeight="1" x14ac:dyDescent="0.25">
      <c r="B122" s="128"/>
      <c r="C122" s="137" t="s">
        <v>307</v>
      </c>
      <c r="D122" s="154" t="s">
        <v>230</v>
      </c>
      <c r="E122" s="155">
        <v>907235</v>
      </c>
      <c r="F122" s="155">
        <f t="shared" si="33"/>
        <v>907235</v>
      </c>
      <c r="G122" s="155">
        <f t="shared" si="24"/>
        <v>0</v>
      </c>
      <c r="H122" s="30"/>
      <c r="I122" s="155">
        <f t="shared" si="34"/>
        <v>907235</v>
      </c>
      <c r="J122" s="155">
        <f t="shared" si="25"/>
        <v>0</v>
      </c>
      <c r="K122" s="30"/>
    </row>
    <row r="123" spans="1:11" ht="29.45" customHeight="1" x14ac:dyDescent="0.25">
      <c r="B123" s="128"/>
      <c r="C123" s="156" t="s">
        <v>308</v>
      </c>
      <c r="D123" s="154" t="s">
        <v>309</v>
      </c>
      <c r="E123" s="155">
        <v>203000</v>
      </c>
      <c r="F123" s="155">
        <f t="shared" si="33"/>
        <v>203000</v>
      </c>
      <c r="G123" s="155">
        <f t="shared" si="24"/>
        <v>0</v>
      </c>
      <c r="H123" s="30"/>
      <c r="I123" s="155">
        <f t="shared" si="34"/>
        <v>203000</v>
      </c>
      <c r="J123" s="155">
        <f t="shared" si="25"/>
        <v>0</v>
      </c>
      <c r="K123" s="30"/>
    </row>
    <row r="124" spans="1:11" ht="28.9" customHeight="1" x14ac:dyDescent="0.25">
      <c r="B124" s="128"/>
      <c r="C124" s="137" t="s">
        <v>310</v>
      </c>
      <c r="D124" s="229" t="s">
        <v>311</v>
      </c>
      <c r="E124" s="149">
        <v>126000</v>
      </c>
      <c r="F124" s="149">
        <f t="shared" si="33"/>
        <v>126000</v>
      </c>
      <c r="G124" s="108">
        <f t="shared" si="24"/>
        <v>0</v>
      </c>
      <c r="H124" s="14"/>
      <c r="I124" s="149">
        <f t="shared" si="34"/>
        <v>126000</v>
      </c>
      <c r="J124" s="108">
        <f t="shared" si="25"/>
        <v>0</v>
      </c>
      <c r="K124" s="14"/>
    </row>
    <row r="125" spans="1:11" ht="15.6" customHeight="1" thickBot="1" x14ac:dyDescent="0.3">
      <c r="B125" s="128"/>
      <c r="C125" s="157" t="s">
        <v>694</v>
      </c>
      <c r="D125" s="230" t="s">
        <v>695</v>
      </c>
      <c r="E125" s="231">
        <v>0</v>
      </c>
      <c r="F125" s="231">
        <f t="shared" ref="F125" si="35">ROUND(E125,0)</f>
        <v>0</v>
      </c>
      <c r="G125" s="231">
        <f t="shared" ref="G125" si="36">F125-E125</f>
        <v>0</v>
      </c>
      <c r="H125" s="232"/>
      <c r="I125" s="231">
        <f>ROUND(F125,0)+126000</f>
        <v>126000</v>
      </c>
      <c r="J125" s="231">
        <f t="shared" ref="J125" si="37">I125-F125</f>
        <v>126000</v>
      </c>
      <c r="K125" s="232" t="s">
        <v>696</v>
      </c>
    </row>
    <row r="126" spans="1:11" ht="15.75" thickBot="1" x14ac:dyDescent="0.3">
      <c r="C126" s="158"/>
      <c r="D126" s="159" t="s">
        <v>312</v>
      </c>
      <c r="E126" s="145">
        <v>58162296.232200004</v>
      </c>
      <c r="F126" s="145">
        <f t="shared" ref="F126" si="38">F108+F109+F112</f>
        <v>58220652</v>
      </c>
      <c r="G126" s="145">
        <f t="shared" si="24"/>
        <v>58355.76779999584</v>
      </c>
      <c r="H126" s="31"/>
      <c r="I126" s="145">
        <f t="shared" ref="I126" si="39">I108+I109+I112</f>
        <v>58714633</v>
      </c>
      <c r="J126" s="145">
        <f t="shared" si="25"/>
        <v>493981</v>
      </c>
      <c r="K126" s="31"/>
    </row>
    <row r="128" spans="1:11" x14ac:dyDescent="0.25">
      <c r="E128" s="96"/>
      <c r="F128" s="96"/>
      <c r="G128" s="96"/>
      <c r="I128" s="96"/>
      <c r="J128" s="96"/>
    </row>
    <row r="129" spans="2:11" ht="20.25" x14ac:dyDescent="0.3">
      <c r="C129" s="346" t="s">
        <v>313</v>
      </c>
      <c r="D129" s="346"/>
      <c r="E129" s="96"/>
      <c r="F129" s="96"/>
      <c r="G129" s="96"/>
      <c r="I129" s="96"/>
      <c r="J129" s="96"/>
    </row>
    <row r="130" spans="2:11" ht="15.75" thickBot="1" x14ac:dyDescent="0.3">
      <c r="C130" s="347"/>
      <c r="D130" s="347"/>
      <c r="E130" s="33"/>
      <c r="F130" s="33"/>
      <c r="G130" s="33"/>
      <c r="I130" s="33"/>
      <c r="J130" s="33"/>
    </row>
    <row r="131" spans="2:11" ht="47.25" customHeight="1" outlineLevel="1" thickBot="1" x14ac:dyDescent="0.3">
      <c r="C131" s="97" t="s">
        <v>3</v>
      </c>
      <c r="D131" s="98" t="s">
        <v>4</v>
      </c>
      <c r="E131" s="9" t="s">
        <v>6</v>
      </c>
      <c r="F131" s="9" t="s">
        <v>7</v>
      </c>
      <c r="G131" s="9" t="s">
        <v>8</v>
      </c>
      <c r="H131" s="10" t="s">
        <v>314</v>
      </c>
      <c r="I131" s="9" t="s">
        <v>10</v>
      </c>
      <c r="J131" s="9" t="s">
        <v>11</v>
      </c>
      <c r="K131" s="10" t="s">
        <v>314</v>
      </c>
    </row>
    <row r="132" spans="2:11" x14ac:dyDescent="0.25">
      <c r="C132" s="161" t="s">
        <v>15</v>
      </c>
      <c r="D132" s="162" t="s">
        <v>315</v>
      </c>
      <c r="E132" s="163">
        <v>8245497.4604350002</v>
      </c>
      <c r="F132" s="163">
        <f t="shared" ref="F132" si="40">SUM(F133:F141)</f>
        <v>8245497</v>
      </c>
      <c r="G132" s="163">
        <f t="shared" ref="G132:G195" si="41">F132-E132</f>
        <v>-0.46043500024825335</v>
      </c>
      <c r="H132" s="34"/>
      <c r="I132" s="163">
        <f t="shared" ref="I132" si="42">SUM(I133:I141)</f>
        <v>8253567</v>
      </c>
      <c r="J132" s="163">
        <f t="shared" ref="J132:J195" si="43">I132-F132</f>
        <v>8070</v>
      </c>
      <c r="K132" s="34"/>
    </row>
    <row r="133" spans="2:11" ht="31.5" customHeight="1" x14ac:dyDescent="0.25">
      <c r="B133" s="128" t="s">
        <v>316</v>
      </c>
      <c r="C133" s="164" t="s">
        <v>19</v>
      </c>
      <c r="D133" s="165" t="s">
        <v>317</v>
      </c>
      <c r="E133" s="122">
        <v>1904696</v>
      </c>
      <c r="F133" s="122">
        <f>ROUND(E133,0)</f>
        <v>1904696</v>
      </c>
      <c r="G133" s="122">
        <f t="shared" si="41"/>
        <v>0</v>
      </c>
      <c r="H133" s="23"/>
      <c r="I133" s="122">
        <f>ROUND(F133,0)-16038</f>
        <v>1888658</v>
      </c>
      <c r="J133" s="130">
        <f t="shared" si="43"/>
        <v>-16038</v>
      </c>
      <c r="K133" s="166" t="s">
        <v>683</v>
      </c>
    </row>
    <row r="134" spans="2:11" x14ac:dyDescent="0.25">
      <c r="B134" s="128" t="s">
        <v>318</v>
      </c>
      <c r="C134" s="164" t="s">
        <v>22</v>
      </c>
      <c r="D134" s="165" t="s">
        <v>319</v>
      </c>
      <c r="E134" s="122">
        <v>355819</v>
      </c>
      <c r="F134" s="122">
        <f t="shared" ref="F134:F143" si="44">ROUND(E134,0)</f>
        <v>355819</v>
      </c>
      <c r="G134" s="122">
        <f t="shared" si="41"/>
        <v>0</v>
      </c>
      <c r="H134" s="35"/>
      <c r="I134" s="122">
        <f t="shared" ref="I134:I139" si="45">ROUND(F134,0)</f>
        <v>355819</v>
      </c>
      <c r="J134" s="122">
        <f t="shared" si="43"/>
        <v>0</v>
      </c>
      <c r="K134" s="35"/>
    </row>
    <row r="135" spans="2:11" ht="13.15" customHeight="1" x14ac:dyDescent="0.25">
      <c r="B135" s="128" t="s">
        <v>320</v>
      </c>
      <c r="C135" s="164" t="s">
        <v>321</v>
      </c>
      <c r="D135" s="165" t="s">
        <v>322</v>
      </c>
      <c r="E135" s="122">
        <v>58895</v>
      </c>
      <c r="F135" s="122">
        <f>ROUND(E135,0)</f>
        <v>58895</v>
      </c>
      <c r="G135" s="122">
        <f t="shared" si="41"/>
        <v>0</v>
      </c>
      <c r="H135" s="23"/>
      <c r="I135" s="122">
        <f t="shared" si="45"/>
        <v>58895</v>
      </c>
      <c r="J135" s="122">
        <f t="shared" si="43"/>
        <v>0</v>
      </c>
      <c r="K135" s="23"/>
    </row>
    <row r="136" spans="2:11" ht="14.45" customHeight="1" x14ac:dyDescent="0.25">
      <c r="B136" s="128" t="s">
        <v>323</v>
      </c>
      <c r="C136" s="164" t="s">
        <v>324</v>
      </c>
      <c r="D136" s="165" t="s">
        <v>325</v>
      </c>
      <c r="E136" s="122">
        <v>50294</v>
      </c>
      <c r="F136" s="122">
        <f t="shared" si="44"/>
        <v>50294</v>
      </c>
      <c r="G136" s="122">
        <f t="shared" si="41"/>
        <v>0</v>
      </c>
      <c r="H136" s="23"/>
      <c r="I136" s="122">
        <f t="shared" si="45"/>
        <v>50294</v>
      </c>
      <c r="J136" s="122">
        <f t="shared" si="43"/>
        <v>0</v>
      </c>
      <c r="K136" s="23"/>
    </row>
    <row r="137" spans="2:11" ht="18" customHeight="1" x14ac:dyDescent="0.25">
      <c r="B137" s="128" t="s">
        <v>326</v>
      </c>
      <c r="C137" s="164" t="s">
        <v>327</v>
      </c>
      <c r="D137" s="165" t="s">
        <v>328</v>
      </c>
      <c r="E137" s="122">
        <v>6588</v>
      </c>
      <c r="F137" s="122">
        <f t="shared" si="44"/>
        <v>6588</v>
      </c>
      <c r="G137" s="122">
        <f t="shared" si="41"/>
        <v>0</v>
      </c>
      <c r="H137" s="35"/>
      <c r="I137" s="122">
        <f t="shared" si="45"/>
        <v>6588</v>
      </c>
      <c r="J137" s="122">
        <f t="shared" si="43"/>
        <v>0</v>
      </c>
      <c r="K137" s="35"/>
    </row>
    <row r="138" spans="2:11" ht="29.45" customHeight="1" x14ac:dyDescent="0.25">
      <c r="B138" s="128" t="s">
        <v>329</v>
      </c>
      <c r="C138" s="164" t="s">
        <v>330</v>
      </c>
      <c r="D138" s="165" t="s">
        <v>331</v>
      </c>
      <c r="E138" s="122">
        <v>71620</v>
      </c>
      <c r="F138" s="122">
        <f t="shared" si="44"/>
        <v>71620</v>
      </c>
      <c r="G138" s="122">
        <f t="shared" si="41"/>
        <v>0</v>
      </c>
      <c r="H138" s="35"/>
      <c r="I138" s="122">
        <f>ROUND(F138,0)-2000</f>
        <v>69620</v>
      </c>
      <c r="J138" s="122">
        <f t="shared" si="43"/>
        <v>-2000</v>
      </c>
      <c r="K138" s="35" t="s">
        <v>332</v>
      </c>
    </row>
    <row r="139" spans="2:11" ht="15.6" customHeight="1" x14ac:dyDescent="0.25">
      <c r="B139" s="128" t="s">
        <v>316</v>
      </c>
      <c r="C139" s="164" t="s">
        <v>333</v>
      </c>
      <c r="D139" s="165" t="s">
        <v>334</v>
      </c>
      <c r="E139" s="122">
        <v>1047339</v>
      </c>
      <c r="F139" s="122">
        <f t="shared" si="44"/>
        <v>1047339</v>
      </c>
      <c r="G139" s="122">
        <f t="shared" si="41"/>
        <v>0</v>
      </c>
      <c r="H139" s="23"/>
      <c r="I139" s="122">
        <f t="shared" si="45"/>
        <v>1047339</v>
      </c>
      <c r="J139" s="122">
        <f t="shared" si="43"/>
        <v>0</v>
      </c>
      <c r="K139" s="23"/>
    </row>
    <row r="140" spans="2:11" x14ac:dyDescent="0.25">
      <c r="B140" s="128" t="s">
        <v>316</v>
      </c>
      <c r="C140" s="164" t="s">
        <v>335</v>
      </c>
      <c r="D140" s="165" t="s">
        <v>336</v>
      </c>
      <c r="E140" s="122">
        <v>4392666</v>
      </c>
      <c r="F140" s="122">
        <f t="shared" si="44"/>
        <v>4392666</v>
      </c>
      <c r="G140" s="122">
        <f t="shared" si="41"/>
        <v>0</v>
      </c>
      <c r="H140" s="35"/>
      <c r="I140" s="122">
        <f>ROUND(F140,0)+26108</f>
        <v>4418774</v>
      </c>
      <c r="J140" s="122">
        <f t="shared" si="43"/>
        <v>26108</v>
      </c>
      <c r="K140" s="35" t="s">
        <v>21</v>
      </c>
    </row>
    <row r="141" spans="2:11" ht="45.6" customHeight="1" x14ac:dyDescent="0.25">
      <c r="B141" s="128" t="s">
        <v>337</v>
      </c>
      <c r="C141" s="164" t="s">
        <v>338</v>
      </c>
      <c r="D141" s="165" t="s">
        <v>339</v>
      </c>
      <c r="E141" s="122">
        <v>357580.46043500002</v>
      </c>
      <c r="F141" s="122">
        <f>ROUND(E141,0)</f>
        <v>357580</v>
      </c>
      <c r="G141" s="122">
        <f t="shared" si="41"/>
        <v>-0.4604350000154227</v>
      </c>
      <c r="H141" s="23"/>
      <c r="I141" s="122">
        <f>ROUND(F141,0)</f>
        <v>357580</v>
      </c>
      <c r="J141" s="122">
        <f t="shared" si="43"/>
        <v>0</v>
      </c>
      <c r="K141" s="23"/>
    </row>
    <row r="142" spans="2:11" x14ac:dyDescent="0.25">
      <c r="C142" s="167" t="s">
        <v>27</v>
      </c>
      <c r="D142" s="168" t="s">
        <v>340</v>
      </c>
      <c r="E142" s="112">
        <v>0</v>
      </c>
      <c r="F142" s="112">
        <f t="shared" si="44"/>
        <v>0</v>
      </c>
      <c r="G142" s="112">
        <f t="shared" si="41"/>
        <v>0</v>
      </c>
      <c r="H142" s="15"/>
      <c r="I142" s="112">
        <f>ROUND(F142,0)</f>
        <v>0</v>
      </c>
      <c r="J142" s="112">
        <f t="shared" si="43"/>
        <v>0</v>
      </c>
      <c r="K142" s="15"/>
    </row>
    <row r="143" spans="2:11" ht="32.25" customHeight="1" x14ac:dyDescent="0.25">
      <c r="B143" s="128" t="s">
        <v>341</v>
      </c>
      <c r="C143" s="164" t="s">
        <v>30</v>
      </c>
      <c r="D143" s="165" t="s">
        <v>342</v>
      </c>
      <c r="E143" s="122">
        <v>0</v>
      </c>
      <c r="F143" s="122">
        <f t="shared" si="44"/>
        <v>0</v>
      </c>
      <c r="G143" s="122">
        <f t="shared" si="41"/>
        <v>0</v>
      </c>
      <c r="H143" s="35"/>
      <c r="I143" s="122">
        <f>ROUND(F143,0)</f>
        <v>0</v>
      </c>
      <c r="J143" s="122">
        <f t="shared" si="43"/>
        <v>0</v>
      </c>
      <c r="K143" s="35"/>
    </row>
    <row r="144" spans="2:11" ht="15" customHeight="1" collapsed="1" x14ac:dyDescent="0.25">
      <c r="B144" s="128" t="s">
        <v>343</v>
      </c>
      <c r="C144" s="167" t="s">
        <v>35</v>
      </c>
      <c r="D144" s="168" t="s">
        <v>344</v>
      </c>
      <c r="E144" s="112">
        <v>936069.29245700024</v>
      </c>
      <c r="F144" s="112">
        <f>ROUND(E144,0)</f>
        <v>936069</v>
      </c>
      <c r="G144" s="112">
        <f t="shared" si="41"/>
        <v>-0.29245700023602694</v>
      </c>
      <c r="H144" s="19"/>
      <c r="I144" s="112">
        <f>ROUND(F144,0)</f>
        <v>936069</v>
      </c>
      <c r="J144" s="112">
        <f t="shared" si="43"/>
        <v>0</v>
      </c>
      <c r="K144" s="169"/>
    </row>
    <row r="145" spans="2:11" s="170" customFormat="1" ht="16.899999999999999" customHeight="1" x14ac:dyDescent="0.25">
      <c r="C145" s="167" t="s">
        <v>43</v>
      </c>
      <c r="D145" s="168" t="s">
        <v>345</v>
      </c>
      <c r="E145" s="112">
        <v>556693.29264600005</v>
      </c>
      <c r="F145" s="112">
        <f t="shared" ref="F145" si="46">F146+F149</f>
        <v>556693</v>
      </c>
      <c r="G145" s="112">
        <f t="shared" si="41"/>
        <v>-0.29264600004535168</v>
      </c>
      <c r="H145" s="19"/>
      <c r="I145" s="112">
        <f t="shared" ref="I145" si="47">I146+I149</f>
        <v>589278</v>
      </c>
      <c r="J145" s="112">
        <f t="shared" si="43"/>
        <v>32585</v>
      </c>
      <c r="K145" s="19"/>
    </row>
    <row r="146" spans="2:11" x14ac:dyDescent="0.25">
      <c r="B146" s="128" t="s">
        <v>346</v>
      </c>
      <c r="C146" s="164" t="s">
        <v>46</v>
      </c>
      <c r="D146" s="165" t="s">
        <v>347</v>
      </c>
      <c r="E146" s="122">
        <v>207617.29264600005</v>
      </c>
      <c r="F146" s="122">
        <f>SUM(F147:F148)</f>
        <v>207617</v>
      </c>
      <c r="G146" s="122">
        <f t="shared" ref="G146" si="48">SUM(G147:G148)</f>
        <v>3.7353999970946461E-2</v>
      </c>
      <c r="H146" s="122"/>
      <c r="I146" s="122">
        <f>SUM(I147:I148)</f>
        <v>207617</v>
      </c>
      <c r="J146" s="122">
        <f t="shared" si="43"/>
        <v>0</v>
      </c>
      <c r="K146" s="122"/>
    </row>
    <row r="147" spans="2:11" x14ac:dyDescent="0.25">
      <c r="B147" s="128" t="s">
        <v>346</v>
      </c>
      <c r="C147" s="171" t="s">
        <v>348</v>
      </c>
      <c r="D147" s="172" t="s">
        <v>349</v>
      </c>
      <c r="E147" s="108">
        <v>162450.96264600003</v>
      </c>
      <c r="F147" s="108">
        <f>ROUND(E147,0)</f>
        <v>162451</v>
      </c>
      <c r="G147" s="108">
        <f t="shared" si="41"/>
        <v>3.7353999970946461E-2</v>
      </c>
      <c r="H147" s="14"/>
      <c r="I147" s="108">
        <f>ROUND(F147,0)</f>
        <v>162451</v>
      </c>
      <c r="J147" s="108">
        <f t="shared" si="43"/>
        <v>0</v>
      </c>
      <c r="K147" s="14"/>
    </row>
    <row r="148" spans="2:11" x14ac:dyDescent="0.25">
      <c r="B148" s="128"/>
      <c r="C148" s="171" t="s">
        <v>350</v>
      </c>
      <c r="D148" s="172" t="s">
        <v>351</v>
      </c>
      <c r="E148" s="108">
        <v>45166.33</v>
      </c>
      <c r="F148" s="108">
        <f>ROUND(E148,0)</f>
        <v>45166</v>
      </c>
      <c r="G148" s="108"/>
      <c r="H148" s="14"/>
      <c r="I148" s="108">
        <f>ROUND(F148,0)</f>
        <v>45166</v>
      </c>
      <c r="J148" s="108">
        <f t="shared" si="43"/>
        <v>0</v>
      </c>
      <c r="K148" s="14"/>
    </row>
    <row r="149" spans="2:11" x14ac:dyDescent="0.25">
      <c r="B149" s="128" t="s">
        <v>352</v>
      </c>
      <c r="C149" s="164" t="s">
        <v>48</v>
      </c>
      <c r="D149" s="165" t="s">
        <v>353</v>
      </c>
      <c r="E149" s="122">
        <v>349076</v>
      </c>
      <c r="F149" s="122">
        <f>ROUND(E149,0)</f>
        <v>349076</v>
      </c>
      <c r="G149" s="122">
        <f t="shared" si="41"/>
        <v>0</v>
      </c>
      <c r="H149" s="35"/>
      <c r="I149" s="122">
        <f>ROUND(F149,0)+32585</f>
        <v>381661</v>
      </c>
      <c r="J149" s="122">
        <f t="shared" si="43"/>
        <v>32585</v>
      </c>
      <c r="K149" s="122" t="s">
        <v>169</v>
      </c>
    </row>
    <row r="150" spans="2:11" x14ac:dyDescent="0.25">
      <c r="C150" s="167" t="s">
        <v>49</v>
      </c>
      <c r="D150" s="168" t="s">
        <v>354</v>
      </c>
      <c r="E150" s="112">
        <v>260002</v>
      </c>
      <c r="F150" s="112">
        <f t="shared" ref="F150" si="49">F151</f>
        <v>260002</v>
      </c>
      <c r="G150" s="112">
        <f t="shared" si="41"/>
        <v>0</v>
      </c>
      <c r="H150" s="15"/>
      <c r="I150" s="112">
        <f t="shared" ref="I150" si="50">I151</f>
        <v>260002</v>
      </c>
      <c r="J150" s="112">
        <f t="shared" si="43"/>
        <v>0</v>
      </c>
      <c r="K150" s="15"/>
    </row>
    <row r="151" spans="2:11" ht="16.149999999999999" customHeight="1" x14ac:dyDescent="0.25">
      <c r="B151" s="128" t="s">
        <v>355</v>
      </c>
      <c r="C151" s="164" t="s">
        <v>52</v>
      </c>
      <c r="D151" s="165" t="s">
        <v>356</v>
      </c>
      <c r="E151" s="122">
        <v>260002</v>
      </c>
      <c r="F151" s="122">
        <f>ROUND(E151,0)</f>
        <v>260002</v>
      </c>
      <c r="G151" s="122">
        <f t="shared" si="41"/>
        <v>0</v>
      </c>
      <c r="H151" s="23"/>
      <c r="I151" s="122">
        <f>ROUND(F151,0)</f>
        <v>260002</v>
      </c>
      <c r="J151" s="122">
        <f t="shared" si="43"/>
        <v>0</v>
      </c>
      <c r="K151" s="23"/>
    </row>
    <row r="152" spans="2:11" ht="29.25" x14ac:dyDescent="0.25">
      <c r="C152" s="167" t="s">
        <v>57</v>
      </c>
      <c r="D152" s="168" t="s">
        <v>357</v>
      </c>
      <c r="E152" s="112">
        <v>16329241.372453</v>
      </c>
      <c r="F152" s="112">
        <f t="shared" ref="F152" si="51">F153+F154+F155+F156+F167</f>
        <v>16329241</v>
      </c>
      <c r="G152" s="112">
        <f>G154+G155+G156+G167</f>
        <v>-0.3724529993487522</v>
      </c>
      <c r="H152" s="112"/>
      <c r="I152" s="112">
        <f t="shared" ref="I152" si="52">I153+I154+I155+I156+I167</f>
        <v>16651546</v>
      </c>
      <c r="J152" s="112">
        <f t="shared" si="43"/>
        <v>322305</v>
      </c>
      <c r="K152" s="112"/>
    </row>
    <row r="153" spans="2:11" ht="32.25" customHeight="1" x14ac:dyDescent="0.25">
      <c r="B153" s="128" t="s">
        <v>341</v>
      </c>
      <c r="C153" s="164" t="s">
        <v>60</v>
      </c>
      <c r="D153" s="173" t="s">
        <v>342</v>
      </c>
      <c r="E153" s="122">
        <v>70000</v>
      </c>
      <c r="F153" s="122">
        <f>ROUND(E153,0)</f>
        <v>70000</v>
      </c>
      <c r="G153" s="122">
        <f>F153-E153</f>
        <v>0</v>
      </c>
      <c r="H153" s="35"/>
      <c r="I153" s="122">
        <f>ROUND(F153,0)</f>
        <v>70000</v>
      </c>
      <c r="J153" s="122">
        <f t="shared" si="43"/>
        <v>0</v>
      </c>
      <c r="K153" s="35"/>
    </row>
    <row r="154" spans="2:11" ht="19.149999999999999" customHeight="1" x14ac:dyDescent="0.25">
      <c r="B154" s="128" t="s">
        <v>358</v>
      </c>
      <c r="C154" s="164" t="s">
        <v>72</v>
      </c>
      <c r="D154" s="173" t="s">
        <v>359</v>
      </c>
      <c r="E154" s="174">
        <v>313523.70461999997</v>
      </c>
      <c r="F154" s="174">
        <f>ROUND(E154,0)</f>
        <v>313524</v>
      </c>
      <c r="G154" s="174">
        <f t="shared" si="41"/>
        <v>0.29538000002503395</v>
      </c>
      <c r="H154" s="23"/>
      <c r="I154" s="174">
        <f>ROUND(F154,0)+15000</f>
        <v>328524</v>
      </c>
      <c r="J154" s="175">
        <f t="shared" si="43"/>
        <v>15000</v>
      </c>
      <c r="K154" s="176" t="s">
        <v>684</v>
      </c>
    </row>
    <row r="155" spans="2:11" ht="30" customHeight="1" x14ac:dyDescent="0.25">
      <c r="B155" s="128" t="s">
        <v>360</v>
      </c>
      <c r="C155" s="164" t="s">
        <v>361</v>
      </c>
      <c r="D155" s="173" t="s">
        <v>362</v>
      </c>
      <c r="E155" s="174">
        <v>345571.12844500004</v>
      </c>
      <c r="F155" s="174">
        <f>ROUND(E155,0)</f>
        <v>345571</v>
      </c>
      <c r="G155" s="174">
        <f t="shared" si="41"/>
        <v>-0.12844500003848225</v>
      </c>
      <c r="H155" s="23"/>
      <c r="I155" s="174">
        <f>ROUND(F155,0)-11083</f>
        <v>334488</v>
      </c>
      <c r="J155" s="175">
        <f t="shared" si="43"/>
        <v>-11083</v>
      </c>
      <c r="K155" s="166" t="s">
        <v>683</v>
      </c>
    </row>
    <row r="156" spans="2:11" x14ac:dyDescent="0.25">
      <c r="C156" s="164" t="s">
        <v>363</v>
      </c>
      <c r="D156" s="173" t="s">
        <v>364</v>
      </c>
      <c r="E156" s="174">
        <v>1526970.0498800001</v>
      </c>
      <c r="F156" s="174">
        <f t="shared" ref="F156:G156" si="53">SUM(F157:F166)</f>
        <v>1526970</v>
      </c>
      <c r="G156" s="174">
        <f t="shared" si="53"/>
        <v>-4.9880000064149499E-2</v>
      </c>
      <c r="H156" s="174"/>
      <c r="I156" s="174">
        <f t="shared" ref="I156" si="54">SUM(I157:I166)</f>
        <v>1509840</v>
      </c>
      <c r="J156" s="174">
        <f t="shared" si="43"/>
        <v>-17130</v>
      </c>
      <c r="K156" s="174"/>
    </row>
    <row r="157" spans="2:11" ht="28.15" customHeight="1" x14ac:dyDescent="0.25">
      <c r="B157" s="128" t="s">
        <v>176</v>
      </c>
      <c r="C157" s="171" t="s">
        <v>365</v>
      </c>
      <c r="D157" s="154" t="s">
        <v>366</v>
      </c>
      <c r="E157" s="108">
        <v>1009113.0498800001</v>
      </c>
      <c r="F157" s="108">
        <f>ROUND(E157,0)+5033</f>
        <v>1014146</v>
      </c>
      <c r="G157" s="108">
        <f t="shared" si="41"/>
        <v>5032.9501199999359</v>
      </c>
      <c r="H157" s="36" t="s">
        <v>367</v>
      </c>
      <c r="I157" s="108">
        <f>ROUND(F157,0)-17130</f>
        <v>997016</v>
      </c>
      <c r="J157" s="109">
        <f t="shared" si="43"/>
        <v>-17130</v>
      </c>
      <c r="K157" s="177" t="s">
        <v>683</v>
      </c>
    </row>
    <row r="158" spans="2:11" ht="15" customHeight="1" x14ac:dyDescent="0.25">
      <c r="B158" s="128" t="s">
        <v>368</v>
      </c>
      <c r="C158" s="171" t="s">
        <v>369</v>
      </c>
      <c r="D158" s="178" t="s">
        <v>370</v>
      </c>
      <c r="E158" s="108">
        <v>40000</v>
      </c>
      <c r="F158" s="108">
        <f t="shared" ref="F158:F163" si="55">ROUND(E158,0)</f>
        <v>40000</v>
      </c>
      <c r="G158" s="108">
        <f t="shared" si="41"/>
        <v>0</v>
      </c>
      <c r="H158" s="36"/>
      <c r="I158" s="108">
        <f t="shared" ref="I158:I163" si="56">ROUND(F158,0)</f>
        <v>40000</v>
      </c>
      <c r="J158" s="108">
        <f t="shared" si="43"/>
        <v>0</v>
      </c>
      <c r="K158" s="36"/>
    </row>
    <row r="159" spans="2:11" ht="16.5" customHeight="1" x14ac:dyDescent="0.25">
      <c r="B159" s="128" t="s">
        <v>368</v>
      </c>
      <c r="C159" s="171" t="s">
        <v>371</v>
      </c>
      <c r="D159" s="178" t="s">
        <v>372</v>
      </c>
      <c r="E159" s="108">
        <v>10000</v>
      </c>
      <c r="F159" s="108">
        <f t="shared" si="55"/>
        <v>10000</v>
      </c>
      <c r="G159" s="108">
        <f t="shared" si="41"/>
        <v>0</v>
      </c>
      <c r="H159" s="36"/>
      <c r="I159" s="108">
        <f t="shared" si="56"/>
        <v>10000</v>
      </c>
      <c r="J159" s="108">
        <f t="shared" si="43"/>
        <v>0</v>
      </c>
      <c r="K159" s="36"/>
    </row>
    <row r="160" spans="2:11" ht="28.15" customHeight="1" x14ac:dyDescent="0.25">
      <c r="B160" s="128" t="s">
        <v>373</v>
      </c>
      <c r="C160" s="179" t="s">
        <v>374</v>
      </c>
      <c r="D160" s="180" t="s">
        <v>375</v>
      </c>
      <c r="E160" s="108">
        <v>42000</v>
      </c>
      <c r="F160" s="108">
        <f>ROUND(E160,0)+18000</f>
        <v>60000</v>
      </c>
      <c r="G160" s="108">
        <f t="shared" si="41"/>
        <v>18000</v>
      </c>
      <c r="H160" s="36" t="s">
        <v>376</v>
      </c>
      <c r="I160" s="108">
        <f t="shared" si="56"/>
        <v>60000</v>
      </c>
      <c r="J160" s="108">
        <f t="shared" si="43"/>
        <v>0</v>
      </c>
      <c r="K160" s="36"/>
    </row>
    <row r="161" spans="2:11" ht="32.450000000000003" customHeight="1" x14ac:dyDescent="0.25">
      <c r="B161" s="128" t="s">
        <v>377</v>
      </c>
      <c r="C161" s="179" t="s">
        <v>378</v>
      </c>
      <c r="D161" s="181" t="s">
        <v>379</v>
      </c>
      <c r="E161" s="108">
        <v>85290</v>
      </c>
      <c r="F161" s="108">
        <f t="shared" si="55"/>
        <v>85290</v>
      </c>
      <c r="G161" s="108">
        <f t="shared" si="41"/>
        <v>0</v>
      </c>
      <c r="H161" s="36"/>
      <c r="I161" s="108">
        <f t="shared" si="56"/>
        <v>85290</v>
      </c>
      <c r="J161" s="108">
        <f t="shared" si="43"/>
        <v>0</v>
      </c>
      <c r="K161" s="36"/>
    </row>
    <row r="162" spans="2:11" ht="15.75" customHeight="1" x14ac:dyDescent="0.25">
      <c r="B162" s="128" t="s">
        <v>380</v>
      </c>
      <c r="C162" s="179" t="s">
        <v>381</v>
      </c>
      <c r="D162" s="181" t="s">
        <v>224</v>
      </c>
      <c r="E162" s="108">
        <v>236171</v>
      </c>
      <c r="F162" s="108">
        <f t="shared" si="55"/>
        <v>236171</v>
      </c>
      <c r="G162" s="108">
        <f t="shared" si="41"/>
        <v>0</v>
      </c>
      <c r="H162" s="36"/>
      <c r="I162" s="108">
        <f t="shared" si="56"/>
        <v>236171</v>
      </c>
      <c r="J162" s="108">
        <f t="shared" si="43"/>
        <v>0</v>
      </c>
      <c r="K162" s="36"/>
    </row>
    <row r="163" spans="2:11" ht="25.15" customHeight="1" x14ac:dyDescent="0.25">
      <c r="B163" s="128" t="s">
        <v>382</v>
      </c>
      <c r="C163" s="179" t="s">
        <v>383</v>
      </c>
      <c r="D163" s="181" t="s">
        <v>190</v>
      </c>
      <c r="E163" s="108">
        <v>53240</v>
      </c>
      <c r="F163" s="108">
        <f t="shared" si="55"/>
        <v>53240</v>
      </c>
      <c r="G163" s="108">
        <f t="shared" si="41"/>
        <v>0</v>
      </c>
      <c r="H163" s="20"/>
      <c r="I163" s="108">
        <f t="shared" si="56"/>
        <v>53240</v>
      </c>
      <c r="J163" s="108">
        <f t="shared" si="43"/>
        <v>0</v>
      </c>
      <c r="K163" s="20"/>
    </row>
    <row r="164" spans="2:11" ht="13.15" customHeight="1" x14ac:dyDescent="0.25">
      <c r="B164" s="128" t="s">
        <v>176</v>
      </c>
      <c r="C164" s="179" t="s">
        <v>384</v>
      </c>
      <c r="D164" s="131" t="s">
        <v>385</v>
      </c>
      <c r="E164" s="108">
        <v>32020</v>
      </c>
      <c r="F164" s="108">
        <f>32020-18000-5033</f>
        <v>8987</v>
      </c>
      <c r="G164" s="108">
        <f t="shared" si="41"/>
        <v>-23033</v>
      </c>
      <c r="H164" s="36" t="s">
        <v>386</v>
      </c>
      <c r="I164" s="108">
        <f>32020-18000-5033</f>
        <v>8987</v>
      </c>
      <c r="J164" s="108">
        <f t="shared" si="43"/>
        <v>0</v>
      </c>
      <c r="K164" s="36"/>
    </row>
    <row r="165" spans="2:11" ht="27.6" customHeight="1" x14ac:dyDescent="0.25">
      <c r="B165" s="128" t="s">
        <v>257</v>
      </c>
      <c r="C165" s="179" t="s">
        <v>387</v>
      </c>
      <c r="D165" s="181" t="s">
        <v>388</v>
      </c>
      <c r="E165" s="108">
        <v>4136</v>
      </c>
      <c r="F165" s="108">
        <v>4136</v>
      </c>
      <c r="G165" s="108">
        <f t="shared" si="41"/>
        <v>0</v>
      </c>
      <c r="H165" s="36"/>
      <c r="I165" s="108">
        <f>4136-1298</f>
        <v>2838</v>
      </c>
      <c r="J165" s="108">
        <f t="shared" si="43"/>
        <v>-1298</v>
      </c>
      <c r="K165" s="348" t="s">
        <v>685</v>
      </c>
    </row>
    <row r="166" spans="2:11" ht="31.9" customHeight="1" x14ac:dyDescent="0.25">
      <c r="B166" s="128" t="s">
        <v>389</v>
      </c>
      <c r="C166" s="179" t="s">
        <v>390</v>
      </c>
      <c r="D166" s="181" t="s">
        <v>226</v>
      </c>
      <c r="E166" s="108">
        <v>15000</v>
      </c>
      <c r="F166" s="108">
        <v>15000</v>
      </c>
      <c r="G166" s="108">
        <f t="shared" si="41"/>
        <v>0</v>
      </c>
      <c r="H166" s="36"/>
      <c r="I166" s="108">
        <f>15000+1298</f>
        <v>16298</v>
      </c>
      <c r="J166" s="108">
        <f t="shared" si="43"/>
        <v>1298</v>
      </c>
      <c r="K166" s="349"/>
    </row>
    <row r="167" spans="2:11" ht="29.25" customHeight="1" x14ac:dyDescent="0.25">
      <c r="C167" s="164" t="s">
        <v>391</v>
      </c>
      <c r="D167" s="173" t="s">
        <v>392</v>
      </c>
      <c r="E167" s="174">
        <v>14073176.489507999</v>
      </c>
      <c r="F167" s="174">
        <f t="shared" ref="F167" si="57">SUM(F168:F173,F177:F185)</f>
        <v>14073176</v>
      </c>
      <c r="G167" s="174">
        <f t="shared" si="41"/>
        <v>-0.4895079992711544</v>
      </c>
      <c r="H167" s="37"/>
      <c r="I167" s="174">
        <f t="shared" ref="I167" si="58">SUM(I168:I173,I177:I185)</f>
        <v>14408694</v>
      </c>
      <c r="J167" s="174">
        <f t="shared" si="43"/>
        <v>335518</v>
      </c>
      <c r="K167" s="37"/>
    </row>
    <row r="168" spans="2:11" s="132" customFormat="1" ht="17.25" hidden="1" customHeight="1" outlineLevel="1" x14ac:dyDescent="0.25">
      <c r="C168" s="182" t="s">
        <v>393</v>
      </c>
      <c r="D168" s="183" t="s">
        <v>394</v>
      </c>
      <c r="E168" s="108">
        <v>0</v>
      </c>
      <c r="F168" s="108">
        <f>ROUND(E168,0)</f>
        <v>0</v>
      </c>
      <c r="G168" s="108">
        <f t="shared" si="41"/>
        <v>0</v>
      </c>
      <c r="H168" s="38"/>
      <c r="I168" s="108">
        <f>ROUND(F168,0)</f>
        <v>0</v>
      </c>
      <c r="J168" s="108">
        <f t="shared" si="43"/>
        <v>0</v>
      </c>
      <c r="K168" s="38"/>
    </row>
    <row r="169" spans="2:11" ht="15.75" customHeight="1" collapsed="1" x14ac:dyDescent="0.25">
      <c r="B169" s="128" t="s">
        <v>395</v>
      </c>
      <c r="C169" s="171" t="s">
        <v>393</v>
      </c>
      <c r="D169" s="184" t="s">
        <v>396</v>
      </c>
      <c r="E169" s="108">
        <v>160572.14087500004</v>
      </c>
      <c r="F169" s="108">
        <f>ROUND(E169,0)</f>
        <v>160572</v>
      </c>
      <c r="G169" s="108">
        <f t="shared" si="41"/>
        <v>-0.14087500004097819</v>
      </c>
      <c r="H169" s="39"/>
      <c r="I169" s="108">
        <f>ROUND(F169,0)</f>
        <v>160572</v>
      </c>
      <c r="J169" s="108">
        <f t="shared" si="43"/>
        <v>0</v>
      </c>
      <c r="K169" s="39"/>
    </row>
    <row r="170" spans="2:11" ht="13.9" customHeight="1" x14ac:dyDescent="0.25">
      <c r="B170" s="128" t="s">
        <v>397</v>
      </c>
      <c r="C170" s="171" t="s">
        <v>398</v>
      </c>
      <c r="D170" s="181" t="s">
        <v>399</v>
      </c>
      <c r="E170" s="108">
        <v>355701</v>
      </c>
      <c r="F170" s="108">
        <f t="shared" ref="F170:F182" si="59">ROUND(E170,0)</f>
        <v>355701</v>
      </c>
      <c r="G170" s="108">
        <f t="shared" si="41"/>
        <v>0</v>
      </c>
      <c r="H170" s="36"/>
      <c r="I170" s="108">
        <f>ROUND(F170,0)</f>
        <v>355701</v>
      </c>
      <c r="J170" s="108">
        <f t="shared" si="43"/>
        <v>0</v>
      </c>
      <c r="K170" s="36"/>
    </row>
    <row r="171" spans="2:11" ht="27" customHeight="1" x14ac:dyDescent="0.25">
      <c r="B171" s="128" t="s">
        <v>185</v>
      </c>
      <c r="C171" s="179" t="s">
        <v>400</v>
      </c>
      <c r="D171" s="181" t="s">
        <v>298</v>
      </c>
      <c r="E171" s="108">
        <v>891139</v>
      </c>
      <c r="F171" s="108">
        <f t="shared" si="59"/>
        <v>891139</v>
      </c>
      <c r="G171" s="108">
        <f t="shared" si="41"/>
        <v>0</v>
      </c>
      <c r="H171" s="36"/>
      <c r="I171" s="108">
        <f>ROUND(F171,0)</f>
        <v>891139</v>
      </c>
      <c r="J171" s="108">
        <f t="shared" si="43"/>
        <v>0</v>
      </c>
      <c r="K171" s="36"/>
    </row>
    <row r="172" spans="2:11" ht="25.9" customHeight="1" x14ac:dyDescent="0.25">
      <c r="B172" s="128" t="s">
        <v>401</v>
      </c>
      <c r="C172" s="171" t="s">
        <v>402</v>
      </c>
      <c r="D172" s="184" t="s">
        <v>403</v>
      </c>
      <c r="E172" s="108">
        <v>3779449</v>
      </c>
      <c r="F172" s="108">
        <f t="shared" si="59"/>
        <v>3779449</v>
      </c>
      <c r="G172" s="108">
        <f t="shared" si="41"/>
        <v>0</v>
      </c>
      <c r="H172" s="36"/>
      <c r="I172" s="108">
        <f>ROUND(F172,0)</f>
        <v>3779449</v>
      </c>
      <c r="J172" s="108">
        <f t="shared" si="43"/>
        <v>0</v>
      </c>
      <c r="K172" s="36"/>
    </row>
    <row r="173" spans="2:11" ht="32.25" customHeight="1" x14ac:dyDescent="0.25">
      <c r="B173" s="128" t="s">
        <v>5</v>
      </c>
      <c r="C173" s="171" t="s">
        <v>404</v>
      </c>
      <c r="D173" s="184" t="s">
        <v>405</v>
      </c>
      <c r="E173" s="139">
        <v>5552774.9964329991</v>
      </c>
      <c r="F173" s="139">
        <f>SUM(F174:F176)</f>
        <v>5552775</v>
      </c>
      <c r="G173" s="108">
        <f t="shared" si="41"/>
        <v>3.5670008510351181E-3</v>
      </c>
      <c r="H173" s="36"/>
      <c r="I173" s="139">
        <f>SUM(I174:I176)</f>
        <v>5888293</v>
      </c>
      <c r="J173" s="108">
        <f t="shared" si="43"/>
        <v>335518</v>
      </c>
      <c r="K173" s="36"/>
    </row>
    <row r="174" spans="2:11" ht="155.44999999999999" customHeight="1" x14ac:dyDescent="0.25">
      <c r="B174" s="128"/>
      <c r="C174" s="185" t="s">
        <v>406</v>
      </c>
      <c r="D174" s="186" t="s">
        <v>407</v>
      </c>
      <c r="E174" s="139">
        <v>4996040.3361329995</v>
      </c>
      <c r="F174" s="139">
        <f t="shared" si="59"/>
        <v>4996040</v>
      </c>
      <c r="G174" s="108">
        <f t="shared" si="41"/>
        <v>-0.33613299950957298</v>
      </c>
      <c r="H174" s="36"/>
      <c r="I174" s="139">
        <f>ROUND(F174,0)-18000+16000+21000+30000+5000+30000+12000+36000+(54000+126000)+15597</f>
        <v>5323637</v>
      </c>
      <c r="J174" s="109">
        <f t="shared" si="43"/>
        <v>327597</v>
      </c>
      <c r="K174" s="177" t="s">
        <v>861</v>
      </c>
    </row>
    <row r="175" spans="2:11" ht="16.899999999999999" customHeight="1" x14ac:dyDescent="0.25">
      <c r="B175" s="128"/>
      <c r="C175" s="185" t="s">
        <v>408</v>
      </c>
      <c r="D175" s="186" t="s">
        <v>409</v>
      </c>
      <c r="E175" s="139">
        <v>295000</v>
      </c>
      <c r="F175" s="139">
        <f t="shared" si="59"/>
        <v>295000</v>
      </c>
      <c r="G175" s="108">
        <f t="shared" si="41"/>
        <v>0</v>
      </c>
      <c r="H175" s="36"/>
      <c r="I175" s="139">
        <f t="shared" ref="I175:I185" si="60">ROUND(F175,0)</f>
        <v>295000</v>
      </c>
      <c r="J175" s="108">
        <f t="shared" si="43"/>
        <v>0</v>
      </c>
      <c r="K175" s="36"/>
    </row>
    <row r="176" spans="2:11" ht="27" customHeight="1" x14ac:dyDescent="0.25">
      <c r="B176" s="128"/>
      <c r="C176" s="185" t="s">
        <v>410</v>
      </c>
      <c r="D176" s="186" t="s">
        <v>411</v>
      </c>
      <c r="E176" s="139">
        <v>261734.66029999999</v>
      </c>
      <c r="F176" s="139">
        <f t="shared" si="59"/>
        <v>261735</v>
      </c>
      <c r="G176" s="108">
        <f t="shared" si="41"/>
        <v>0.33970000001136214</v>
      </c>
      <c r="H176" s="36"/>
      <c r="I176" s="139">
        <f>ROUND(F176,0)+7921</f>
        <v>269656</v>
      </c>
      <c r="J176" s="108">
        <f t="shared" si="43"/>
        <v>7921</v>
      </c>
      <c r="K176" s="227" t="s">
        <v>693</v>
      </c>
    </row>
    <row r="177" spans="2:11" ht="29.25" hidden="1" customHeight="1" outlineLevel="1" x14ac:dyDescent="0.25">
      <c r="B177" s="128" t="s">
        <v>412</v>
      </c>
      <c r="C177" s="171" t="s">
        <v>413</v>
      </c>
      <c r="D177" s="184" t="s">
        <v>414</v>
      </c>
      <c r="E177" s="108">
        <v>0</v>
      </c>
      <c r="F177" s="108">
        <f t="shared" si="59"/>
        <v>0</v>
      </c>
      <c r="G177" s="108">
        <f t="shared" si="41"/>
        <v>0</v>
      </c>
      <c r="H177" s="20"/>
      <c r="I177" s="108">
        <f t="shared" si="60"/>
        <v>0</v>
      </c>
      <c r="J177" s="108">
        <f t="shared" si="43"/>
        <v>0</v>
      </c>
      <c r="K177" s="20"/>
    </row>
    <row r="178" spans="2:11" ht="39.6" customHeight="1" collapsed="1" x14ac:dyDescent="0.25">
      <c r="B178" s="128" t="s">
        <v>415</v>
      </c>
      <c r="C178" s="179" t="s">
        <v>416</v>
      </c>
      <c r="D178" s="181" t="s">
        <v>193</v>
      </c>
      <c r="E178" s="108">
        <v>391245.35220000002</v>
      </c>
      <c r="F178" s="108">
        <f t="shared" si="59"/>
        <v>391245</v>
      </c>
      <c r="G178" s="108">
        <f t="shared" si="41"/>
        <v>-0.35220000002300367</v>
      </c>
      <c r="H178" s="36"/>
      <c r="I178" s="108">
        <f t="shared" si="60"/>
        <v>391245</v>
      </c>
      <c r="J178" s="108">
        <f t="shared" si="43"/>
        <v>0</v>
      </c>
      <c r="K178" s="36"/>
    </row>
    <row r="179" spans="2:11" ht="16.149999999999999" customHeight="1" x14ac:dyDescent="0.25">
      <c r="B179" s="128"/>
      <c r="C179" s="179" t="s">
        <v>417</v>
      </c>
      <c r="D179" s="181" t="s">
        <v>418</v>
      </c>
      <c r="E179" s="108">
        <v>32000</v>
      </c>
      <c r="F179" s="108">
        <f t="shared" si="59"/>
        <v>32000</v>
      </c>
      <c r="G179" s="108">
        <f t="shared" si="41"/>
        <v>0</v>
      </c>
      <c r="H179" s="36"/>
      <c r="I179" s="108">
        <f t="shared" si="60"/>
        <v>32000</v>
      </c>
      <c r="J179" s="108">
        <f t="shared" si="43"/>
        <v>0</v>
      </c>
      <c r="K179" s="36"/>
    </row>
    <row r="180" spans="2:11" ht="25.9" customHeight="1" x14ac:dyDescent="0.25">
      <c r="B180" s="128"/>
      <c r="C180" s="179" t="s">
        <v>419</v>
      </c>
      <c r="D180" s="181" t="s">
        <v>309</v>
      </c>
      <c r="E180" s="108">
        <v>293146</v>
      </c>
      <c r="F180" s="108">
        <f t="shared" si="59"/>
        <v>293146</v>
      </c>
      <c r="G180" s="108">
        <f t="shared" si="41"/>
        <v>0</v>
      </c>
      <c r="H180" s="36"/>
      <c r="I180" s="108">
        <f t="shared" si="60"/>
        <v>293146</v>
      </c>
      <c r="J180" s="108">
        <f t="shared" si="43"/>
        <v>0</v>
      </c>
      <c r="K180" s="36"/>
    </row>
    <row r="181" spans="2:11" ht="28.15" customHeight="1" x14ac:dyDescent="0.25">
      <c r="B181" s="128"/>
      <c r="C181" s="179" t="s">
        <v>420</v>
      </c>
      <c r="D181" s="181" t="s">
        <v>311</v>
      </c>
      <c r="E181" s="108">
        <v>180000</v>
      </c>
      <c r="F181" s="108">
        <f t="shared" si="59"/>
        <v>180000</v>
      </c>
      <c r="G181" s="108">
        <f t="shared" si="41"/>
        <v>0</v>
      </c>
      <c r="H181" s="36"/>
      <c r="I181" s="108">
        <f t="shared" si="60"/>
        <v>180000</v>
      </c>
      <c r="J181" s="108">
        <f t="shared" si="43"/>
        <v>0</v>
      </c>
      <c r="K181" s="36"/>
    </row>
    <row r="182" spans="2:11" ht="18.600000000000001" customHeight="1" x14ac:dyDescent="0.25">
      <c r="B182" s="128"/>
      <c r="C182" s="179" t="s">
        <v>421</v>
      </c>
      <c r="D182" s="184" t="s">
        <v>305</v>
      </c>
      <c r="E182" s="108">
        <v>645000</v>
      </c>
      <c r="F182" s="108">
        <f t="shared" si="59"/>
        <v>645000</v>
      </c>
      <c r="G182" s="108">
        <f t="shared" si="41"/>
        <v>0</v>
      </c>
      <c r="H182" s="36"/>
      <c r="I182" s="108">
        <f t="shared" si="60"/>
        <v>645000</v>
      </c>
      <c r="J182" s="108">
        <f t="shared" si="43"/>
        <v>0</v>
      </c>
      <c r="K182" s="36"/>
    </row>
    <row r="183" spans="2:11" ht="18.600000000000001" customHeight="1" x14ac:dyDescent="0.25">
      <c r="B183" s="128"/>
      <c r="C183" s="179" t="s">
        <v>422</v>
      </c>
      <c r="D183" s="184" t="s">
        <v>228</v>
      </c>
      <c r="E183" s="108">
        <v>546771</v>
      </c>
      <c r="F183" s="108">
        <f>ROUND(E183,0)</f>
        <v>546771</v>
      </c>
      <c r="G183" s="108">
        <f>F183-E183</f>
        <v>0</v>
      </c>
      <c r="H183" s="36"/>
      <c r="I183" s="108">
        <f t="shared" si="60"/>
        <v>546771</v>
      </c>
      <c r="J183" s="108">
        <f t="shared" si="43"/>
        <v>0</v>
      </c>
      <c r="K183" s="36"/>
    </row>
    <row r="184" spans="2:11" ht="18" customHeight="1" x14ac:dyDescent="0.25">
      <c r="B184" s="128"/>
      <c r="C184" s="179" t="s">
        <v>423</v>
      </c>
      <c r="D184" s="184" t="s">
        <v>230</v>
      </c>
      <c r="E184" s="108">
        <v>1204480</v>
      </c>
      <c r="F184" s="108">
        <f>ROUND(E184,0)</f>
        <v>1204480</v>
      </c>
      <c r="G184" s="108">
        <f>F184-E184</f>
        <v>0</v>
      </c>
      <c r="H184" s="36"/>
      <c r="I184" s="108">
        <f t="shared" si="60"/>
        <v>1204480</v>
      </c>
      <c r="J184" s="108">
        <f t="shared" si="43"/>
        <v>0</v>
      </c>
      <c r="K184" s="36"/>
    </row>
    <row r="185" spans="2:11" ht="27.6" customHeight="1" x14ac:dyDescent="0.25">
      <c r="B185" s="128" t="s">
        <v>424</v>
      </c>
      <c r="C185" s="179" t="s">
        <v>425</v>
      </c>
      <c r="D185" s="184" t="s">
        <v>426</v>
      </c>
      <c r="E185" s="108">
        <v>40898</v>
      </c>
      <c r="F185" s="108">
        <f>ROUND(E185,0)</f>
        <v>40898</v>
      </c>
      <c r="G185" s="108">
        <f>F185-E185</f>
        <v>0</v>
      </c>
      <c r="H185" s="20"/>
      <c r="I185" s="108">
        <f t="shared" si="60"/>
        <v>40898</v>
      </c>
      <c r="J185" s="108">
        <f t="shared" si="43"/>
        <v>0</v>
      </c>
      <c r="K185" s="20"/>
    </row>
    <row r="186" spans="2:11" x14ac:dyDescent="0.25">
      <c r="C186" s="167" t="s">
        <v>96</v>
      </c>
      <c r="D186" s="168" t="s">
        <v>427</v>
      </c>
      <c r="E186" s="112">
        <v>2486998.34369</v>
      </c>
      <c r="F186" s="112">
        <f t="shared" ref="F186" si="61">SUM(F187,F191:F198)</f>
        <v>2486999</v>
      </c>
      <c r="G186" s="112">
        <f>SUM(G187,G192:G198)</f>
        <v>0.25630999998065818</v>
      </c>
      <c r="H186" s="112"/>
      <c r="I186" s="112">
        <f t="shared" ref="I186" si="62">SUM(I187,I191:I198)</f>
        <v>2523654</v>
      </c>
      <c r="J186" s="112">
        <f t="shared" si="43"/>
        <v>36655</v>
      </c>
      <c r="K186" s="112"/>
    </row>
    <row r="187" spans="2:11" ht="23.25" customHeight="1" x14ac:dyDescent="0.25">
      <c r="C187" s="164" t="s">
        <v>99</v>
      </c>
      <c r="D187" s="165" t="s">
        <v>428</v>
      </c>
      <c r="E187" s="122">
        <v>1187107.66267</v>
      </c>
      <c r="F187" s="122">
        <f t="shared" ref="F187:G187" si="63">SUM(F188:F190)</f>
        <v>1187108</v>
      </c>
      <c r="G187" s="122">
        <f t="shared" si="63"/>
        <v>0.3373299999802839</v>
      </c>
      <c r="H187" s="122"/>
      <c r="I187" s="122">
        <f t="shared" ref="I187" si="64">SUM(I188:I190)</f>
        <v>1189606</v>
      </c>
      <c r="J187" s="122">
        <f t="shared" si="43"/>
        <v>2498</v>
      </c>
      <c r="K187" s="122"/>
    </row>
    <row r="188" spans="2:11" ht="13.9" customHeight="1" x14ac:dyDescent="0.25">
      <c r="B188" s="128" t="s">
        <v>429</v>
      </c>
      <c r="C188" s="171" t="s">
        <v>430</v>
      </c>
      <c r="D188" s="172" t="s">
        <v>431</v>
      </c>
      <c r="E188" s="108">
        <v>589107.49502000003</v>
      </c>
      <c r="F188" s="108">
        <f>ROUND(E188,0)</f>
        <v>589107</v>
      </c>
      <c r="G188" s="108">
        <f t="shared" si="41"/>
        <v>-0.49502000003121793</v>
      </c>
      <c r="H188" s="36"/>
      <c r="I188" s="108">
        <f>ROUND(F188,0)+2498</f>
        <v>591605</v>
      </c>
      <c r="J188" s="109">
        <f t="shared" si="43"/>
        <v>2498</v>
      </c>
      <c r="K188" s="188" t="s">
        <v>686</v>
      </c>
    </row>
    <row r="189" spans="2:11" ht="18" customHeight="1" x14ac:dyDescent="0.25">
      <c r="B189" s="128" t="s">
        <v>432</v>
      </c>
      <c r="C189" s="171" t="s">
        <v>433</v>
      </c>
      <c r="D189" s="172" t="s">
        <v>434</v>
      </c>
      <c r="E189" s="108">
        <v>409633.66324999998</v>
      </c>
      <c r="F189" s="108">
        <f>ROUND(E189,0)</f>
        <v>409634</v>
      </c>
      <c r="G189" s="108">
        <f t="shared" si="41"/>
        <v>0.33675000001676381</v>
      </c>
      <c r="H189" s="36"/>
      <c r="I189" s="108">
        <f t="shared" ref="I189:I193" si="65">ROUND(F189,0)</f>
        <v>409634</v>
      </c>
      <c r="J189" s="108">
        <f t="shared" si="43"/>
        <v>0</v>
      </c>
      <c r="K189" s="36"/>
    </row>
    <row r="190" spans="2:11" ht="13.15" customHeight="1" x14ac:dyDescent="0.25">
      <c r="B190" s="128" t="s">
        <v>435</v>
      </c>
      <c r="C190" s="171" t="s">
        <v>436</v>
      </c>
      <c r="D190" s="172" t="s">
        <v>437</v>
      </c>
      <c r="E190" s="108">
        <v>188366.50440000001</v>
      </c>
      <c r="F190" s="108">
        <f>ROUND(E190,0)</f>
        <v>188367</v>
      </c>
      <c r="G190" s="108">
        <f t="shared" si="41"/>
        <v>0.49559999999473803</v>
      </c>
      <c r="H190" s="20"/>
      <c r="I190" s="108">
        <f t="shared" si="65"/>
        <v>188367</v>
      </c>
      <c r="J190" s="108">
        <f t="shared" si="43"/>
        <v>0</v>
      </c>
      <c r="K190" s="20"/>
    </row>
    <row r="191" spans="2:11" ht="30" customHeight="1" x14ac:dyDescent="0.25">
      <c r="B191" s="128" t="s">
        <v>438</v>
      </c>
      <c r="C191" s="189" t="s">
        <v>101</v>
      </c>
      <c r="D191" s="165" t="s">
        <v>439</v>
      </c>
      <c r="E191" s="122">
        <v>135145.60000000001</v>
      </c>
      <c r="F191" s="122">
        <f>ROUND(E191,0)</f>
        <v>135146</v>
      </c>
      <c r="G191" s="122">
        <f>F191-E191</f>
        <v>0.39999999999417923</v>
      </c>
      <c r="H191" s="40"/>
      <c r="I191" s="122">
        <f>ROUND(F191,0)+20000</f>
        <v>155146</v>
      </c>
      <c r="J191" s="130">
        <f t="shared" si="43"/>
        <v>20000</v>
      </c>
      <c r="K191" s="190" t="s">
        <v>862</v>
      </c>
    </row>
    <row r="192" spans="2:11" ht="29.45" customHeight="1" x14ac:dyDescent="0.25">
      <c r="B192" s="128" t="s">
        <v>440</v>
      </c>
      <c r="C192" s="189" t="s">
        <v>441</v>
      </c>
      <c r="D192" s="165" t="s">
        <v>442</v>
      </c>
      <c r="E192" s="122">
        <v>212422.11000000002</v>
      </c>
      <c r="F192" s="122">
        <f t="shared" ref="F192:F198" si="66">ROUND(E192,0)</f>
        <v>212422</v>
      </c>
      <c r="G192" s="122">
        <f t="shared" si="41"/>
        <v>-0.11000000001513399</v>
      </c>
      <c r="H192" s="40"/>
      <c r="I192" s="122">
        <f t="shared" si="65"/>
        <v>212422</v>
      </c>
      <c r="J192" s="122">
        <f t="shared" si="43"/>
        <v>0</v>
      </c>
      <c r="K192" s="40"/>
    </row>
    <row r="193" spans="2:11" ht="27" customHeight="1" x14ac:dyDescent="0.25">
      <c r="B193" s="128" t="s">
        <v>443</v>
      </c>
      <c r="C193" s="189" t="s">
        <v>444</v>
      </c>
      <c r="D193" s="165" t="s">
        <v>217</v>
      </c>
      <c r="E193" s="122">
        <v>15704.03</v>
      </c>
      <c r="F193" s="122">
        <f t="shared" si="66"/>
        <v>15704</v>
      </c>
      <c r="G193" s="122">
        <f t="shared" si="41"/>
        <v>-3.0000000000654836E-2</v>
      </c>
      <c r="H193" s="23"/>
      <c r="I193" s="122">
        <f t="shared" si="65"/>
        <v>15704</v>
      </c>
      <c r="J193" s="122">
        <f t="shared" si="43"/>
        <v>0</v>
      </c>
      <c r="K193" s="23"/>
    </row>
    <row r="194" spans="2:11" ht="27.6" customHeight="1" x14ac:dyDescent="0.25">
      <c r="B194" s="128" t="s">
        <v>445</v>
      </c>
      <c r="C194" s="164" t="s">
        <v>446</v>
      </c>
      <c r="D194" s="165" t="s">
        <v>447</v>
      </c>
      <c r="E194" s="122">
        <v>121138.2865</v>
      </c>
      <c r="F194" s="122">
        <f t="shared" si="66"/>
        <v>121138</v>
      </c>
      <c r="G194" s="122">
        <f t="shared" si="41"/>
        <v>-0.28650000000197906</v>
      </c>
      <c r="H194" s="40"/>
      <c r="I194" s="122">
        <f>ROUND(F194,0)+13657+500</f>
        <v>135295</v>
      </c>
      <c r="J194" s="130">
        <f t="shared" si="43"/>
        <v>14157</v>
      </c>
      <c r="K194" s="190" t="s">
        <v>448</v>
      </c>
    </row>
    <row r="195" spans="2:11" ht="15.6" customHeight="1" x14ac:dyDescent="0.25">
      <c r="B195" s="128" t="s">
        <v>449</v>
      </c>
      <c r="C195" s="164" t="s">
        <v>450</v>
      </c>
      <c r="D195" s="165" t="s">
        <v>451</v>
      </c>
      <c r="E195" s="122">
        <v>62655.829250000003</v>
      </c>
      <c r="F195" s="122">
        <f t="shared" si="66"/>
        <v>62656</v>
      </c>
      <c r="G195" s="122">
        <f t="shared" si="41"/>
        <v>0.17074999999749707</v>
      </c>
      <c r="H195" s="40"/>
      <c r="I195" s="122">
        <f>ROUND(F195,0)</f>
        <v>62656</v>
      </c>
      <c r="J195" s="122">
        <f t="shared" si="43"/>
        <v>0</v>
      </c>
      <c r="K195" s="40"/>
    </row>
    <row r="196" spans="2:11" ht="17.25" customHeight="1" x14ac:dyDescent="0.25">
      <c r="B196" s="128" t="s">
        <v>274</v>
      </c>
      <c r="C196" s="164" t="s">
        <v>452</v>
      </c>
      <c r="D196" s="165" t="s">
        <v>453</v>
      </c>
      <c r="E196" s="122">
        <v>729596.65136999998</v>
      </c>
      <c r="F196" s="122">
        <f t="shared" si="66"/>
        <v>729597</v>
      </c>
      <c r="G196" s="122">
        <f t="shared" ref="G196:G259" si="67">F196-E196</f>
        <v>0.34863000002223998</v>
      </c>
      <c r="H196" s="23"/>
      <c r="I196" s="122">
        <f>ROUND(F196,0)</f>
        <v>729597</v>
      </c>
      <c r="J196" s="122">
        <f t="shared" ref="J196:J259" si="68">I196-F196</f>
        <v>0</v>
      </c>
      <c r="K196" s="23"/>
    </row>
    <row r="197" spans="2:11" ht="15.6" customHeight="1" x14ac:dyDescent="0.25">
      <c r="B197" s="128" t="s">
        <v>454</v>
      </c>
      <c r="C197" s="164" t="s">
        <v>455</v>
      </c>
      <c r="D197" s="165" t="s">
        <v>456</v>
      </c>
      <c r="E197" s="122">
        <v>4000</v>
      </c>
      <c r="F197" s="122">
        <f t="shared" si="66"/>
        <v>4000</v>
      </c>
      <c r="G197" s="122">
        <f t="shared" si="67"/>
        <v>0</v>
      </c>
      <c r="H197" s="35"/>
      <c r="I197" s="122">
        <f>ROUND(F197,0)</f>
        <v>4000</v>
      </c>
      <c r="J197" s="122">
        <f t="shared" si="68"/>
        <v>0</v>
      </c>
      <c r="K197" s="35"/>
    </row>
    <row r="198" spans="2:11" ht="15.6" customHeight="1" x14ac:dyDescent="0.25">
      <c r="B198" s="128" t="s">
        <v>457</v>
      </c>
      <c r="C198" s="164" t="s">
        <v>458</v>
      </c>
      <c r="D198" s="165" t="s">
        <v>459</v>
      </c>
      <c r="E198" s="122">
        <v>19228.173900000002</v>
      </c>
      <c r="F198" s="122">
        <f t="shared" si="66"/>
        <v>19228</v>
      </c>
      <c r="G198" s="122">
        <f t="shared" si="67"/>
        <v>-0.17390000000159489</v>
      </c>
      <c r="H198" s="35"/>
      <c r="I198" s="122">
        <f>ROUND(F198,0)</f>
        <v>19228</v>
      </c>
      <c r="J198" s="122">
        <f t="shared" si="68"/>
        <v>0</v>
      </c>
      <c r="K198" s="35"/>
    </row>
    <row r="199" spans="2:11" s="160" customFormat="1" ht="15.6" customHeight="1" x14ac:dyDescent="0.2">
      <c r="C199" s="167" t="s">
        <v>104</v>
      </c>
      <c r="D199" s="168" t="s">
        <v>460</v>
      </c>
      <c r="E199" s="112">
        <v>4201176.8811799996</v>
      </c>
      <c r="F199" s="112">
        <f t="shared" ref="F199" si="69">F200+F206+F209+F213+F214+F215+F216+F217</f>
        <v>4201177</v>
      </c>
      <c r="G199" s="112">
        <f>G200+G206+G209+G213+G214+G215</f>
        <v>0.11881999997422099</v>
      </c>
      <c r="H199" s="112"/>
      <c r="I199" s="112">
        <f t="shared" ref="I199" si="70">I200+I206+I209+I213+I214+I215+I216+I217</f>
        <v>4179627</v>
      </c>
      <c r="J199" s="112">
        <f t="shared" si="68"/>
        <v>-21550</v>
      </c>
      <c r="K199" s="112"/>
    </row>
    <row r="200" spans="2:11" s="160" customFormat="1" ht="15" customHeight="1" x14ac:dyDescent="0.25">
      <c r="C200" s="164" t="s">
        <v>107</v>
      </c>
      <c r="D200" s="165" t="s">
        <v>461</v>
      </c>
      <c r="E200" s="122">
        <v>2428655</v>
      </c>
      <c r="F200" s="122">
        <f t="shared" ref="F200:G200" si="71">F201+F202+F203+F204+F205</f>
        <v>2428655</v>
      </c>
      <c r="G200" s="122">
        <f t="shared" si="71"/>
        <v>0</v>
      </c>
      <c r="H200" s="122"/>
      <c r="I200" s="122">
        <f t="shared" ref="I200" si="72">I201+I202+I203+I204+I205</f>
        <v>2415355</v>
      </c>
      <c r="J200" s="122">
        <f t="shared" si="68"/>
        <v>-13300</v>
      </c>
      <c r="K200" s="122"/>
    </row>
    <row r="201" spans="2:11" s="191" customFormat="1" ht="34.15" customHeight="1" outlineLevel="1" x14ac:dyDescent="0.25">
      <c r="B201" s="191">
        <v>1010</v>
      </c>
      <c r="C201" s="192" t="s">
        <v>462</v>
      </c>
      <c r="D201" s="193" t="s">
        <v>463</v>
      </c>
      <c r="E201" s="187">
        <v>601819</v>
      </c>
      <c r="F201" s="187">
        <f>ROUND(E201,0)</f>
        <v>601819</v>
      </c>
      <c r="G201" s="187">
        <f t="shared" si="67"/>
        <v>0</v>
      </c>
      <c r="H201" s="41"/>
      <c r="I201" s="187">
        <f>ROUND(F201,0)-13300</f>
        <v>588519</v>
      </c>
      <c r="J201" s="194">
        <f t="shared" si="68"/>
        <v>-13300</v>
      </c>
      <c r="K201" s="177" t="s">
        <v>683</v>
      </c>
    </row>
    <row r="202" spans="2:11" s="191" customFormat="1" ht="18.600000000000001" customHeight="1" outlineLevel="1" x14ac:dyDescent="0.25">
      <c r="B202" s="191">
        <v>1010</v>
      </c>
      <c r="C202" s="192" t="s">
        <v>464</v>
      </c>
      <c r="D202" s="193" t="s">
        <v>465</v>
      </c>
      <c r="E202" s="187">
        <v>1373990</v>
      </c>
      <c r="F202" s="187">
        <f>ROUND(E202,0)</f>
        <v>1373990</v>
      </c>
      <c r="G202" s="187">
        <f t="shared" si="67"/>
        <v>0</v>
      </c>
      <c r="H202" s="23"/>
      <c r="I202" s="187">
        <f>ROUND(F202,0)</f>
        <v>1373990</v>
      </c>
      <c r="J202" s="187">
        <f t="shared" si="68"/>
        <v>0</v>
      </c>
      <c r="K202" s="24"/>
    </row>
    <row r="203" spans="2:11" s="191" customFormat="1" ht="17.45" customHeight="1" outlineLevel="1" x14ac:dyDescent="0.25">
      <c r="B203" s="191">
        <v>1010</v>
      </c>
      <c r="C203" s="192" t="s">
        <v>466</v>
      </c>
      <c r="D203" s="193" t="s">
        <v>467</v>
      </c>
      <c r="E203" s="187">
        <v>25954</v>
      </c>
      <c r="F203" s="187">
        <f>ROUND(E203,0)</f>
        <v>25954</v>
      </c>
      <c r="G203" s="187">
        <f t="shared" si="67"/>
        <v>0</v>
      </c>
      <c r="H203" s="24"/>
      <c r="I203" s="187">
        <f>ROUND(F203,0)</f>
        <v>25954</v>
      </c>
      <c r="J203" s="187">
        <f t="shared" si="68"/>
        <v>0</v>
      </c>
      <c r="K203" s="24"/>
    </row>
    <row r="204" spans="2:11" s="191" customFormat="1" outlineLevel="1" x14ac:dyDescent="0.25">
      <c r="B204" s="191">
        <v>1012</v>
      </c>
      <c r="C204" s="192" t="s">
        <v>468</v>
      </c>
      <c r="D204" s="193" t="s">
        <v>469</v>
      </c>
      <c r="E204" s="187">
        <v>421092</v>
      </c>
      <c r="F204" s="187">
        <f>ROUND(E204,0)</f>
        <v>421092</v>
      </c>
      <c r="G204" s="187">
        <f t="shared" si="67"/>
        <v>0</v>
      </c>
      <c r="H204" s="41"/>
      <c r="I204" s="187">
        <f>ROUND(F204,0)</f>
        <v>421092</v>
      </c>
      <c r="J204" s="187">
        <f t="shared" si="68"/>
        <v>0</v>
      </c>
      <c r="K204" s="41"/>
    </row>
    <row r="205" spans="2:11" s="191" customFormat="1" outlineLevel="1" x14ac:dyDescent="0.25">
      <c r="B205" s="191">
        <v>1015</v>
      </c>
      <c r="C205" s="192" t="s">
        <v>470</v>
      </c>
      <c r="D205" s="193" t="s">
        <v>471</v>
      </c>
      <c r="E205" s="187">
        <v>5800</v>
      </c>
      <c r="F205" s="187">
        <f>ROUND(E205,0)</f>
        <v>5800</v>
      </c>
      <c r="G205" s="187">
        <f t="shared" si="67"/>
        <v>0</v>
      </c>
      <c r="H205" s="41"/>
      <c r="I205" s="187">
        <f>ROUND(F205,0)</f>
        <v>5800</v>
      </c>
      <c r="J205" s="187">
        <f t="shared" si="68"/>
        <v>0</v>
      </c>
      <c r="K205" s="41"/>
    </row>
    <row r="206" spans="2:11" s="160" customFormat="1" ht="19.5" customHeight="1" x14ac:dyDescent="0.25">
      <c r="C206" s="164" t="s">
        <v>111</v>
      </c>
      <c r="D206" s="165" t="s">
        <v>472</v>
      </c>
      <c r="E206" s="122">
        <v>10038</v>
      </c>
      <c r="F206" s="122">
        <f>F207+F208</f>
        <v>10038</v>
      </c>
      <c r="G206" s="122">
        <f t="shared" si="67"/>
        <v>0</v>
      </c>
      <c r="H206" s="23"/>
      <c r="I206" s="122">
        <f>I207+I208</f>
        <v>10038</v>
      </c>
      <c r="J206" s="122">
        <f t="shared" si="68"/>
        <v>0</v>
      </c>
      <c r="K206" s="23"/>
    </row>
    <row r="207" spans="2:11" s="191" customFormat="1" outlineLevel="1" x14ac:dyDescent="0.25">
      <c r="B207" s="191">
        <v>1011</v>
      </c>
      <c r="C207" s="192" t="s">
        <v>473</v>
      </c>
      <c r="D207" s="193" t="s">
        <v>474</v>
      </c>
      <c r="E207" s="187">
        <v>1407</v>
      </c>
      <c r="F207" s="187">
        <f>ROUND(E207,0)</f>
        <v>1407</v>
      </c>
      <c r="G207" s="187">
        <f t="shared" si="67"/>
        <v>0</v>
      </c>
      <c r="H207" s="41"/>
      <c r="I207" s="187">
        <f>ROUND(F207,0)</f>
        <v>1407</v>
      </c>
      <c r="J207" s="187">
        <f t="shared" si="68"/>
        <v>0</v>
      </c>
      <c r="K207" s="41"/>
    </row>
    <row r="208" spans="2:11" s="191" customFormat="1" outlineLevel="1" x14ac:dyDescent="0.25">
      <c r="B208" s="191">
        <v>1011</v>
      </c>
      <c r="C208" s="192" t="s">
        <v>475</v>
      </c>
      <c r="D208" s="193" t="s">
        <v>476</v>
      </c>
      <c r="E208" s="187">
        <v>8631</v>
      </c>
      <c r="F208" s="187">
        <f>ROUND(E208,0)</f>
        <v>8631</v>
      </c>
      <c r="G208" s="187">
        <f t="shared" si="67"/>
        <v>0</v>
      </c>
      <c r="H208" s="41"/>
      <c r="I208" s="187">
        <f>ROUND(F208,0)</f>
        <v>8631</v>
      </c>
      <c r="J208" s="187">
        <f t="shared" si="68"/>
        <v>0</v>
      </c>
      <c r="K208" s="41"/>
    </row>
    <row r="209" spans="2:11" s="160" customFormat="1" ht="30.6" customHeight="1" x14ac:dyDescent="0.25">
      <c r="C209" s="164" t="s">
        <v>113</v>
      </c>
      <c r="D209" s="165" t="s">
        <v>477</v>
      </c>
      <c r="E209" s="195">
        <v>839598</v>
      </c>
      <c r="F209" s="195">
        <f t="shared" ref="F209:G209" si="73">SUM(F210:F212)</f>
        <v>839598</v>
      </c>
      <c r="G209" s="195">
        <f t="shared" si="73"/>
        <v>0</v>
      </c>
      <c r="H209" s="35"/>
      <c r="I209" s="195">
        <f t="shared" ref="I209" si="74">SUM(I210:I212)</f>
        <v>818057</v>
      </c>
      <c r="J209" s="195">
        <f t="shared" si="68"/>
        <v>-21541</v>
      </c>
      <c r="K209" s="35"/>
    </row>
    <row r="210" spans="2:11" s="160" customFormat="1" ht="28.15" customHeight="1" x14ac:dyDescent="0.25">
      <c r="B210" s="93" t="s">
        <v>478</v>
      </c>
      <c r="C210" s="196" t="s">
        <v>479</v>
      </c>
      <c r="D210" s="197" t="s">
        <v>480</v>
      </c>
      <c r="E210" s="108">
        <v>347838</v>
      </c>
      <c r="F210" s="108">
        <f t="shared" ref="F210:F215" si="75">ROUND(E210,0)</f>
        <v>347838</v>
      </c>
      <c r="G210" s="108">
        <f t="shared" si="67"/>
        <v>0</v>
      </c>
      <c r="H210" s="14"/>
      <c r="I210" s="108">
        <f>ROUND(F210,0)-21541</f>
        <v>326297</v>
      </c>
      <c r="J210" s="109">
        <f t="shared" si="68"/>
        <v>-21541</v>
      </c>
      <c r="K210" s="177" t="s">
        <v>683</v>
      </c>
    </row>
    <row r="211" spans="2:11" s="160" customFormat="1" ht="15.75" customHeight="1" x14ac:dyDescent="0.25">
      <c r="B211" s="93" t="s">
        <v>478</v>
      </c>
      <c r="C211" s="198" t="s">
        <v>481</v>
      </c>
      <c r="D211" s="197" t="s">
        <v>482</v>
      </c>
      <c r="E211" s="108">
        <v>161090</v>
      </c>
      <c r="F211" s="108">
        <f t="shared" si="75"/>
        <v>161090</v>
      </c>
      <c r="G211" s="108">
        <f t="shared" si="67"/>
        <v>0</v>
      </c>
      <c r="H211" s="14"/>
      <c r="I211" s="108">
        <f t="shared" ref="I211:I217" si="76">ROUND(F211,0)</f>
        <v>161090</v>
      </c>
      <c r="J211" s="108">
        <f t="shared" si="68"/>
        <v>0</v>
      </c>
      <c r="K211" s="14"/>
    </row>
    <row r="212" spans="2:11" s="160" customFormat="1" ht="15.6" customHeight="1" x14ac:dyDescent="0.25">
      <c r="B212" s="93" t="s">
        <v>483</v>
      </c>
      <c r="C212" s="196" t="s">
        <v>484</v>
      </c>
      <c r="D212" s="197" t="s">
        <v>485</v>
      </c>
      <c r="E212" s="108">
        <v>330670</v>
      </c>
      <c r="F212" s="108">
        <f t="shared" si="75"/>
        <v>330670</v>
      </c>
      <c r="G212" s="108">
        <f t="shared" si="67"/>
        <v>0</v>
      </c>
      <c r="H212" s="14"/>
      <c r="I212" s="108">
        <f t="shared" si="76"/>
        <v>330670</v>
      </c>
      <c r="J212" s="108">
        <f t="shared" si="68"/>
        <v>0</v>
      </c>
      <c r="K212" s="14"/>
    </row>
    <row r="213" spans="2:11" s="160" customFormat="1" ht="30.6" customHeight="1" x14ac:dyDescent="0.25">
      <c r="C213" s="164" t="s">
        <v>486</v>
      </c>
      <c r="D213" s="165" t="s">
        <v>487</v>
      </c>
      <c r="E213" s="122">
        <v>132505.09117999999</v>
      </c>
      <c r="F213" s="122">
        <f t="shared" si="75"/>
        <v>132505</v>
      </c>
      <c r="G213" s="122">
        <f t="shared" si="67"/>
        <v>-9.1179999988526106E-2</v>
      </c>
      <c r="H213" s="35"/>
      <c r="I213" s="122">
        <f>ROUND(F213,0)-6709</f>
        <v>125796</v>
      </c>
      <c r="J213" s="130">
        <f t="shared" si="68"/>
        <v>-6709</v>
      </c>
      <c r="K213" s="166" t="s">
        <v>683</v>
      </c>
    </row>
    <row r="214" spans="2:11" s="160" customFormat="1" ht="18.75" customHeight="1" x14ac:dyDescent="0.25">
      <c r="B214" s="93">
        <v>1016</v>
      </c>
      <c r="C214" s="164" t="s">
        <v>488</v>
      </c>
      <c r="D214" s="165" t="s">
        <v>172</v>
      </c>
      <c r="E214" s="122">
        <v>50000</v>
      </c>
      <c r="F214" s="122">
        <f t="shared" si="75"/>
        <v>50000</v>
      </c>
      <c r="G214" s="122">
        <f t="shared" si="67"/>
        <v>0</v>
      </c>
      <c r="H214" s="35"/>
      <c r="I214" s="122">
        <f>ROUND(F214,0)+20000</f>
        <v>70000</v>
      </c>
      <c r="J214" s="122">
        <f t="shared" si="68"/>
        <v>20000</v>
      </c>
      <c r="K214" s="35" t="s">
        <v>173</v>
      </c>
    </row>
    <row r="215" spans="2:11" s="160" customFormat="1" ht="18.75" customHeight="1" x14ac:dyDescent="0.25">
      <c r="B215" s="93">
        <v>1017</v>
      </c>
      <c r="C215" s="164" t="s">
        <v>489</v>
      </c>
      <c r="D215" s="165" t="s">
        <v>175</v>
      </c>
      <c r="E215" s="122">
        <v>698343.79</v>
      </c>
      <c r="F215" s="122">
        <f t="shared" si="75"/>
        <v>698344</v>
      </c>
      <c r="G215" s="122">
        <f t="shared" si="67"/>
        <v>0.2099999999627471</v>
      </c>
      <c r="H215" s="35"/>
      <c r="I215" s="122">
        <f t="shared" si="76"/>
        <v>698344</v>
      </c>
      <c r="J215" s="122">
        <f t="shared" si="68"/>
        <v>0</v>
      </c>
      <c r="K215" s="35"/>
    </row>
    <row r="216" spans="2:11" ht="40.9" customHeight="1" x14ac:dyDescent="0.25">
      <c r="B216" s="93" t="s">
        <v>490</v>
      </c>
      <c r="C216" s="164" t="s">
        <v>491</v>
      </c>
      <c r="D216" s="165" t="s">
        <v>492</v>
      </c>
      <c r="E216" s="108">
        <v>23597</v>
      </c>
      <c r="F216" s="108">
        <f>ROUND(E216,0)</f>
        <v>23597</v>
      </c>
      <c r="G216" s="108">
        <f>F216-E216</f>
        <v>0</v>
      </c>
      <c r="H216" s="36"/>
      <c r="I216" s="108">
        <f t="shared" si="76"/>
        <v>23597</v>
      </c>
      <c r="J216" s="108">
        <f t="shared" si="68"/>
        <v>0</v>
      </c>
      <c r="K216" s="36"/>
    </row>
    <row r="217" spans="2:11" ht="44.45" customHeight="1" x14ac:dyDescent="0.25">
      <c r="B217" s="93" t="s">
        <v>493</v>
      </c>
      <c r="C217" s="164" t="s">
        <v>494</v>
      </c>
      <c r="D217" s="165" t="s">
        <v>495</v>
      </c>
      <c r="E217" s="108">
        <v>18440</v>
      </c>
      <c r="F217" s="108">
        <f>ROUND(E217,0)</f>
        <v>18440</v>
      </c>
      <c r="G217" s="108">
        <f>F217-E217</f>
        <v>0</v>
      </c>
      <c r="H217" s="36"/>
      <c r="I217" s="108">
        <f t="shared" si="76"/>
        <v>18440</v>
      </c>
      <c r="J217" s="108">
        <f t="shared" si="68"/>
        <v>0</v>
      </c>
      <c r="K217" s="36"/>
    </row>
    <row r="218" spans="2:11" x14ac:dyDescent="0.25">
      <c r="C218" s="167" t="s">
        <v>116</v>
      </c>
      <c r="D218" s="168" t="s">
        <v>496</v>
      </c>
      <c r="E218" s="112">
        <v>21517854.165859237</v>
      </c>
      <c r="F218" s="112">
        <f>F219+F220+F223+F226+F230+F234+F238+F246+F247+F258+F261+F264+F265+F266+F267+F268+F269</f>
        <v>21576210</v>
      </c>
      <c r="G218" s="112">
        <f>G219+G220+G223+G226+G230+G234+G238+G247+G258+G261+G264+G265+G266+G267+G268+G269</f>
        <v>58356.224140764331</v>
      </c>
      <c r="H218" s="112"/>
      <c r="I218" s="112">
        <f>I219+I220+I223+I226+I230+I234+I238+I246+I247+I258+I261+I264+I265+I266+I267+I268+I269</f>
        <v>21675003</v>
      </c>
      <c r="J218" s="112">
        <f t="shared" si="68"/>
        <v>98793</v>
      </c>
      <c r="K218" s="112"/>
    </row>
    <row r="219" spans="2:11" ht="27.6" customHeight="1" x14ac:dyDescent="0.25">
      <c r="B219" s="199" t="s">
        <v>497</v>
      </c>
      <c r="C219" s="164" t="s">
        <v>498</v>
      </c>
      <c r="D219" s="173" t="s">
        <v>499</v>
      </c>
      <c r="E219" s="122">
        <v>1009440</v>
      </c>
      <c r="F219" s="122">
        <f>ROUND(E219,0)</f>
        <v>1009440</v>
      </c>
      <c r="G219" s="122">
        <f t="shared" si="67"/>
        <v>0</v>
      </c>
      <c r="H219" s="23"/>
      <c r="I219" s="122">
        <f>ROUND(F219,0)</f>
        <v>1009440</v>
      </c>
      <c r="J219" s="122">
        <f t="shared" si="68"/>
        <v>0</v>
      </c>
      <c r="K219" s="23"/>
    </row>
    <row r="220" spans="2:11" ht="18" customHeight="1" x14ac:dyDescent="0.25">
      <c r="C220" s="164" t="s">
        <v>500</v>
      </c>
      <c r="D220" s="173" t="s">
        <v>501</v>
      </c>
      <c r="E220" s="122">
        <v>1943919.3519472245</v>
      </c>
      <c r="F220" s="122">
        <f t="shared" ref="F220" si="77">SUM(F221:F222)</f>
        <v>1943919</v>
      </c>
      <c r="G220" s="122">
        <f t="shared" si="67"/>
        <v>-0.35194722446613014</v>
      </c>
      <c r="H220" s="35"/>
      <c r="I220" s="122">
        <f t="shared" ref="I220" si="78">SUM(I221:I222)</f>
        <v>1956009</v>
      </c>
      <c r="J220" s="122">
        <f t="shared" si="68"/>
        <v>12090</v>
      </c>
      <c r="K220" s="35"/>
    </row>
    <row r="221" spans="2:11" ht="16.149999999999999" customHeight="1" x14ac:dyDescent="0.25">
      <c r="B221" s="128" t="s">
        <v>502</v>
      </c>
      <c r="C221" s="171" t="s">
        <v>503</v>
      </c>
      <c r="D221" s="154" t="s">
        <v>504</v>
      </c>
      <c r="E221" s="200">
        <v>273761</v>
      </c>
      <c r="F221" s="200">
        <f>ROUND(E221,0)</f>
        <v>273761</v>
      </c>
      <c r="G221" s="200">
        <f t="shared" si="67"/>
        <v>0</v>
      </c>
      <c r="H221" s="20"/>
      <c r="I221" s="200">
        <f>ROUND(F221,0)</f>
        <v>273761</v>
      </c>
      <c r="J221" s="200">
        <f t="shared" si="68"/>
        <v>0</v>
      </c>
      <c r="K221" s="20"/>
    </row>
    <row r="222" spans="2:11" ht="40.9" customHeight="1" x14ac:dyDescent="0.25">
      <c r="B222" s="128" t="s">
        <v>505</v>
      </c>
      <c r="C222" s="171" t="s">
        <v>506</v>
      </c>
      <c r="D222" s="154" t="s">
        <v>507</v>
      </c>
      <c r="E222" s="200">
        <v>1670158.3519472245</v>
      </c>
      <c r="F222" s="200">
        <f>ROUND(E222,0)</f>
        <v>1670158</v>
      </c>
      <c r="G222" s="200">
        <f t="shared" si="67"/>
        <v>-0.35194722446613014</v>
      </c>
      <c r="H222" s="42"/>
      <c r="I222" s="200">
        <f>ROUND(F222,0)-7910+20000</f>
        <v>1682248</v>
      </c>
      <c r="J222" s="201">
        <f t="shared" si="68"/>
        <v>12090</v>
      </c>
      <c r="K222" s="118" t="s">
        <v>687</v>
      </c>
    </row>
    <row r="223" spans="2:11" ht="18" customHeight="1" x14ac:dyDescent="0.25">
      <c r="C223" s="164" t="s">
        <v>508</v>
      </c>
      <c r="D223" s="173" t="s">
        <v>509</v>
      </c>
      <c r="E223" s="122">
        <v>1237573.6494368</v>
      </c>
      <c r="F223" s="122">
        <f>F224+F225</f>
        <v>1237574</v>
      </c>
      <c r="G223" s="122">
        <f t="shared" si="67"/>
        <v>0.35056319995783269</v>
      </c>
      <c r="H223" s="35"/>
      <c r="I223" s="122">
        <f>I224+I225</f>
        <v>1230777</v>
      </c>
      <c r="J223" s="122">
        <f t="shared" si="68"/>
        <v>-6797</v>
      </c>
      <c r="K223" s="35"/>
    </row>
    <row r="224" spans="2:11" ht="16.5" customHeight="1" x14ac:dyDescent="0.25">
      <c r="B224" s="128" t="s">
        <v>510</v>
      </c>
      <c r="C224" s="171" t="s">
        <v>511</v>
      </c>
      <c r="D224" s="154" t="s">
        <v>504</v>
      </c>
      <c r="E224" s="108">
        <v>113943</v>
      </c>
      <c r="F224" s="108">
        <f>ROUND(E224,0)</f>
        <v>113943</v>
      </c>
      <c r="G224" s="108">
        <f t="shared" si="67"/>
        <v>0</v>
      </c>
      <c r="H224" s="20"/>
      <c r="I224" s="108">
        <f>ROUND(F224,0)</f>
        <v>113943</v>
      </c>
      <c r="J224" s="108">
        <f t="shared" si="68"/>
        <v>0</v>
      </c>
      <c r="K224" s="20"/>
    </row>
    <row r="225" spans="2:11" ht="26.45" customHeight="1" x14ac:dyDescent="0.25">
      <c r="B225" s="128" t="s">
        <v>512</v>
      </c>
      <c r="C225" s="171" t="s">
        <v>513</v>
      </c>
      <c r="D225" s="154" t="s">
        <v>507</v>
      </c>
      <c r="E225" s="108">
        <v>1123630.6494368</v>
      </c>
      <c r="F225" s="108">
        <f>ROUND(E225,0)</f>
        <v>1123631</v>
      </c>
      <c r="G225" s="108">
        <f t="shared" si="67"/>
        <v>0.35056319995783269</v>
      </c>
      <c r="H225" s="20"/>
      <c r="I225" s="108">
        <f>ROUND(F225,0)-6797</f>
        <v>1116834</v>
      </c>
      <c r="J225" s="109">
        <f t="shared" si="68"/>
        <v>-6797</v>
      </c>
      <c r="K225" s="118" t="s">
        <v>683</v>
      </c>
    </row>
    <row r="226" spans="2:11" ht="18" customHeight="1" x14ac:dyDescent="0.25">
      <c r="C226" s="202" t="s">
        <v>514</v>
      </c>
      <c r="D226" s="173" t="s">
        <v>515</v>
      </c>
      <c r="E226" s="122">
        <v>1320896.3067867202</v>
      </c>
      <c r="F226" s="122">
        <f>F227+F228+F229</f>
        <v>1320896</v>
      </c>
      <c r="G226" s="122">
        <f t="shared" si="67"/>
        <v>-0.30678672017529607</v>
      </c>
      <c r="H226" s="35"/>
      <c r="I226" s="122">
        <f>I227+I228+I229</f>
        <v>1320896</v>
      </c>
      <c r="J226" s="122">
        <f t="shared" si="68"/>
        <v>0</v>
      </c>
      <c r="K226" s="35"/>
    </row>
    <row r="227" spans="2:11" ht="13.5" customHeight="1" x14ac:dyDescent="0.25">
      <c r="B227" s="93" t="s">
        <v>516</v>
      </c>
      <c r="C227" s="171" t="s">
        <v>517</v>
      </c>
      <c r="D227" s="154" t="s">
        <v>504</v>
      </c>
      <c r="E227" s="108">
        <v>192011</v>
      </c>
      <c r="F227" s="108">
        <f>ROUND(E227,0)</f>
        <v>192011</v>
      </c>
      <c r="G227" s="108">
        <f t="shared" si="67"/>
        <v>0</v>
      </c>
      <c r="H227" s="20"/>
      <c r="I227" s="108">
        <f>ROUND(F227,0)</f>
        <v>192011</v>
      </c>
      <c r="J227" s="108">
        <f t="shared" si="68"/>
        <v>0</v>
      </c>
      <c r="K227" s="20"/>
    </row>
    <row r="228" spans="2:11" ht="17.45" customHeight="1" x14ac:dyDescent="0.25">
      <c r="B228" s="93" t="s">
        <v>518</v>
      </c>
      <c r="C228" s="171" t="s">
        <v>519</v>
      </c>
      <c r="D228" s="154" t="s">
        <v>507</v>
      </c>
      <c r="E228" s="108">
        <v>968536.30678672018</v>
      </c>
      <c r="F228" s="108">
        <f>ROUND(E228,0)</f>
        <v>968536</v>
      </c>
      <c r="G228" s="108">
        <f t="shared" si="67"/>
        <v>-0.30678672017529607</v>
      </c>
      <c r="H228" s="20"/>
      <c r="I228" s="108">
        <f>ROUND(F228,0)</f>
        <v>968536</v>
      </c>
      <c r="J228" s="108">
        <f t="shared" si="68"/>
        <v>0</v>
      </c>
      <c r="K228" s="20"/>
    </row>
    <row r="229" spans="2:11" ht="17.45" customHeight="1" x14ac:dyDescent="0.25">
      <c r="C229" s="171" t="s">
        <v>520</v>
      </c>
      <c r="D229" s="154" t="s">
        <v>521</v>
      </c>
      <c r="E229" s="108">
        <v>160349</v>
      </c>
      <c r="F229" s="108">
        <f>ROUND(E229,0)</f>
        <v>160349</v>
      </c>
      <c r="G229" s="108">
        <f>F229-E229</f>
        <v>0</v>
      </c>
      <c r="H229" s="20"/>
      <c r="I229" s="108">
        <f>ROUND(F229,0)</f>
        <v>160349</v>
      </c>
      <c r="J229" s="108">
        <f t="shared" si="68"/>
        <v>0</v>
      </c>
      <c r="K229" s="20"/>
    </row>
    <row r="230" spans="2:11" x14ac:dyDescent="0.25">
      <c r="B230" s="93" t="s">
        <v>522</v>
      </c>
      <c r="C230" s="202" t="s">
        <v>523</v>
      </c>
      <c r="D230" s="173" t="s">
        <v>524</v>
      </c>
      <c r="E230" s="122">
        <v>1231648.2936508402</v>
      </c>
      <c r="F230" s="122">
        <f t="shared" ref="F230" si="79">SUM(F231:F233)</f>
        <v>1231648</v>
      </c>
      <c r="G230" s="122">
        <f t="shared" si="67"/>
        <v>-0.29365084017626941</v>
      </c>
      <c r="H230" s="35"/>
      <c r="I230" s="122">
        <f t="shared" ref="I230" si="80">SUM(I231:I233)</f>
        <v>1233648</v>
      </c>
      <c r="J230" s="122">
        <f t="shared" si="68"/>
        <v>2000</v>
      </c>
      <c r="K230" s="35"/>
    </row>
    <row r="231" spans="2:11" s="204" customFormat="1" ht="17.25" customHeight="1" x14ac:dyDescent="0.25">
      <c r="B231" s="203" t="s">
        <v>525</v>
      </c>
      <c r="C231" s="171" t="s">
        <v>526</v>
      </c>
      <c r="D231" s="154" t="s">
        <v>504</v>
      </c>
      <c r="E231" s="108">
        <v>71133</v>
      </c>
      <c r="F231" s="108">
        <f>ROUND(E231,0)</f>
        <v>71133</v>
      </c>
      <c r="G231" s="200">
        <f t="shared" si="67"/>
        <v>0</v>
      </c>
      <c r="H231" s="14"/>
      <c r="I231" s="108">
        <f>ROUND(F231,0)</f>
        <v>71133</v>
      </c>
      <c r="J231" s="200">
        <f t="shared" si="68"/>
        <v>0</v>
      </c>
      <c r="K231" s="14"/>
    </row>
    <row r="232" spans="2:11" s="204" customFormat="1" ht="18" customHeight="1" x14ac:dyDescent="0.25">
      <c r="C232" s="171" t="s">
        <v>527</v>
      </c>
      <c r="D232" s="154" t="s">
        <v>507</v>
      </c>
      <c r="E232" s="108">
        <v>1001768.2936508402</v>
      </c>
      <c r="F232" s="108">
        <f>ROUND(E232,0)</f>
        <v>1001768</v>
      </c>
      <c r="G232" s="200">
        <f t="shared" si="67"/>
        <v>-0.29365084017626941</v>
      </c>
      <c r="H232" s="20"/>
      <c r="I232" s="108">
        <f>ROUND(F232,0)+2000</f>
        <v>1003768</v>
      </c>
      <c r="J232" s="200">
        <f t="shared" si="68"/>
        <v>2000</v>
      </c>
      <c r="K232" s="14" t="s">
        <v>688</v>
      </c>
    </row>
    <row r="233" spans="2:11" s="204" customFormat="1" ht="18" customHeight="1" x14ac:dyDescent="0.25">
      <c r="C233" s="171" t="s">
        <v>528</v>
      </c>
      <c r="D233" s="154" t="s">
        <v>521</v>
      </c>
      <c r="E233" s="108">
        <v>158747</v>
      </c>
      <c r="F233" s="108">
        <f>ROUND(E233,0)</f>
        <v>158747</v>
      </c>
      <c r="G233" s="200">
        <f>F233-E233</f>
        <v>0</v>
      </c>
      <c r="H233" s="20"/>
      <c r="I233" s="108">
        <f>ROUND(F233,0)</f>
        <v>158747</v>
      </c>
      <c r="J233" s="200">
        <f t="shared" si="68"/>
        <v>0</v>
      </c>
      <c r="K233" s="20"/>
    </row>
    <row r="234" spans="2:11" x14ac:dyDescent="0.25">
      <c r="C234" s="202" t="s">
        <v>529</v>
      </c>
      <c r="D234" s="173" t="s">
        <v>530</v>
      </c>
      <c r="E234" s="122">
        <v>2137999</v>
      </c>
      <c r="F234" s="122">
        <f>F235+F236+F237</f>
        <v>2137999</v>
      </c>
      <c r="G234" s="122">
        <f t="shared" si="67"/>
        <v>0</v>
      </c>
      <c r="H234" s="35"/>
      <c r="I234" s="122">
        <f>I235+I236+I237</f>
        <v>2137999</v>
      </c>
      <c r="J234" s="122">
        <f t="shared" si="68"/>
        <v>0</v>
      </c>
      <c r="K234" s="35"/>
    </row>
    <row r="235" spans="2:11" s="204" customFormat="1" x14ac:dyDescent="0.25">
      <c r="B235" s="203" t="s">
        <v>531</v>
      </c>
      <c r="C235" s="205" t="s">
        <v>532</v>
      </c>
      <c r="D235" s="206" t="s">
        <v>533</v>
      </c>
      <c r="E235" s="108">
        <v>625207</v>
      </c>
      <c r="F235" s="108">
        <f>ROUND(E235,0)</f>
        <v>625207</v>
      </c>
      <c r="G235" s="200">
        <f t="shared" si="67"/>
        <v>0</v>
      </c>
      <c r="H235" s="14"/>
      <c r="I235" s="108">
        <f>ROUND(F235,0)</f>
        <v>625207</v>
      </c>
      <c r="J235" s="200">
        <f t="shared" si="68"/>
        <v>0</v>
      </c>
      <c r="K235" s="14"/>
    </row>
    <row r="236" spans="2:11" s="204" customFormat="1" ht="16.149999999999999" customHeight="1" x14ac:dyDescent="0.25">
      <c r="B236" s="203" t="s">
        <v>534</v>
      </c>
      <c r="C236" s="205" t="s">
        <v>535</v>
      </c>
      <c r="D236" s="206" t="s">
        <v>536</v>
      </c>
      <c r="E236" s="108">
        <v>135000</v>
      </c>
      <c r="F236" s="108">
        <f>ROUND(E236,0)</f>
        <v>135000</v>
      </c>
      <c r="G236" s="200">
        <f t="shared" si="67"/>
        <v>0</v>
      </c>
      <c r="H236" s="14"/>
      <c r="I236" s="108">
        <f>ROUND(F236,0)</f>
        <v>135000</v>
      </c>
      <c r="J236" s="200">
        <f t="shared" si="68"/>
        <v>0</v>
      </c>
      <c r="K236" s="14"/>
    </row>
    <row r="237" spans="2:11" x14ac:dyDescent="0.25">
      <c r="B237" s="128" t="s">
        <v>534</v>
      </c>
      <c r="C237" s="171" t="s">
        <v>537</v>
      </c>
      <c r="D237" s="154" t="s">
        <v>538</v>
      </c>
      <c r="E237" s="108">
        <v>1377792</v>
      </c>
      <c r="F237" s="108">
        <f>ROUND(E237,0)</f>
        <v>1377792</v>
      </c>
      <c r="G237" s="200">
        <f t="shared" si="67"/>
        <v>0</v>
      </c>
      <c r="H237" s="14"/>
      <c r="I237" s="108">
        <f>ROUND(F237,0)</f>
        <v>1377792</v>
      </c>
      <c r="J237" s="200">
        <f t="shared" si="68"/>
        <v>0</v>
      </c>
      <c r="K237" s="14"/>
    </row>
    <row r="238" spans="2:11" s="160" customFormat="1" ht="15.75" customHeight="1" x14ac:dyDescent="0.2">
      <c r="C238" s="202" t="s">
        <v>539</v>
      </c>
      <c r="D238" s="173" t="s">
        <v>540</v>
      </c>
      <c r="E238" s="174">
        <v>1977338.5930570001</v>
      </c>
      <c r="F238" s="174">
        <f t="shared" ref="F238" si="81">F239+F240+F241+F242+F243+F244+F245</f>
        <v>1974553</v>
      </c>
      <c r="G238" s="174">
        <f t="shared" si="67"/>
        <v>-2785.5930570000783</v>
      </c>
      <c r="H238" s="37"/>
      <c r="I238" s="174">
        <f t="shared" ref="I238" si="82">I239+I240+I241+I242+I243+I244+I245</f>
        <v>1979553</v>
      </c>
      <c r="J238" s="174">
        <f t="shared" si="68"/>
        <v>5000</v>
      </c>
      <c r="K238" s="37"/>
    </row>
    <row r="239" spans="2:11" s="105" customFormat="1" ht="17.25" customHeight="1" x14ac:dyDescent="0.25">
      <c r="B239" s="116" t="s">
        <v>541</v>
      </c>
      <c r="C239" s="171" t="s">
        <v>542</v>
      </c>
      <c r="D239" s="154" t="s">
        <v>504</v>
      </c>
      <c r="E239" s="108">
        <v>926167</v>
      </c>
      <c r="F239" s="108">
        <f>ROUND(E239,0)</f>
        <v>926167</v>
      </c>
      <c r="G239" s="108">
        <f t="shared" si="67"/>
        <v>0</v>
      </c>
      <c r="H239" s="20"/>
      <c r="I239" s="108">
        <f>ROUND(F239,0)</f>
        <v>926167</v>
      </c>
      <c r="J239" s="108">
        <f t="shared" si="68"/>
        <v>0</v>
      </c>
      <c r="K239" s="20"/>
    </row>
    <row r="240" spans="2:11" s="105" customFormat="1" x14ac:dyDescent="0.25">
      <c r="B240" s="105" t="s">
        <v>541</v>
      </c>
      <c r="C240" s="171" t="s">
        <v>543</v>
      </c>
      <c r="D240" s="154" t="s">
        <v>544</v>
      </c>
      <c r="E240" s="108">
        <v>74869</v>
      </c>
      <c r="F240" s="108">
        <f>ROUND(E240,0)</f>
        <v>74869</v>
      </c>
      <c r="G240" s="108">
        <f t="shared" si="67"/>
        <v>0</v>
      </c>
      <c r="H240" s="20"/>
      <c r="I240" s="108">
        <f>ROUND(F240,0)</f>
        <v>74869</v>
      </c>
      <c r="J240" s="108">
        <f t="shared" si="68"/>
        <v>0</v>
      </c>
      <c r="K240" s="20"/>
    </row>
    <row r="241" spans="2:11" s="105" customFormat="1" ht="17.25" customHeight="1" x14ac:dyDescent="0.25">
      <c r="B241" s="116" t="s">
        <v>545</v>
      </c>
      <c r="C241" s="171" t="s">
        <v>546</v>
      </c>
      <c r="D241" s="154" t="s">
        <v>507</v>
      </c>
      <c r="E241" s="108">
        <v>682154.59305699996</v>
      </c>
      <c r="F241" s="108">
        <f t="shared" ref="F241:F246" si="83">ROUND(E241,0)</f>
        <v>682155</v>
      </c>
      <c r="G241" s="108">
        <f t="shared" si="67"/>
        <v>0.40694300003815442</v>
      </c>
      <c r="H241" s="20"/>
      <c r="I241" s="108">
        <f>ROUND(F241,0)</f>
        <v>682155</v>
      </c>
      <c r="J241" s="108">
        <f t="shared" si="68"/>
        <v>0</v>
      </c>
      <c r="K241" s="20"/>
    </row>
    <row r="242" spans="2:11" s="105" customFormat="1" ht="17.25" customHeight="1" x14ac:dyDescent="0.25">
      <c r="B242" s="116"/>
      <c r="C242" s="171" t="s">
        <v>547</v>
      </c>
      <c r="D242" s="154" t="s">
        <v>521</v>
      </c>
      <c r="E242" s="108">
        <v>241081</v>
      </c>
      <c r="F242" s="108">
        <f t="shared" si="83"/>
        <v>241081</v>
      </c>
      <c r="G242" s="108">
        <f t="shared" si="67"/>
        <v>0</v>
      </c>
      <c r="H242" s="20"/>
      <c r="I242" s="108">
        <f>ROUND(F242,0)</f>
        <v>241081</v>
      </c>
      <c r="J242" s="108">
        <f t="shared" si="68"/>
        <v>0</v>
      </c>
      <c r="K242" s="20"/>
    </row>
    <row r="243" spans="2:11" s="105" customFormat="1" ht="16.899999999999999" customHeight="1" x14ac:dyDescent="0.25">
      <c r="B243" s="116" t="s">
        <v>548</v>
      </c>
      <c r="C243" s="171" t="s">
        <v>549</v>
      </c>
      <c r="D243" s="154" t="s">
        <v>550</v>
      </c>
      <c r="E243" s="108">
        <v>6454</v>
      </c>
      <c r="F243" s="108">
        <f>ROUND(E243,0)-2786</f>
        <v>3668</v>
      </c>
      <c r="G243" s="108">
        <f t="shared" si="67"/>
        <v>-2786</v>
      </c>
      <c r="H243" s="14" t="s">
        <v>157</v>
      </c>
      <c r="I243" s="108">
        <f>ROUND(F243,0)</f>
        <v>3668</v>
      </c>
      <c r="J243" s="108">
        <f t="shared" si="68"/>
        <v>0</v>
      </c>
      <c r="K243" s="14"/>
    </row>
    <row r="244" spans="2:11" s="160" customFormat="1" ht="18.75" customHeight="1" x14ac:dyDescent="0.25">
      <c r="B244" s="128" t="s">
        <v>551</v>
      </c>
      <c r="C244" s="171" t="s">
        <v>552</v>
      </c>
      <c r="D244" s="154" t="s">
        <v>553</v>
      </c>
      <c r="E244" s="108">
        <v>46613</v>
      </c>
      <c r="F244" s="108">
        <f t="shared" si="83"/>
        <v>46613</v>
      </c>
      <c r="G244" s="108">
        <f t="shared" si="67"/>
        <v>0</v>
      </c>
      <c r="H244" s="14"/>
      <c r="I244" s="108">
        <f>ROUND(F244,0)+5000</f>
        <v>51613</v>
      </c>
      <c r="J244" s="108">
        <f t="shared" si="68"/>
        <v>5000</v>
      </c>
      <c r="K244" s="25" t="s">
        <v>220</v>
      </c>
    </row>
    <row r="245" spans="2:11" s="160" customFormat="1" ht="15" customHeight="1" x14ac:dyDescent="0.25">
      <c r="B245" s="128" t="s">
        <v>554</v>
      </c>
      <c r="C245" s="171" t="s">
        <v>555</v>
      </c>
      <c r="D245" s="154" t="s">
        <v>556</v>
      </c>
      <c r="E245" s="108">
        <v>0</v>
      </c>
      <c r="F245" s="108">
        <f t="shared" si="83"/>
        <v>0</v>
      </c>
      <c r="G245" s="108">
        <f t="shared" si="67"/>
        <v>0</v>
      </c>
      <c r="H245" s="14"/>
      <c r="I245" s="108">
        <f>ROUND(F245,0)</f>
        <v>0</v>
      </c>
      <c r="J245" s="108">
        <f t="shared" si="68"/>
        <v>0</v>
      </c>
      <c r="K245" s="14"/>
    </row>
    <row r="246" spans="2:11" s="105" customFormat="1" ht="21" customHeight="1" x14ac:dyDescent="0.25">
      <c r="B246" s="128" t="s">
        <v>557</v>
      </c>
      <c r="C246" s="202" t="s">
        <v>558</v>
      </c>
      <c r="D246" s="173" t="s">
        <v>301</v>
      </c>
      <c r="E246" s="174">
        <v>836633.39</v>
      </c>
      <c r="F246" s="174">
        <f t="shared" si="83"/>
        <v>836633</v>
      </c>
      <c r="G246" s="174">
        <f>F246-E246</f>
        <v>-0.39000000001396984</v>
      </c>
      <c r="H246" s="23"/>
      <c r="I246" s="174">
        <f>ROUND(F246,0)</f>
        <v>836633</v>
      </c>
      <c r="J246" s="174">
        <f t="shared" si="68"/>
        <v>0</v>
      </c>
      <c r="K246" s="23"/>
    </row>
    <row r="247" spans="2:11" s="105" customFormat="1" ht="15.75" customHeight="1" x14ac:dyDescent="0.25">
      <c r="B247" s="116"/>
      <c r="C247" s="202" t="s">
        <v>559</v>
      </c>
      <c r="D247" s="173" t="s">
        <v>560</v>
      </c>
      <c r="E247" s="174">
        <v>7240446.2743386505</v>
      </c>
      <c r="F247" s="174">
        <f>F248+F249+F250+F251+F252+F253+F254+F255</f>
        <v>7249299</v>
      </c>
      <c r="G247" s="174">
        <f t="shared" si="67"/>
        <v>8852.7256613494828</v>
      </c>
      <c r="H247" s="23"/>
      <c r="I247" s="174">
        <f>I248+I249+I250+I251+I252+I253+I254+I255</f>
        <v>7335799</v>
      </c>
      <c r="J247" s="174">
        <f t="shared" si="68"/>
        <v>86500</v>
      </c>
      <c r="K247" s="23"/>
    </row>
    <row r="248" spans="2:11" s="105" customFormat="1" ht="17.25" customHeight="1" x14ac:dyDescent="0.25">
      <c r="B248" s="116" t="s">
        <v>561</v>
      </c>
      <c r="C248" s="171" t="s">
        <v>562</v>
      </c>
      <c r="D248" s="154" t="s">
        <v>504</v>
      </c>
      <c r="E248" s="108">
        <v>3750643</v>
      </c>
      <c r="F248" s="108">
        <f>ROUND(E248,0)</f>
        <v>3750643</v>
      </c>
      <c r="G248" s="108">
        <f t="shared" si="67"/>
        <v>0</v>
      </c>
      <c r="H248" s="20"/>
      <c r="I248" s="108">
        <f t="shared" ref="I248:I254" si="84">ROUND(F248,0)</f>
        <v>3750643</v>
      </c>
      <c r="J248" s="108">
        <f t="shared" si="68"/>
        <v>0</v>
      </c>
      <c r="K248" s="20"/>
    </row>
    <row r="249" spans="2:11" s="105" customFormat="1" ht="42" customHeight="1" x14ac:dyDescent="0.25">
      <c r="B249" s="116" t="s">
        <v>563</v>
      </c>
      <c r="C249" s="171" t="s">
        <v>564</v>
      </c>
      <c r="D249" s="154" t="s">
        <v>507</v>
      </c>
      <c r="E249" s="108">
        <v>1425817.7494320502</v>
      </c>
      <c r="F249" s="108">
        <f>ROUND(E249,0)+10864</f>
        <v>1436682</v>
      </c>
      <c r="G249" s="108">
        <f t="shared" si="67"/>
        <v>10864.250567949843</v>
      </c>
      <c r="H249" s="20" t="s">
        <v>565</v>
      </c>
      <c r="I249" s="108">
        <f>ROUND(F249,0)+43000</f>
        <v>1479682</v>
      </c>
      <c r="J249" s="109">
        <f t="shared" si="68"/>
        <v>43000</v>
      </c>
      <c r="K249" s="118" t="s">
        <v>566</v>
      </c>
    </row>
    <row r="250" spans="2:11" s="105" customFormat="1" ht="17.45" customHeight="1" x14ac:dyDescent="0.25">
      <c r="B250" s="105" t="s">
        <v>567</v>
      </c>
      <c r="C250" s="171" t="s">
        <v>568</v>
      </c>
      <c r="D250" s="154" t="s">
        <v>553</v>
      </c>
      <c r="E250" s="108">
        <v>250373</v>
      </c>
      <c r="F250" s="108">
        <f>ROUND(E250,0)</f>
        <v>250373</v>
      </c>
      <c r="G250" s="108">
        <f t="shared" si="67"/>
        <v>0</v>
      </c>
      <c r="H250" s="14"/>
      <c r="I250" s="108">
        <f t="shared" si="84"/>
        <v>250373</v>
      </c>
      <c r="J250" s="108">
        <f t="shared" si="68"/>
        <v>0</v>
      </c>
      <c r="K250" s="14"/>
    </row>
    <row r="251" spans="2:11" s="105" customFormat="1" ht="16.149999999999999" customHeight="1" x14ac:dyDescent="0.25">
      <c r="B251" s="116" t="s">
        <v>569</v>
      </c>
      <c r="C251" s="171" t="s">
        <v>570</v>
      </c>
      <c r="D251" s="154" t="s">
        <v>550</v>
      </c>
      <c r="E251" s="108">
        <v>16158</v>
      </c>
      <c r="F251" s="108">
        <f>ROUND(E251,0)-2011</f>
        <v>14147</v>
      </c>
      <c r="G251" s="108">
        <f t="shared" si="67"/>
        <v>-2011</v>
      </c>
      <c r="H251" s="14" t="s">
        <v>157</v>
      </c>
      <c r="I251" s="108">
        <f t="shared" si="84"/>
        <v>14147</v>
      </c>
      <c r="J251" s="108">
        <f t="shared" si="68"/>
        <v>0</v>
      </c>
      <c r="K251" s="14"/>
    </row>
    <row r="252" spans="2:11" s="207" customFormat="1" ht="54" customHeight="1" x14ac:dyDescent="0.25">
      <c r="B252" s="116" t="s">
        <v>563</v>
      </c>
      <c r="C252" s="171" t="s">
        <v>571</v>
      </c>
      <c r="D252" s="154" t="s">
        <v>303</v>
      </c>
      <c r="E252" s="108">
        <v>390000</v>
      </c>
      <c r="F252" s="108">
        <f>ROUND(E252,0)</f>
        <v>390000</v>
      </c>
      <c r="G252" s="108">
        <f t="shared" si="67"/>
        <v>0</v>
      </c>
      <c r="H252" s="20"/>
      <c r="I252" s="108">
        <f>ROUND(F252,0)+43500</f>
        <v>433500</v>
      </c>
      <c r="J252" s="109">
        <f t="shared" si="68"/>
        <v>43500</v>
      </c>
      <c r="K252" s="118" t="s">
        <v>572</v>
      </c>
    </row>
    <row r="253" spans="2:11" s="207" customFormat="1" ht="19.149999999999999" customHeight="1" x14ac:dyDescent="0.25">
      <c r="B253" s="208" t="s">
        <v>573</v>
      </c>
      <c r="C253" s="171" t="s">
        <v>574</v>
      </c>
      <c r="D253" s="154" t="s">
        <v>575</v>
      </c>
      <c r="E253" s="108">
        <v>838367.24456400005</v>
      </c>
      <c r="F253" s="108">
        <f>ROUND(E253,0)</f>
        <v>838367</v>
      </c>
      <c r="G253" s="108">
        <f t="shared" si="67"/>
        <v>-0.24456400005146861</v>
      </c>
      <c r="H253" s="20" t="s">
        <v>576</v>
      </c>
      <c r="I253" s="108">
        <f t="shared" si="84"/>
        <v>838367</v>
      </c>
      <c r="J253" s="108">
        <f t="shared" si="68"/>
        <v>0</v>
      </c>
      <c r="K253" s="20"/>
    </row>
    <row r="254" spans="2:11" s="207" customFormat="1" ht="15" customHeight="1" x14ac:dyDescent="0.25">
      <c r="B254" s="116" t="s">
        <v>561</v>
      </c>
      <c r="C254" s="171" t="s">
        <v>577</v>
      </c>
      <c r="D254" s="154" t="s">
        <v>578</v>
      </c>
      <c r="E254" s="108">
        <v>173758</v>
      </c>
      <c r="F254" s="108">
        <f>ROUND(E254,0)</f>
        <v>173758</v>
      </c>
      <c r="G254" s="108">
        <f t="shared" si="67"/>
        <v>0</v>
      </c>
      <c r="H254" s="14"/>
      <c r="I254" s="108">
        <f t="shared" si="84"/>
        <v>173758</v>
      </c>
      <c r="J254" s="108">
        <f t="shared" si="68"/>
        <v>0</v>
      </c>
      <c r="K254" s="14"/>
    </row>
    <row r="255" spans="2:11" s="212" customFormat="1" ht="13.9" customHeight="1" x14ac:dyDescent="0.25">
      <c r="B255" s="208"/>
      <c r="C255" s="209" t="s">
        <v>579</v>
      </c>
      <c r="D255" s="210" t="s">
        <v>580</v>
      </c>
      <c r="E255" s="211">
        <v>395329.28034260002</v>
      </c>
      <c r="F255" s="211">
        <f t="shared" ref="F255:G255" si="85">F256+F257</f>
        <v>395329</v>
      </c>
      <c r="G255" s="211">
        <f t="shared" si="85"/>
        <v>-0.28034260001732036</v>
      </c>
      <c r="H255" s="211"/>
      <c r="I255" s="211">
        <f t="shared" ref="I255" si="86">I256+I257</f>
        <v>395329</v>
      </c>
      <c r="J255" s="211">
        <f t="shared" si="68"/>
        <v>0</v>
      </c>
      <c r="K255" s="211"/>
    </row>
    <row r="256" spans="2:11" s="207" customFormat="1" ht="12" customHeight="1" x14ac:dyDescent="0.25">
      <c r="B256" s="128" t="s">
        <v>581</v>
      </c>
      <c r="C256" s="213" t="s">
        <v>582</v>
      </c>
      <c r="D256" s="154" t="s">
        <v>583</v>
      </c>
      <c r="E256" s="108">
        <v>83788</v>
      </c>
      <c r="F256" s="108">
        <f>ROUND(E256,0)</f>
        <v>83788</v>
      </c>
      <c r="G256" s="108">
        <f t="shared" si="67"/>
        <v>0</v>
      </c>
      <c r="H256" s="20"/>
      <c r="I256" s="108">
        <f>ROUND(F256,0)</f>
        <v>83788</v>
      </c>
      <c r="J256" s="108">
        <f t="shared" si="68"/>
        <v>0</v>
      </c>
      <c r="K256" s="20"/>
    </row>
    <row r="257" spans="2:11" s="160" customFormat="1" ht="12.6" customHeight="1" x14ac:dyDescent="0.25">
      <c r="B257" s="208" t="s">
        <v>584</v>
      </c>
      <c r="C257" s="213" t="s">
        <v>585</v>
      </c>
      <c r="D257" s="154" t="s">
        <v>586</v>
      </c>
      <c r="E257" s="108">
        <v>311541.28034260002</v>
      </c>
      <c r="F257" s="108">
        <f>ROUND(E257,0)</f>
        <v>311541</v>
      </c>
      <c r="G257" s="108">
        <f t="shared" si="67"/>
        <v>-0.28034260001732036</v>
      </c>
      <c r="H257" s="14"/>
      <c r="I257" s="108">
        <f>ROUND(F257,0)</f>
        <v>311541</v>
      </c>
      <c r="J257" s="108">
        <f t="shared" si="68"/>
        <v>0</v>
      </c>
      <c r="K257" s="14"/>
    </row>
    <row r="258" spans="2:11" ht="18" customHeight="1" x14ac:dyDescent="0.25">
      <c r="C258" s="202" t="s">
        <v>587</v>
      </c>
      <c r="D258" s="173" t="s">
        <v>588</v>
      </c>
      <c r="E258" s="174">
        <v>1489092.9817770002</v>
      </c>
      <c r="F258" s="174">
        <f t="shared" ref="F258" si="87">F259+F260</f>
        <v>1541382</v>
      </c>
      <c r="G258" s="174">
        <f t="shared" si="67"/>
        <v>52289.018222999759</v>
      </c>
      <c r="H258" s="174"/>
      <c r="I258" s="174">
        <f t="shared" ref="I258" si="88">I259+I260</f>
        <v>1541382</v>
      </c>
      <c r="J258" s="174">
        <f t="shared" si="68"/>
        <v>0</v>
      </c>
      <c r="K258" s="174"/>
    </row>
    <row r="259" spans="2:11" ht="13.5" customHeight="1" x14ac:dyDescent="0.25">
      <c r="C259" s="171" t="s">
        <v>589</v>
      </c>
      <c r="D259" s="154" t="s">
        <v>590</v>
      </c>
      <c r="E259" s="108">
        <v>593640</v>
      </c>
      <c r="F259" s="108">
        <f>ROUND(E259,0)+52289</f>
        <v>645929</v>
      </c>
      <c r="G259" s="108">
        <f t="shared" si="67"/>
        <v>52289</v>
      </c>
      <c r="H259" s="20" t="s">
        <v>126</v>
      </c>
      <c r="I259" s="108">
        <f>ROUND(F259,0)</f>
        <v>645929</v>
      </c>
      <c r="J259" s="108">
        <f t="shared" si="68"/>
        <v>0</v>
      </c>
      <c r="K259" s="20"/>
    </row>
    <row r="260" spans="2:11" ht="28.9" customHeight="1" x14ac:dyDescent="0.25">
      <c r="C260" s="171" t="s">
        <v>591</v>
      </c>
      <c r="D260" s="154" t="s">
        <v>507</v>
      </c>
      <c r="E260" s="108">
        <v>895452.98177700012</v>
      </c>
      <c r="F260" s="108">
        <f>ROUND(E260,0)</f>
        <v>895453</v>
      </c>
      <c r="G260" s="108">
        <f t="shared" ref="G260:G278" si="89">F260-E260</f>
        <v>1.8222999875433743E-2</v>
      </c>
      <c r="H260" s="43"/>
      <c r="I260" s="108">
        <f>ROUND(F260,0)</f>
        <v>895453</v>
      </c>
      <c r="J260" s="108">
        <f t="shared" ref="J260:J278" si="90">I260-F260</f>
        <v>0</v>
      </c>
      <c r="K260" s="43"/>
    </row>
    <row r="261" spans="2:11" ht="16.149999999999999" customHeight="1" x14ac:dyDescent="0.25">
      <c r="C261" s="214" t="s">
        <v>592</v>
      </c>
      <c r="D261" s="173" t="s">
        <v>593</v>
      </c>
      <c r="E261" s="174">
        <v>643256.80554049998</v>
      </c>
      <c r="F261" s="174">
        <f>F262+F263</f>
        <v>643257</v>
      </c>
      <c r="G261" s="174">
        <f t="shared" si="89"/>
        <v>0.19445950002409518</v>
      </c>
      <c r="H261" s="37"/>
      <c r="I261" s="174">
        <f>I262+I263</f>
        <v>643257</v>
      </c>
      <c r="J261" s="174">
        <f t="shared" si="90"/>
        <v>0</v>
      </c>
      <c r="K261" s="37"/>
    </row>
    <row r="262" spans="2:11" ht="16.5" customHeight="1" x14ac:dyDescent="0.25">
      <c r="B262" s="128" t="s">
        <v>594</v>
      </c>
      <c r="C262" s="171" t="s">
        <v>595</v>
      </c>
      <c r="D262" s="154" t="s">
        <v>590</v>
      </c>
      <c r="E262" s="108">
        <v>299308</v>
      </c>
      <c r="F262" s="108">
        <f t="shared" ref="F262:F268" si="91">ROUND(E262,0)</f>
        <v>299308</v>
      </c>
      <c r="G262" s="108">
        <f t="shared" si="89"/>
        <v>0</v>
      </c>
      <c r="H262" s="14"/>
      <c r="I262" s="108">
        <f t="shared" ref="I262:I268" si="92">ROUND(F262,0)</f>
        <v>299308</v>
      </c>
      <c r="J262" s="108">
        <f t="shared" si="90"/>
        <v>0</v>
      </c>
      <c r="K262" s="14"/>
    </row>
    <row r="263" spans="2:11" ht="16.5" customHeight="1" x14ac:dyDescent="0.25">
      <c r="B263" s="128" t="s">
        <v>596</v>
      </c>
      <c r="C263" s="171" t="s">
        <v>597</v>
      </c>
      <c r="D263" s="154" t="s">
        <v>598</v>
      </c>
      <c r="E263" s="108">
        <v>343948.80554049998</v>
      </c>
      <c r="F263" s="108">
        <f t="shared" si="91"/>
        <v>343949</v>
      </c>
      <c r="G263" s="108">
        <f t="shared" si="89"/>
        <v>0.19445950002409518</v>
      </c>
      <c r="H263" s="20"/>
      <c r="I263" s="108">
        <f t="shared" si="92"/>
        <v>343949</v>
      </c>
      <c r="J263" s="108">
        <f t="shared" si="90"/>
        <v>0</v>
      </c>
      <c r="K263" s="20"/>
    </row>
    <row r="264" spans="2:11" ht="18.75" customHeight="1" x14ac:dyDescent="0.25">
      <c r="B264" s="128" t="s">
        <v>599</v>
      </c>
      <c r="C264" s="214" t="s">
        <v>600</v>
      </c>
      <c r="D264" s="173" t="s">
        <v>601</v>
      </c>
      <c r="E264" s="122">
        <v>316025.5193245</v>
      </c>
      <c r="F264" s="122">
        <f t="shared" si="91"/>
        <v>316026</v>
      </c>
      <c r="G264" s="122">
        <f t="shared" si="89"/>
        <v>0.48067550000268966</v>
      </c>
      <c r="H264" s="23"/>
      <c r="I264" s="122">
        <f t="shared" si="92"/>
        <v>316026</v>
      </c>
      <c r="J264" s="122">
        <f t="shared" si="90"/>
        <v>0</v>
      </c>
      <c r="K264" s="23"/>
    </row>
    <row r="265" spans="2:11" ht="32.450000000000003" customHeight="1" x14ac:dyDescent="0.25">
      <c r="B265" s="128"/>
      <c r="C265" s="214" t="s">
        <v>602</v>
      </c>
      <c r="D265" s="173" t="s">
        <v>603</v>
      </c>
      <c r="E265" s="122">
        <v>3000</v>
      </c>
      <c r="F265" s="122">
        <f t="shared" si="91"/>
        <v>3000</v>
      </c>
      <c r="G265" s="122"/>
      <c r="H265" s="23"/>
      <c r="I265" s="122">
        <f t="shared" si="92"/>
        <v>3000</v>
      </c>
      <c r="J265" s="122">
        <f t="shared" si="90"/>
        <v>0</v>
      </c>
      <c r="K265" s="23"/>
    </row>
    <row r="266" spans="2:11" ht="43.9" customHeight="1" x14ac:dyDescent="0.25">
      <c r="B266" s="128" t="s">
        <v>604</v>
      </c>
      <c r="C266" s="214" t="s">
        <v>605</v>
      </c>
      <c r="D266" s="173" t="s">
        <v>606</v>
      </c>
      <c r="E266" s="122">
        <v>16292</v>
      </c>
      <c r="F266" s="122">
        <f t="shared" si="91"/>
        <v>16292</v>
      </c>
      <c r="G266" s="122">
        <f t="shared" si="89"/>
        <v>0</v>
      </c>
      <c r="H266" s="23"/>
      <c r="I266" s="122">
        <f t="shared" si="92"/>
        <v>16292</v>
      </c>
      <c r="J266" s="122">
        <f t="shared" si="90"/>
        <v>0</v>
      </c>
      <c r="K266" s="23"/>
    </row>
    <row r="267" spans="2:11" ht="27" customHeight="1" x14ac:dyDescent="0.25">
      <c r="B267" s="128" t="s">
        <v>607</v>
      </c>
      <c r="C267" s="214" t="s">
        <v>608</v>
      </c>
      <c r="D267" s="173" t="s">
        <v>211</v>
      </c>
      <c r="E267" s="122">
        <v>1049</v>
      </c>
      <c r="F267" s="122">
        <f t="shared" si="91"/>
        <v>1049</v>
      </c>
      <c r="G267" s="122">
        <f t="shared" si="89"/>
        <v>0</v>
      </c>
      <c r="H267" s="23"/>
      <c r="I267" s="122">
        <f t="shared" si="92"/>
        <v>1049</v>
      </c>
      <c r="J267" s="122">
        <f t="shared" si="90"/>
        <v>0</v>
      </c>
      <c r="K267" s="23"/>
    </row>
    <row r="268" spans="2:11" ht="57.6" customHeight="1" x14ac:dyDescent="0.25">
      <c r="B268" s="128" t="s">
        <v>609</v>
      </c>
      <c r="C268" s="214" t="s">
        <v>610</v>
      </c>
      <c r="D268" s="173" t="s">
        <v>611</v>
      </c>
      <c r="E268" s="122">
        <v>7000</v>
      </c>
      <c r="F268" s="122">
        <f t="shared" si="91"/>
        <v>7000</v>
      </c>
      <c r="G268" s="122">
        <f t="shared" si="89"/>
        <v>0</v>
      </c>
      <c r="H268" s="23"/>
      <c r="I268" s="122">
        <f t="shared" si="92"/>
        <v>7000</v>
      </c>
      <c r="J268" s="122">
        <f t="shared" si="90"/>
        <v>0</v>
      </c>
      <c r="K268" s="23"/>
    </row>
    <row r="269" spans="2:11" ht="27" customHeight="1" x14ac:dyDescent="0.25">
      <c r="C269" s="202" t="s">
        <v>612</v>
      </c>
      <c r="D269" s="173" t="s">
        <v>199</v>
      </c>
      <c r="E269" s="195">
        <v>106243</v>
      </c>
      <c r="F269" s="195">
        <f>F270+F271</f>
        <v>106243</v>
      </c>
      <c r="G269" s="122">
        <f t="shared" si="89"/>
        <v>0</v>
      </c>
      <c r="H269" s="23"/>
      <c r="I269" s="195">
        <f>I270+I271</f>
        <v>106243</v>
      </c>
      <c r="J269" s="122">
        <f t="shared" si="90"/>
        <v>0</v>
      </c>
      <c r="K269" s="23"/>
    </row>
    <row r="270" spans="2:11" ht="14.45" customHeight="1" x14ac:dyDescent="0.25">
      <c r="B270" s="128" t="s">
        <v>613</v>
      </c>
      <c r="C270" s="171" t="s">
        <v>614</v>
      </c>
      <c r="D270" s="154" t="s">
        <v>615</v>
      </c>
      <c r="E270" s="108">
        <v>70943</v>
      </c>
      <c r="F270" s="108">
        <f>ROUND(E270,0)</f>
        <v>70943</v>
      </c>
      <c r="G270" s="108">
        <f t="shared" si="89"/>
        <v>0</v>
      </c>
      <c r="H270" s="20"/>
      <c r="I270" s="108">
        <f>ROUND(F270,0)</f>
        <v>70943</v>
      </c>
      <c r="J270" s="108">
        <f t="shared" si="90"/>
        <v>0</v>
      </c>
      <c r="K270" s="20"/>
    </row>
    <row r="271" spans="2:11" s="160" customFormat="1" ht="15" customHeight="1" thickBot="1" x14ac:dyDescent="0.3">
      <c r="B271" s="128" t="s">
        <v>616</v>
      </c>
      <c r="C271" s="171" t="s">
        <v>617</v>
      </c>
      <c r="D271" s="154" t="s">
        <v>618</v>
      </c>
      <c r="E271" s="108">
        <v>35300</v>
      </c>
      <c r="F271" s="108">
        <f>ROUND(E271,0)</f>
        <v>35300</v>
      </c>
      <c r="G271" s="108">
        <f t="shared" si="89"/>
        <v>0</v>
      </c>
      <c r="H271" s="20"/>
      <c r="I271" s="108">
        <f>ROUND(F271,0)</f>
        <v>35300</v>
      </c>
      <c r="J271" s="108">
        <f t="shared" si="90"/>
        <v>0</v>
      </c>
      <c r="K271" s="20"/>
    </row>
    <row r="272" spans="2:11" s="160" customFormat="1" ht="17.45" hidden="1" customHeight="1" outlineLevel="1" thickBot="1" x14ac:dyDescent="0.25">
      <c r="C272" s="167" t="s">
        <v>619</v>
      </c>
      <c r="D272" s="168" t="s">
        <v>620</v>
      </c>
      <c r="E272" s="112">
        <v>0</v>
      </c>
      <c r="F272" s="112">
        <f>SUM(F273:F274)</f>
        <v>0</v>
      </c>
      <c r="G272" s="112">
        <f t="shared" si="89"/>
        <v>0</v>
      </c>
      <c r="H272" s="15"/>
      <c r="I272" s="112">
        <f>SUM(I273:I274)</f>
        <v>0</v>
      </c>
      <c r="J272" s="112">
        <f t="shared" si="90"/>
        <v>0</v>
      </c>
      <c r="K272" s="15"/>
    </row>
    <row r="273" spans="3:11" ht="17.25" hidden="1" customHeight="1" outlineLevel="1" thickBot="1" x14ac:dyDescent="0.3">
      <c r="C273" s="164" t="s">
        <v>120</v>
      </c>
      <c r="D273" s="165" t="s">
        <v>621</v>
      </c>
      <c r="E273" s="122"/>
      <c r="F273" s="122"/>
      <c r="G273" s="122">
        <f t="shared" si="89"/>
        <v>0</v>
      </c>
      <c r="H273" s="23"/>
      <c r="I273" s="122"/>
      <c r="J273" s="122">
        <f t="shared" si="90"/>
        <v>0</v>
      </c>
      <c r="K273" s="23"/>
    </row>
    <row r="274" spans="3:11" ht="15.75" hidden="1" outlineLevel="1" thickBot="1" x14ac:dyDescent="0.3">
      <c r="C274" s="164" t="s">
        <v>180</v>
      </c>
      <c r="D274" s="165" t="s">
        <v>622</v>
      </c>
      <c r="E274" s="122"/>
      <c r="F274" s="122"/>
      <c r="G274" s="122">
        <f t="shared" si="89"/>
        <v>0</v>
      </c>
      <c r="H274" s="23"/>
      <c r="I274" s="122"/>
      <c r="J274" s="122">
        <f t="shared" si="90"/>
        <v>0</v>
      </c>
      <c r="K274" s="23"/>
    </row>
    <row r="275" spans="3:11" s="160" customFormat="1" ht="30" customHeight="1" collapsed="1" thickBot="1" x14ac:dyDescent="0.25">
      <c r="C275" s="215"/>
      <c r="D275" s="216" t="s">
        <v>623</v>
      </c>
      <c r="E275" s="217">
        <v>54533532.808720239</v>
      </c>
      <c r="F275" s="217">
        <f>F132+F142+F144+F145+F150+F152+F186+F199+F218+F272+0.5</f>
        <v>54591888.5</v>
      </c>
      <c r="G275" s="217">
        <f t="shared" si="89"/>
        <v>58355.691279761493</v>
      </c>
      <c r="H275" s="44"/>
      <c r="I275" s="217">
        <f>I132+I142+I144+I145+I150+I152+I186+I199+I218+I272+0.5</f>
        <v>55068746.5</v>
      </c>
      <c r="J275" s="217">
        <f t="shared" si="90"/>
        <v>476858</v>
      </c>
      <c r="K275" s="44"/>
    </row>
    <row r="276" spans="3:11" s="105" customFormat="1" ht="15.75" customHeight="1" thickBot="1" x14ac:dyDescent="0.3">
      <c r="C276" s="167" t="s">
        <v>234</v>
      </c>
      <c r="D276" s="168" t="s">
        <v>624</v>
      </c>
      <c r="E276" s="112">
        <v>3601890.1379218102</v>
      </c>
      <c r="F276" s="112">
        <f>ROUND(E276,0)</f>
        <v>3601890</v>
      </c>
      <c r="G276" s="112">
        <f t="shared" si="89"/>
        <v>-0.13792181015014648</v>
      </c>
      <c r="H276" s="19"/>
      <c r="I276" s="112">
        <f>ROUND(F276,0)</f>
        <v>3601890</v>
      </c>
      <c r="J276" s="112">
        <f t="shared" si="90"/>
        <v>0</v>
      </c>
      <c r="K276" s="19"/>
    </row>
    <row r="277" spans="3:11" ht="15.75" thickBot="1" x14ac:dyDescent="0.3">
      <c r="C277" s="215"/>
      <c r="D277" s="216" t="s">
        <v>625</v>
      </c>
      <c r="E277" s="218">
        <v>58135422.946642049</v>
      </c>
      <c r="F277" s="218">
        <f>F275+F276</f>
        <v>58193778.5</v>
      </c>
      <c r="G277" s="218">
        <f t="shared" si="89"/>
        <v>58355.553357951343</v>
      </c>
      <c r="H277" s="45"/>
      <c r="I277" s="218">
        <f>I275+I276</f>
        <v>58670636.5</v>
      </c>
      <c r="J277" s="218">
        <f t="shared" si="90"/>
        <v>476858</v>
      </c>
      <c r="K277" s="45"/>
    </row>
    <row r="278" spans="3:11" ht="16.5" thickTop="1" thickBot="1" x14ac:dyDescent="0.3">
      <c r="C278" s="219" t="s">
        <v>626</v>
      </c>
      <c r="D278" s="220" t="s">
        <v>627</v>
      </c>
      <c r="E278" s="221">
        <v>26873.285557955503</v>
      </c>
      <c r="F278" s="221">
        <f>F126-F277-0.2</f>
        <v>26873.3</v>
      </c>
      <c r="G278" s="221">
        <f t="shared" si="89"/>
        <v>1.4442044495808659E-2</v>
      </c>
      <c r="H278" s="46"/>
      <c r="I278" s="221">
        <f>I126-I277-0.2</f>
        <v>43996.3</v>
      </c>
      <c r="J278" s="221">
        <f t="shared" si="90"/>
        <v>17123.000000000004</v>
      </c>
      <c r="K278" s="46"/>
    </row>
  </sheetData>
  <mergeCells count="5">
    <mergeCell ref="C129:D129"/>
    <mergeCell ref="C130:D130"/>
    <mergeCell ref="K165:K166"/>
    <mergeCell ref="C2:D2"/>
    <mergeCell ref="C3:D3"/>
  </mergeCells>
  <conditionalFormatting sqref="E278:G278">
    <cfRule type="cellIs" dxfId="1" priority="3" operator="lessThan">
      <formula>0</formula>
    </cfRule>
  </conditionalFormatting>
  <conditionalFormatting sqref="I278:J278">
    <cfRule type="cellIs" dxfId="0" priority="1" operator="lessThan">
      <formula>0</formula>
    </cfRule>
  </conditionalFormatting>
  <pageMargins left="0.47244094488188981" right="0.47244094488188981" top="0.47244094488188981" bottom="0.47244094488188981" header="0.27559055118110237" footer="0.27559055118110237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13964-B4D1-4E62-82F3-3F2D0C82AAAD}">
  <sheetPr>
    <tabColor rgb="FF00B050"/>
    <pageSetUpPr fitToPage="1"/>
  </sheetPr>
  <dimension ref="A1:W208"/>
  <sheetViews>
    <sheetView zoomScale="122" zoomScaleNormal="122" workbookViewId="0">
      <pane ySplit="6" topLeftCell="A7" activePane="bottomLeft" state="frozen"/>
      <selection activeCell="A4" sqref="A4"/>
      <selection pane="bottomLeft" activeCell="D15" sqref="D15"/>
    </sheetView>
  </sheetViews>
  <sheetFormatPr defaultColWidth="9.140625" defaultRowHeight="12.75" x14ac:dyDescent="0.2"/>
  <cols>
    <col min="1" max="1" width="5.42578125" style="233" customWidth="1"/>
    <col min="2" max="2" width="26.7109375" style="235" customWidth="1"/>
    <col min="3" max="3" width="9.42578125" style="235" customWidth="1"/>
    <col min="4" max="4" width="11" style="236" customWidth="1"/>
    <col min="5" max="7" width="11.7109375" style="237" customWidth="1"/>
    <col min="8" max="13" width="11" style="237" customWidth="1"/>
    <col min="14" max="15" width="9.140625" style="238"/>
    <col min="16" max="16" width="14.42578125" style="235" customWidth="1"/>
    <col min="17" max="16384" width="9.140625" style="235"/>
  </cols>
  <sheetData>
    <row r="1" spans="1:23" ht="18.75" x14ac:dyDescent="0.3">
      <c r="B1" s="234" t="s">
        <v>697</v>
      </c>
    </row>
    <row r="2" spans="1:23" ht="15" x14ac:dyDescent="0.25">
      <c r="A2" s="239" t="s">
        <v>698</v>
      </c>
      <c r="B2" s="239"/>
      <c r="D2" s="240"/>
      <c r="L2" s="241"/>
    </row>
    <row r="3" spans="1:23" ht="15" x14ac:dyDescent="0.25">
      <c r="A3" s="239"/>
      <c r="D3" s="240"/>
      <c r="L3" s="241"/>
    </row>
    <row r="4" spans="1:23" ht="12.75" customHeight="1" x14ac:dyDescent="0.2"/>
    <row r="5" spans="1:23" ht="4.5" customHeight="1" thickBot="1" x14ac:dyDescent="0.25"/>
    <row r="6" spans="1:23" s="247" customFormat="1" ht="36.75" customHeight="1" thickBot="1" x14ac:dyDescent="0.25">
      <c r="A6" s="351" t="s">
        <v>699</v>
      </c>
      <c r="B6" s="352"/>
      <c r="C6" s="242" t="s">
        <v>700</v>
      </c>
      <c r="D6" s="243" t="s">
        <v>701</v>
      </c>
      <c r="E6" s="244" t="s">
        <v>702</v>
      </c>
      <c r="F6" s="244" t="s">
        <v>703</v>
      </c>
      <c r="G6" s="244" t="s">
        <v>704</v>
      </c>
      <c r="H6" s="244" t="s">
        <v>705</v>
      </c>
      <c r="I6" s="244" t="s">
        <v>706</v>
      </c>
      <c r="J6" s="244" t="s">
        <v>707</v>
      </c>
      <c r="K6" s="244" t="s">
        <v>708</v>
      </c>
      <c r="L6" s="244" t="s">
        <v>709</v>
      </c>
      <c r="M6" s="244" t="s">
        <v>710</v>
      </c>
      <c r="N6" s="245"/>
      <c r="O6" s="246"/>
    </row>
    <row r="7" spans="1:23" s="254" customFormat="1" x14ac:dyDescent="0.2">
      <c r="A7" s="248">
        <v>1</v>
      </c>
      <c r="B7" s="249" t="s">
        <v>711</v>
      </c>
      <c r="C7" s="250" t="s">
        <v>712</v>
      </c>
      <c r="D7" s="251">
        <v>2099988.6170255151</v>
      </c>
      <c r="E7" s="252">
        <v>97945.803956721895</v>
      </c>
      <c r="F7" s="252">
        <v>97946.803956721895</v>
      </c>
      <c r="G7" s="252">
        <v>97946.803956721895</v>
      </c>
      <c r="H7" s="252">
        <v>97946.803956721895</v>
      </c>
      <c r="I7" s="252">
        <v>97946.803956721895</v>
      </c>
      <c r="J7" s="252">
        <v>97946.803956721895</v>
      </c>
      <c r="K7" s="252">
        <v>97946.803956721895</v>
      </c>
      <c r="L7" s="252">
        <v>707172.96438950277</v>
      </c>
      <c r="M7" s="252">
        <v>1392799.5920865559</v>
      </c>
      <c r="N7" s="253"/>
      <c r="O7" s="253"/>
    </row>
    <row r="8" spans="1:23" s="260" customFormat="1" ht="13.5" thickBot="1" x14ac:dyDescent="0.25">
      <c r="A8" s="255"/>
      <c r="B8" s="256" t="s">
        <v>713</v>
      </c>
      <c r="C8" s="257"/>
      <c r="D8" s="258"/>
      <c r="E8" s="259">
        <v>27981.343805018907</v>
      </c>
      <c r="F8" s="259">
        <v>26013.612603528367</v>
      </c>
      <c r="G8" s="259">
        <v>24045.861312037825</v>
      </c>
      <c r="H8" s="259">
        <v>22078.110020547283</v>
      </c>
      <c r="I8" s="259">
        <v>20110.358729056741</v>
      </c>
      <c r="J8" s="259">
        <v>18142.607437566196</v>
      </c>
      <c r="K8" s="259">
        <v>16174.856146075654</v>
      </c>
      <c r="L8" s="259">
        <v>92346.181554803217</v>
      </c>
      <c r="M8" s="259">
        <v>246892.93160863419</v>
      </c>
      <c r="N8" s="253"/>
      <c r="O8" s="253"/>
    </row>
    <row r="9" spans="1:23" s="254" customFormat="1" x14ac:dyDescent="0.2">
      <c r="A9" s="261">
        <v>2</v>
      </c>
      <c r="B9" s="262" t="s">
        <v>711</v>
      </c>
      <c r="C9" s="263" t="s">
        <v>714</v>
      </c>
      <c r="D9" s="251">
        <v>6628760.3540983843</v>
      </c>
      <c r="E9" s="264">
        <v>392598.78998981224</v>
      </c>
      <c r="F9" s="264">
        <v>392598.78998981224</v>
      </c>
      <c r="G9" s="264">
        <v>392598.78998981224</v>
      </c>
      <c r="H9" s="264">
        <v>392598.78998981201</v>
      </c>
      <c r="I9" s="264">
        <v>392598.78998981224</v>
      </c>
      <c r="J9" s="264">
        <v>392598.78998981224</v>
      </c>
      <c r="K9" s="264">
        <v>392598.78998981224</v>
      </c>
      <c r="L9" s="264">
        <v>785196.09009168996</v>
      </c>
      <c r="M9" s="264">
        <v>3533387.6200203756</v>
      </c>
      <c r="N9" s="253"/>
      <c r="O9" s="253"/>
      <c r="P9" s="253"/>
      <c r="Q9" s="253"/>
      <c r="R9" s="253"/>
      <c r="S9" s="253"/>
      <c r="T9" s="253"/>
      <c r="U9" s="253"/>
      <c r="V9" s="253"/>
      <c r="W9" s="253"/>
    </row>
    <row r="10" spans="1:23" s="260" customFormat="1" ht="13.5" thickBot="1" x14ac:dyDescent="0.25">
      <c r="A10" s="255"/>
      <c r="B10" s="256" t="s">
        <v>715</v>
      </c>
      <c r="C10" s="257"/>
      <c r="D10" s="258"/>
      <c r="E10" s="259">
        <v>70985.757286209351</v>
      </c>
      <c r="F10" s="259">
        <v>63098.447595314014</v>
      </c>
      <c r="G10" s="259">
        <v>55211.137904418691</v>
      </c>
      <c r="H10" s="259">
        <v>47323.82821352336</v>
      </c>
      <c r="I10" s="259">
        <v>39436.518522628037</v>
      </c>
      <c r="J10" s="259">
        <v>31549.208831732711</v>
      </c>
      <c r="K10" s="259">
        <v>23661.89914083738</v>
      </c>
      <c r="L10" s="259">
        <v>15774.589449942052</v>
      </c>
      <c r="M10" s="259">
        <v>347041.38694460556</v>
      </c>
      <c r="N10" s="253"/>
      <c r="O10" s="253"/>
    </row>
    <row r="11" spans="1:23" s="254" customFormat="1" x14ac:dyDescent="0.2">
      <c r="A11" s="248">
        <v>3</v>
      </c>
      <c r="B11" s="249" t="s">
        <v>716</v>
      </c>
      <c r="C11" s="263" t="s">
        <v>717</v>
      </c>
      <c r="D11" s="251">
        <v>871076.43098217994</v>
      </c>
      <c r="E11" s="252">
        <v>53323.543975276181</v>
      </c>
      <c r="F11" s="252">
        <v>53323.543975276181</v>
      </c>
      <c r="G11" s="252">
        <v>53323.543975276181</v>
      </c>
      <c r="H11" s="252">
        <v>53323.543975276181</v>
      </c>
      <c r="I11" s="252">
        <v>53323.543975276181</v>
      </c>
      <c r="J11" s="252">
        <v>53323.543975276181</v>
      </c>
      <c r="K11" s="252">
        <v>53323.543975276181</v>
      </c>
      <c r="L11" s="252">
        <v>106647.54422251438</v>
      </c>
      <c r="M11" s="252">
        <v>479912.35204944765</v>
      </c>
      <c r="N11" s="253"/>
      <c r="O11" s="253"/>
    </row>
    <row r="12" spans="1:23" s="260" customFormat="1" ht="13.5" thickBot="1" x14ac:dyDescent="0.25">
      <c r="A12" s="255"/>
      <c r="B12" s="256" t="s">
        <v>718</v>
      </c>
      <c r="C12" s="257"/>
      <c r="D12" s="258"/>
      <c r="E12" s="259">
        <v>9660.6356467553815</v>
      </c>
      <c r="F12" s="259">
        <v>8587.2327065330719</v>
      </c>
      <c r="G12" s="259">
        <v>7513.8297663107624</v>
      </c>
      <c r="H12" s="259">
        <v>6440.4268260884519</v>
      </c>
      <c r="I12" s="259">
        <v>5367.0238858661423</v>
      </c>
      <c r="J12" s="259">
        <v>4293.6209456438328</v>
      </c>
      <c r="K12" s="259">
        <v>3220.2180054215237</v>
      </c>
      <c r="L12" s="259">
        <v>6440.4451955976419</v>
      </c>
      <c r="M12" s="259">
        <v>51523.432978216799</v>
      </c>
      <c r="N12" s="253"/>
      <c r="O12" s="253"/>
    </row>
    <row r="13" spans="1:23" s="254" customFormat="1" x14ac:dyDescent="0.2">
      <c r="A13" s="248">
        <v>4</v>
      </c>
      <c r="B13" s="249" t="s">
        <v>719</v>
      </c>
      <c r="C13" s="265" t="s">
        <v>720</v>
      </c>
      <c r="D13" s="251">
        <v>520921.90710354527</v>
      </c>
      <c r="E13" s="252">
        <v>57881</v>
      </c>
      <c r="F13" s="266">
        <v>0</v>
      </c>
      <c r="G13" s="266">
        <v>0</v>
      </c>
      <c r="H13" s="266">
        <v>0</v>
      </c>
      <c r="I13" s="266">
        <v>0</v>
      </c>
      <c r="J13" s="266">
        <v>0</v>
      </c>
      <c r="K13" s="266">
        <v>0</v>
      </c>
      <c r="L13" s="266">
        <v>0</v>
      </c>
      <c r="M13" s="266">
        <v>57881</v>
      </c>
      <c r="N13" s="253"/>
      <c r="O13" s="253"/>
    </row>
    <row r="14" spans="1:23" s="260" customFormat="1" ht="13.5" thickBot="1" x14ac:dyDescent="0.25">
      <c r="A14" s="255"/>
      <c r="B14" s="256" t="s">
        <v>721</v>
      </c>
      <c r="C14" s="257"/>
      <c r="D14" s="267"/>
      <c r="E14" s="259">
        <v>1136.2040299999999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  <c r="M14" s="259">
        <v>1136.2040299999999</v>
      </c>
      <c r="N14" s="253"/>
      <c r="O14" s="253"/>
    </row>
    <row r="15" spans="1:23" s="254" customFormat="1" x14ac:dyDescent="0.2">
      <c r="A15" s="248">
        <v>5</v>
      </c>
      <c r="B15" s="249" t="s">
        <v>722</v>
      </c>
      <c r="C15" s="269" t="s">
        <v>723</v>
      </c>
      <c r="D15" s="251">
        <v>1925611</v>
      </c>
      <c r="E15" s="252">
        <v>132804</v>
      </c>
      <c r="F15" s="252">
        <v>132804</v>
      </c>
      <c r="G15" s="252">
        <v>132804</v>
      </c>
      <c r="H15" s="252">
        <v>132804</v>
      </c>
      <c r="I15" s="252">
        <v>132804</v>
      </c>
      <c r="J15" s="252">
        <v>132804</v>
      </c>
      <c r="K15" s="252">
        <v>132804</v>
      </c>
      <c r="L15" s="252">
        <v>332010</v>
      </c>
      <c r="M15" s="252">
        <v>1261638</v>
      </c>
      <c r="N15" s="253"/>
      <c r="O15" s="253"/>
    </row>
    <row r="16" spans="1:23" s="260" customFormat="1" ht="13.5" thickBot="1" x14ac:dyDescent="0.25">
      <c r="A16" s="255"/>
      <c r="B16" s="256" t="s">
        <v>724</v>
      </c>
      <c r="C16" s="257"/>
      <c r="D16" s="267"/>
      <c r="E16" s="259">
        <v>25396.772939999999</v>
      </c>
      <c r="F16" s="259">
        <v>22723.42842</v>
      </c>
      <c r="G16" s="259">
        <v>20050.083899999998</v>
      </c>
      <c r="H16" s="259">
        <v>17376.739379999999</v>
      </c>
      <c r="I16" s="259">
        <v>14703.394859999999</v>
      </c>
      <c r="J16" s="259">
        <v>12030.05034</v>
      </c>
      <c r="K16" s="259">
        <v>9356.7058199999992</v>
      </c>
      <c r="L16" s="259">
        <v>20050.083899999998</v>
      </c>
      <c r="M16" s="259">
        <v>141687.25956000001</v>
      </c>
      <c r="N16" s="253"/>
      <c r="O16" s="253"/>
    </row>
    <row r="17" spans="1:15" s="254" customFormat="1" x14ac:dyDescent="0.2">
      <c r="A17" s="248">
        <v>6</v>
      </c>
      <c r="B17" s="249" t="s">
        <v>725</v>
      </c>
      <c r="C17" s="269" t="s">
        <v>726</v>
      </c>
      <c r="D17" s="251">
        <v>154450.12</v>
      </c>
      <c r="E17" s="252">
        <v>10472</v>
      </c>
      <c r="F17" s="252">
        <v>10472</v>
      </c>
      <c r="G17" s="252">
        <v>10472</v>
      </c>
      <c r="H17" s="252">
        <v>10472</v>
      </c>
      <c r="I17" s="252">
        <v>10472</v>
      </c>
      <c r="J17" s="252">
        <v>10472</v>
      </c>
      <c r="K17" s="252">
        <v>10472</v>
      </c>
      <c r="L17" s="252">
        <v>28798</v>
      </c>
      <c r="M17" s="252">
        <v>102102</v>
      </c>
      <c r="N17" s="253"/>
      <c r="O17" s="253"/>
    </row>
    <row r="18" spans="1:15" s="260" customFormat="1" ht="13.5" thickBot="1" x14ac:dyDescent="0.25">
      <c r="A18" s="255"/>
      <c r="B18" s="256" t="s">
        <v>727</v>
      </c>
      <c r="C18" s="257"/>
      <c r="D18" s="267"/>
      <c r="E18" s="259">
        <v>2004.2622599999997</v>
      </c>
      <c r="F18" s="259">
        <v>1798.6968999999999</v>
      </c>
      <c r="G18" s="259">
        <v>1593.1315399999999</v>
      </c>
      <c r="H18" s="259">
        <v>1387.5661799999998</v>
      </c>
      <c r="I18" s="259">
        <v>1182.00082</v>
      </c>
      <c r="J18" s="259">
        <v>976.43545999999992</v>
      </c>
      <c r="K18" s="259">
        <v>770.87009999999998</v>
      </c>
      <c r="L18" s="259">
        <v>1695.9142199999997</v>
      </c>
      <c r="M18" s="259">
        <v>11408.877479999999</v>
      </c>
      <c r="N18" s="253"/>
      <c r="O18" s="253"/>
    </row>
    <row r="19" spans="1:15" s="260" customFormat="1" x14ac:dyDescent="0.2">
      <c r="A19" s="261">
        <v>7</v>
      </c>
      <c r="B19" s="262" t="s">
        <v>728</v>
      </c>
      <c r="C19" s="269" t="s">
        <v>729</v>
      </c>
      <c r="D19" s="270">
        <v>134893</v>
      </c>
      <c r="E19" s="271">
        <v>12848</v>
      </c>
      <c r="F19" s="266">
        <v>0</v>
      </c>
      <c r="G19" s="266">
        <v>0</v>
      </c>
      <c r="H19" s="266">
        <v>0</v>
      </c>
      <c r="I19" s="266">
        <v>0</v>
      </c>
      <c r="J19" s="266">
        <v>0</v>
      </c>
      <c r="K19" s="266">
        <v>0</v>
      </c>
      <c r="L19" s="266">
        <v>0</v>
      </c>
      <c r="M19" s="252">
        <v>12848</v>
      </c>
      <c r="N19" s="253"/>
      <c r="O19" s="272"/>
    </row>
    <row r="20" spans="1:15" s="260" customFormat="1" ht="13.5" thickBot="1" x14ac:dyDescent="0.25">
      <c r="A20" s="255"/>
      <c r="B20" s="256"/>
      <c r="C20" s="257"/>
      <c r="D20" s="258" t="s">
        <v>730</v>
      </c>
      <c r="E20" s="259">
        <v>252.20623999999998</v>
      </c>
      <c r="F20" s="268">
        <v>0</v>
      </c>
      <c r="G20" s="268">
        <v>0</v>
      </c>
      <c r="H20" s="268">
        <v>0</v>
      </c>
      <c r="I20" s="268">
        <v>0</v>
      </c>
      <c r="J20" s="268">
        <v>0</v>
      </c>
      <c r="K20" s="268">
        <v>0</v>
      </c>
      <c r="L20" s="268">
        <v>0</v>
      </c>
      <c r="M20" s="259">
        <v>252.20623999999998</v>
      </c>
      <c r="N20" s="253"/>
      <c r="O20" s="253"/>
    </row>
    <row r="21" spans="1:15" s="260" customFormat="1" x14ac:dyDescent="0.2">
      <c r="A21" s="261" t="s">
        <v>111</v>
      </c>
      <c r="B21" s="249" t="s">
        <v>731</v>
      </c>
      <c r="C21" s="273" t="s">
        <v>732</v>
      </c>
      <c r="D21" s="274">
        <v>11123368</v>
      </c>
      <c r="E21" s="252">
        <v>379984</v>
      </c>
      <c r="F21" s="252">
        <v>379984</v>
      </c>
      <c r="G21" s="252">
        <v>379984</v>
      </c>
      <c r="H21" s="252">
        <v>379984</v>
      </c>
      <c r="I21" s="252">
        <v>379984</v>
      </c>
      <c r="J21" s="252">
        <v>379984</v>
      </c>
      <c r="K21" s="252">
        <v>379984</v>
      </c>
      <c r="L21" s="252">
        <v>6926878</v>
      </c>
      <c r="M21" s="252">
        <v>9586766</v>
      </c>
      <c r="N21" s="253"/>
      <c r="O21" s="253"/>
    </row>
    <row r="22" spans="1:15" s="260" customFormat="1" ht="13.5" thickBot="1" x14ac:dyDescent="0.25">
      <c r="A22" s="255"/>
      <c r="B22" s="275" t="s">
        <v>733</v>
      </c>
      <c r="C22" s="257"/>
      <c r="D22" s="267"/>
      <c r="E22" s="259">
        <v>188188.21657999998</v>
      </c>
      <c r="F22" s="259">
        <v>180729.13066</v>
      </c>
      <c r="G22" s="259">
        <v>173270.04473999998</v>
      </c>
      <c r="H22" s="259">
        <v>165810.95881999997</v>
      </c>
      <c r="I22" s="259">
        <v>158351.87289999999</v>
      </c>
      <c r="J22" s="259">
        <v>150892.78697999998</v>
      </c>
      <c r="K22" s="259">
        <v>143433.70105999999</v>
      </c>
      <c r="L22" s="259">
        <v>2447543.0725199995</v>
      </c>
      <c r="M22" s="259">
        <v>3608219.7842599992</v>
      </c>
      <c r="N22" s="253"/>
      <c r="O22" s="253"/>
    </row>
    <row r="23" spans="1:15" s="260" customFormat="1" x14ac:dyDescent="0.2">
      <c r="A23" s="248" t="s">
        <v>113</v>
      </c>
      <c r="B23" s="249" t="s">
        <v>731</v>
      </c>
      <c r="C23" s="273" t="s">
        <v>734</v>
      </c>
      <c r="D23" s="274">
        <v>2576367.7999999998</v>
      </c>
      <c r="E23" s="252">
        <v>89924</v>
      </c>
      <c r="F23" s="252">
        <v>89924</v>
      </c>
      <c r="G23" s="252">
        <v>89924</v>
      </c>
      <c r="H23" s="252">
        <v>96316</v>
      </c>
      <c r="I23" s="252">
        <v>96316</v>
      </c>
      <c r="J23" s="252">
        <v>96316</v>
      </c>
      <c r="K23" s="252">
        <v>96316</v>
      </c>
      <c r="L23" s="252">
        <v>1801021.7999999998</v>
      </c>
      <c r="M23" s="252">
        <v>2456057.7999999998</v>
      </c>
      <c r="N23" s="253"/>
      <c r="O23" s="253"/>
    </row>
    <row r="24" spans="1:15" s="260" customFormat="1" ht="13.5" thickBot="1" x14ac:dyDescent="0.25">
      <c r="A24" s="255"/>
      <c r="B24" s="275" t="s">
        <v>735</v>
      </c>
      <c r="C24" s="257"/>
      <c r="D24" s="267"/>
      <c r="E24" s="259">
        <v>49440.443513999991</v>
      </c>
      <c r="F24" s="259">
        <v>47630.273393999996</v>
      </c>
      <c r="G24" s="259">
        <v>45820.103273999994</v>
      </c>
      <c r="H24" s="259">
        <v>44009.933153999991</v>
      </c>
      <c r="I24" s="259">
        <v>42071.092073999993</v>
      </c>
      <c r="J24" s="259">
        <v>40132.250993999995</v>
      </c>
      <c r="K24" s="259">
        <v>38193.409913999996</v>
      </c>
      <c r="L24" s="259">
        <v>652582.2390119998</v>
      </c>
      <c r="M24" s="259">
        <v>959879.74532999983</v>
      </c>
      <c r="N24" s="253"/>
      <c r="O24" s="253"/>
    </row>
    <row r="25" spans="1:15" s="260" customFormat="1" x14ac:dyDescent="0.2">
      <c r="A25" s="248">
        <v>9</v>
      </c>
      <c r="B25" s="249" t="s">
        <v>736</v>
      </c>
      <c r="C25" s="276" t="s">
        <v>737</v>
      </c>
      <c r="D25" s="277">
        <v>166837</v>
      </c>
      <c r="E25" s="271">
        <v>37071</v>
      </c>
      <c r="F25" s="271">
        <v>37076</v>
      </c>
      <c r="G25" s="271">
        <v>37076</v>
      </c>
      <c r="H25" s="271">
        <v>37076</v>
      </c>
      <c r="I25" s="271">
        <v>18538</v>
      </c>
      <c r="J25" s="266">
        <v>0</v>
      </c>
      <c r="K25" s="266">
        <v>0</v>
      </c>
      <c r="L25" s="266">
        <v>0</v>
      </c>
      <c r="M25" s="252">
        <v>166837</v>
      </c>
      <c r="N25" s="253"/>
      <c r="O25" s="253"/>
    </row>
    <row r="26" spans="1:15" s="260" customFormat="1" ht="13.5" thickBot="1" x14ac:dyDescent="0.25">
      <c r="A26" s="255"/>
      <c r="B26" s="275"/>
      <c r="C26" s="278"/>
      <c r="D26" s="267"/>
      <c r="E26" s="259">
        <v>3351.75533</v>
      </c>
      <c r="F26" s="259">
        <v>2606.9989399999999</v>
      </c>
      <c r="G26" s="259">
        <v>1862.1421</v>
      </c>
      <c r="H26" s="259">
        <v>1117.2852600000001</v>
      </c>
      <c r="I26" s="259">
        <v>372.42842000000002</v>
      </c>
      <c r="J26" s="268">
        <v>0</v>
      </c>
      <c r="K26" s="268">
        <v>0</v>
      </c>
      <c r="L26" s="268">
        <v>0</v>
      </c>
      <c r="M26" s="259">
        <v>9310.6100499999993</v>
      </c>
      <c r="N26" s="253"/>
      <c r="O26" s="253"/>
    </row>
    <row r="27" spans="1:15" s="254" customFormat="1" x14ac:dyDescent="0.2">
      <c r="A27" s="248">
        <v>10</v>
      </c>
      <c r="B27" s="249" t="s">
        <v>738</v>
      </c>
      <c r="C27" s="265" t="s">
        <v>739</v>
      </c>
      <c r="D27" s="251">
        <v>388132.51</v>
      </c>
      <c r="E27" s="252">
        <v>38968</v>
      </c>
      <c r="F27" s="252">
        <v>38968</v>
      </c>
      <c r="G27" s="252">
        <v>38968</v>
      </c>
      <c r="H27" s="252">
        <v>38968</v>
      </c>
      <c r="I27" s="252">
        <v>38968</v>
      </c>
      <c r="J27" s="252">
        <v>29226</v>
      </c>
      <c r="K27" s="266">
        <v>0</v>
      </c>
      <c r="L27" s="266">
        <v>0</v>
      </c>
      <c r="M27" s="252">
        <v>224066</v>
      </c>
      <c r="N27" s="253"/>
      <c r="O27" s="253"/>
    </row>
    <row r="28" spans="1:15" s="260" customFormat="1" ht="13.5" thickBot="1" x14ac:dyDescent="0.25">
      <c r="A28" s="255"/>
      <c r="B28" s="256"/>
      <c r="C28" s="257"/>
      <c r="D28" s="267"/>
      <c r="E28" s="259">
        <v>4501.4859400000005</v>
      </c>
      <c r="F28" s="259">
        <v>3718.6188200000001</v>
      </c>
      <c r="G28" s="259">
        <v>2935.7517000000003</v>
      </c>
      <c r="H28" s="259">
        <v>2152.8845799999999</v>
      </c>
      <c r="I28" s="259">
        <v>1370.01746</v>
      </c>
      <c r="J28" s="259">
        <v>587.15034000000003</v>
      </c>
      <c r="K28" s="268">
        <v>0</v>
      </c>
      <c r="L28" s="268">
        <v>0</v>
      </c>
      <c r="M28" s="259">
        <v>15265.90884</v>
      </c>
      <c r="N28" s="253"/>
      <c r="O28" s="253"/>
    </row>
    <row r="29" spans="1:15" s="254" customFormat="1" x14ac:dyDescent="0.2">
      <c r="A29" s="248">
        <v>11</v>
      </c>
      <c r="B29" s="249" t="s">
        <v>740</v>
      </c>
      <c r="C29" s="265">
        <v>49480</v>
      </c>
      <c r="D29" s="251">
        <v>1410783</v>
      </c>
      <c r="E29" s="252">
        <v>88284</v>
      </c>
      <c r="F29" s="252">
        <v>88284</v>
      </c>
      <c r="G29" s="252">
        <v>88284</v>
      </c>
      <c r="H29" s="252">
        <v>88284</v>
      </c>
      <c r="I29" s="252">
        <v>88284</v>
      </c>
      <c r="J29" s="252">
        <v>88284</v>
      </c>
      <c r="K29" s="252">
        <v>88284</v>
      </c>
      <c r="L29" s="252">
        <v>485562</v>
      </c>
      <c r="M29" s="252">
        <v>1103550</v>
      </c>
      <c r="N29" s="253"/>
      <c r="O29" s="253"/>
    </row>
    <row r="30" spans="1:15" s="260" customFormat="1" ht="13.5" thickBot="1" x14ac:dyDescent="0.25">
      <c r="A30" s="255"/>
      <c r="B30" s="256"/>
      <c r="C30" s="257"/>
      <c r="D30" s="267"/>
      <c r="E30" s="259">
        <v>22170.319500000001</v>
      </c>
      <c r="F30" s="259">
        <v>20396.693940000001</v>
      </c>
      <c r="G30" s="259">
        <v>18623.068380000001</v>
      </c>
      <c r="H30" s="259">
        <v>16849.44282</v>
      </c>
      <c r="I30" s="259">
        <v>15075.81726</v>
      </c>
      <c r="J30" s="259">
        <v>13302.191699999999</v>
      </c>
      <c r="K30" s="259">
        <v>11528.566140000001</v>
      </c>
      <c r="L30" s="259">
        <v>43897.232609999999</v>
      </c>
      <c r="M30" s="259">
        <v>161843.33234999998</v>
      </c>
      <c r="N30" s="253"/>
      <c r="O30" s="253"/>
    </row>
    <row r="31" spans="1:15" s="254" customFormat="1" x14ac:dyDescent="0.2">
      <c r="A31" s="248" t="s">
        <v>253</v>
      </c>
      <c r="B31" s="249" t="s">
        <v>741</v>
      </c>
      <c r="C31" s="265" t="s">
        <v>742</v>
      </c>
      <c r="D31" s="251">
        <v>531484</v>
      </c>
      <c r="E31" s="252">
        <v>36656</v>
      </c>
      <c r="F31" s="252">
        <v>36656</v>
      </c>
      <c r="G31" s="252">
        <v>36656</v>
      </c>
      <c r="H31" s="252">
        <v>36656</v>
      </c>
      <c r="I31" s="252">
        <v>36656</v>
      </c>
      <c r="J31" s="252">
        <v>36656</v>
      </c>
      <c r="K31" s="252">
        <v>36656</v>
      </c>
      <c r="L31" s="252">
        <v>162248</v>
      </c>
      <c r="M31" s="252">
        <v>418840</v>
      </c>
      <c r="N31" s="253"/>
      <c r="O31" s="253"/>
    </row>
    <row r="32" spans="1:15" s="260" customFormat="1" ht="13.5" thickBot="1" x14ac:dyDescent="0.25">
      <c r="A32" s="255"/>
      <c r="B32" s="256" t="s">
        <v>743</v>
      </c>
      <c r="C32" s="257"/>
      <c r="D32" s="267"/>
      <c r="E32" s="259">
        <v>8414.4956000000002</v>
      </c>
      <c r="F32" s="259">
        <v>7678.0765600000004</v>
      </c>
      <c r="G32" s="259">
        <v>6941.6575199999997</v>
      </c>
      <c r="H32" s="259">
        <v>6205.23848</v>
      </c>
      <c r="I32" s="259">
        <v>5468.8194400000002</v>
      </c>
      <c r="J32" s="259">
        <v>4732.4004000000004</v>
      </c>
      <c r="K32" s="259">
        <v>3995.9813600000002</v>
      </c>
      <c r="L32" s="259">
        <v>13038.24928</v>
      </c>
      <c r="M32" s="259">
        <v>56474.918640000004</v>
      </c>
      <c r="N32" s="253"/>
      <c r="O32" s="253"/>
    </row>
    <row r="33" spans="1:15" s="254" customFormat="1" x14ac:dyDescent="0.2">
      <c r="A33" s="248" t="s">
        <v>744</v>
      </c>
      <c r="B33" s="249" t="s">
        <v>745</v>
      </c>
      <c r="C33" s="265" t="s">
        <v>746</v>
      </c>
      <c r="D33" s="251">
        <v>1230506</v>
      </c>
      <c r="E33" s="252">
        <v>64754</v>
      </c>
      <c r="F33" s="252">
        <v>86352</v>
      </c>
      <c r="G33" s="252">
        <v>86352</v>
      </c>
      <c r="H33" s="252">
        <v>86352</v>
      </c>
      <c r="I33" s="252">
        <v>86352</v>
      </c>
      <c r="J33" s="252">
        <v>86352</v>
      </c>
      <c r="K33" s="252">
        <v>86352</v>
      </c>
      <c r="L33" s="252">
        <v>627640</v>
      </c>
      <c r="M33" s="252">
        <v>1210506</v>
      </c>
      <c r="N33" s="253"/>
      <c r="O33" s="253"/>
    </row>
    <row r="34" spans="1:15" s="260" customFormat="1" ht="13.5" thickBot="1" x14ac:dyDescent="0.25">
      <c r="A34" s="255"/>
      <c r="B34" s="256" t="s">
        <v>747</v>
      </c>
      <c r="C34" s="257"/>
      <c r="D34" s="279"/>
      <c r="E34" s="259">
        <v>24319.06554</v>
      </c>
      <c r="F34" s="259">
        <v>23018.15768</v>
      </c>
      <c r="G34" s="259">
        <v>21283.346000000001</v>
      </c>
      <c r="H34" s="259">
        <v>19548.534319999999</v>
      </c>
      <c r="I34" s="259">
        <v>17813.72264</v>
      </c>
      <c r="J34" s="259">
        <v>16078.910960000001</v>
      </c>
      <c r="K34" s="259">
        <v>14344.09928</v>
      </c>
      <c r="L34" s="259">
        <v>75655.725600000005</v>
      </c>
      <c r="M34" s="259">
        <v>212061.56202000001</v>
      </c>
      <c r="N34" s="253"/>
      <c r="O34" s="253"/>
    </row>
    <row r="35" spans="1:15" s="260" customFormat="1" ht="25.15" customHeight="1" x14ac:dyDescent="0.2">
      <c r="A35" s="280" t="s">
        <v>748</v>
      </c>
      <c r="B35" s="281" t="s">
        <v>749</v>
      </c>
      <c r="C35" s="265" t="s">
        <v>750</v>
      </c>
      <c r="D35" s="251">
        <v>292889</v>
      </c>
      <c r="E35" s="252">
        <v>10099</v>
      </c>
      <c r="F35" s="252">
        <v>20200</v>
      </c>
      <c r="G35" s="252">
        <v>20200</v>
      </c>
      <c r="H35" s="252">
        <v>20200</v>
      </c>
      <c r="I35" s="252">
        <v>20200</v>
      </c>
      <c r="J35" s="252">
        <v>20200</v>
      </c>
      <c r="K35" s="252">
        <v>20200</v>
      </c>
      <c r="L35" s="252">
        <v>161590</v>
      </c>
      <c r="M35" s="252">
        <v>292889</v>
      </c>
      <c r="N35" s="253"/>
      <c r="O35" s="253"/>
    </row>
    <row r="36" spans="1:15" s="260" customFormat="1" ht="23.25" thickBot="1" x14ac:dyDescent="0.25">
      <c r="A36" s="261"/>
      <c r="B36" s="282" t="s">
        <v>751</v>
      </c>
      <c r="C36" s="269"/>
      <c r="D36" s="283"/>
      <c r="E36" s="259">
        <v>5884.1400100000001</v>
      </c>
      <c r="F36" s="259">
        <v>5681.2511000000004</v>
      </c>
      <c r="G36" s="259">
        <v>5275.4331000000002</v>
      </c>
      <c r="H36" s="259">
        <v>4869.6151</v>
      </c>
      <c r="I36" s="259">
        <v>4463.7970999999998</v>
      </c>
      <c r="J36" s="259">
        <v>4057.9791</v>
      </c>
      <c r="K36" s="259">
        <v>3652.1611000000003</v>
      </c>
      <c r="L36" s="259">
        <v>22724.401700000002</v>
      </c>
      <c r="M36" s="259">
        <v>56608.778310000002</v>
      </c>
      <c r="N36" s="253"/>
      <c r="O36" s="253"/>
    </row>
    <row r="37" spans="1:15" s="260" customFormat="1" x14ac:dyDescent="0.2">
      <c r="A37" s="248">
        <v>14</v>
      </c>
      <c r="B37" s="249" t="s">
        <v>752</v>
      </c>
      <c r="C37" s="265" t="s">
        <v>753</v>
      </c>
      <c r="D37" s="251">
        <v>1174140</v>
      </c>
      <c r="E37" s="252">
        <v>80976</v>
      </c>
      <c r="F37" s="252">
        <v>80976</v>
      </c>
      <c r="G37" s="252">
        <v>80976</v>
      </c>
      <c r="H37" s="252">
        <v>80976</v>
      </c>
      <c r="I37" s="252">
        <v>80976</v>
      </c>
      <c r="J37" s="252">
        <v>80976</v>
      </c>
      <c r="K37" s="252">
        <v>80976</v>
      </c>
      <c r="L37" s="252">
        <v>303660</v>
      </c>
      <c r="M37" s="252">
        <v>870492</v>
      </c>
      <c r="N37" s="253"/>
      <c r="O37" s="253"/>
    </row>
    <row r="38" spans="1:15" s="260" customFormat="1" ht="13.5" thickBot="1" x14ac:dyDescent="0.25">
      <c r="A38" s="255"/>
      <c r="B38" s="256"/>
      <c r="C38" s="257"/>
      <c r="D38" s="284"/>
      <c r="E38" s="259">
        <v>17488.184280000001</v>
      </c>
      <c r="F38" s="259">
        <v>15861.37644</v>
      </c>
      <c r="G38" s="259">
        <v>14234.568600000001</v>
      </c>
      <c r="H38" s="259">
        <v>12607.760760000001</v>
      </c>
      <c r="I38" s="259">
        <v>10980.95292</v>
      </c>
      <c r="J38" s="259">
        <v>9354.1450800000002</v>
      </c>
      <c r="K38" s="259">
        <v>7727.3372399999998</v>
      </c>
      <c r="L38" s="259">
        <v>24402.117600000001</v>
      </c>
      <c r="M38" s="259">
        <v>112656.44291999999</v>
      </c>
      <c r="N38" s="253"/>
      <c r="O38" s="253"/>
    </row>
    <row r="39" spans="1:15" s="260" customFormat="1" x14ac:dyDescent="0.2">
      <c r="A39" s="248">
        <v>15</v>
      </c>
      <c r="B39" s="249" t="s">
        <v>754</v>
      </c>
      <c r="C39" s="265" t="s">
        <v>755</v>
      </c>
      <c r="D39" s="251">
        <v>186392</v>
      </c>
      <c r="E39" s="252">
        <v>17360</v>
      </c>
      <c r="F39" s="252">
        <v>17360</v>
      </c>
      <c r="G39" s="252">
        <v>15080</v>
      </c>
      <c r="H39" s="252">
        <v>8240</v>
      </c>
      <c r="I39" s="252">
        <v>8240</v>
      </c>
      <c r="J39" s="252">
        <v>8240</v>
      </c>
      <c r="K39" s="252">
        <v>8240</v>
      </c>
      <c r="L39" s="252">
        <v>73732.399999999994</v>
      </c>
      <c r="M39" s="252">
        <v>156492.4</v>
      </c>
      <c r="N39" s="253"/>
      <c r="O39" s="253"/>
    </row>
    <row r="40" spans="1:15" s="260" customFormat="1" ht="13.5" thickBot="1" x14ac:dyDescent="0.25">
      <c r="A40" s="255"/>
      <c r="B40" s="256" t="s">
        <v>756</v>
      </c>
      <c r="C40" s="257"/>
      <c r="D40" s="267"/>
      <c r="E40" s="259">
        <v>3143.9323159999999</v>
      </c>
      <c r="F40" s="259">
        <v>2795.1699159999998</v>
      </c>
      <c r="G40" s="259">
        <v>2446.4075159999998</v>
      </c>
      <c r="H40" s="259">
        <v>2143.4503159999999</v>
      </c>
      <c r="I40" s="259">
        <v>1977.9087159999999</v>
      </c>
      <c r="J40" s="259">
        <v>1812.3671159999999</v>
      </c>
      <c r="K40" s="259">
        <v>1646.8255159999999</v>
      </c>
      <c r="L40" s="259">
        <v>14812.83916</v>
      </c>
      <c r="M40" s="259">
        <v>30778.900571999999</v>
      </c>
      <c r="N40" s="253"/>
      <c r="O40" s="253"/>
    </row>
    <row r="41" spans="1:15" s="260" customFormat="1" x14ac:dyDescent="0.2">
      <c r="A41" s="248">
        <v>16</v>
      </c>
      <c r="B41" s="285" t="s">
        <v>757</v>
      </c>
      <c r="C41" s="265" t="s">
        <v>758</v>
      </c>
      <c r="D41" s="251">
        <v>46991.33</v>
      </c>
      <c r="E41" s="252">
        <v>9896</v>
      </c>
      <c r="F41" s="252">
        <v>9896</v>
      </c>
      <c r="G41" s="252">
        <v>7420.33</v>
      </c>
      <c r="H41" s="266">
        <v>0</v>
      </c>
      <c r="I41" s="266">
        <v>0</v>
      </c>
      <c r="J41" s="266">
        <v>0</v>
      </c>
      <c r="K41" s="266">
        <v>0</v>
      </c>
      <c r="L41" s="266">
        <v>0</v>
      </c>
      <c r="M41" s="252">
        <v>27212.33</v>
      </c>
      <c r="N41" s="253"/>
      <c r="O41" s="253"/>
    </row>
    <row r="42" spans="1:15" s="260" customFormat="1" ht="13.5" thickBot="1" x14ac:dyDescent="0.25">
      <c r="A42" s="255"/>
      <c r="B42" s="256"/>
      <c r="C42" s="257"/>
      <c r="D42" s="267"/>
      <c r="E42" s="259">
        <v>546.69570970000007</v>
      </c>
      <c r="F42" s="259">
        <v>347.88506970000003</v>
      </c>
      <c r="G42" s="259">
        <v>149.0744297</v>
      </c>
      <c r="H42" s="268">
        <v>0</v>
      </c>
      <c r="I42" s="268">
        <v>0</v>
      </c>
      <c r="J42" s="268">
        <v>0</v>
      </c>
      <c r="K42" s="268">
        <v>0</v>
      </c>
      <c r="L42" s="268">
        <v>0</v>
      </c>
      <c r="M42" s="259">
        <v>1043.6552091000001</v>
      </c>
      <c r="N42" s="253"/>
      <c r="O42" s="253"/>
    </row>
    <row r="43" spans="1:15" s="286" customFormat="1" x14ac:dyDescent="0.2">
      <c r="A43" s="248">
        <v>17</v>
      </c>
      <c r="B43" s="285" t="s">
        <v>759</v>
      </c>
      <c r="C43" s="265" t="s">
        <v>760</v>
      </c>
      <c r="D43" s="251">
        <v>581242</v>
      </c>
      <c r="E43" s="252">
        <v>58116</v>
      </c>
      <c r="F43" s="252">
        <v>58116</v>
      </c>
      <c r="G43" s="252">
        <v>58116</v>
      </c>
      <c r="H43" s="252">
        <v>58116</v>
      </c>
      <c r="I43" s="252">
        <v>58116</v>
      </c>
      <c r="J43" s="252">
        <v>58116</v>
      </c>
      <c r="K43" s="252">
        <v>58116</v>
      </c>
      <c r="L43" s="252">
        <v>115550.12</v>
      </c>
      <c r="M43" s="252">
        <v>522362.12</v>
      </c>
      <c r="N43" s="253"/>
      <c r="O43" s="253"/>
    </row>
    <row r="44" spans="1:15" s="286" customFormat="1" ht="13.5" thickBot="1" x14ac:dyDescent="0.25">
      <c r="A44" s="255"/>
      <c r="B44" s="287"/>
      <c r="C44" s="257"/>
      <c r="D44" s="267"/>
      <c r="E44" s="259">
        <v>10494.2549908</v>
      </c>
      <c r="F44" s="259">
        <v>9326.7045507999992</v>
      </c>
      <c r="G44" s="259">
        <v>8159.1541108000001</v>
      </c>
      <c r="H44" s="259">
        <v>6991.6036708000001</v>
      </c>
      <c r="I44" s="259">
        <v>5824.0532308000002</v>
      </c>
      <c r="J44" s="259">
        <v>4656.5027908000002</v>
      </c>
      <c r="K44" s="259">
        <v>3488.9523507999997</v>
      </c>
      <c r="L44" s="259">
        <v>6964.2057323999998</v>
      </c>
      <c r="M44" s="259">
        <v>55905.431427999996</v>
      </c>
      <c r="N44" s="253"/>
      <c r="O44" s="253"/>
    </row>
    <row r="45" spans="1:15" s="286" customFormat="1" x14ac:dyDescent="0.2">
      <c r="A45" s="248">
        <v>18</v>
      </c>
      <c r="B45" s="285" t="s">
        <v>761</v>
      </c>
      <c r="C45" s="265" t="s">
        <v>762</v>
      </c>
      <c r="D45" s="251">
        <v>141294</v>
      </c>
      <c r="E45" s="252">
        <v>29748</v>
      </c>
      <c r="F45" s="252">
        <v>29748</v>
      </c>
      <c r="G45" s="252">
        <v>29748</v>
      </c>
      <c r="H45" s="252">
        <v>22311</v>
      </c>
      <c r="I45" s="266">
        <v>0</v>
      </c>
      <c r="J45" s="266">
        <v>0</v>
      </c>
      <c r="K45" s="266">
        <v>0</v>
      </c>
      <c r="L45" s="266">
        <v>0</v>
      </c>
      <c r="M45" s="252">
        <v>111555</v>
      </c>
      <c r="N45" s="253"/>
      <c r="O45" s="253"/>
    </row>
    <row r="46" spans="1:15" s="286" customFormat="1" ht="13.5" thickBot="1" x14ac:dyDescent="0.25">
      <c r="A46" s="255"/>
      <c r="B46" s="287"/>
      <c r="C46" s="257"/>
      <c r="D46" s="267"/>
      <c r="E46" s="259">
        <v>2241.1399500000002</v>
      </c>
      <c r="F46" s="259">
        <v>1643.50263</v>
      </c>
      <c r="G46" s="259">
        <v>1045.8653099999999</v>
      </c>
      <c r="H46" s="259">
        <v>448.22798999999998</v>
      </c>
      <c r="I46" s="268">
        <v>0</v>
      </c>
      <c r="J46" s="268">
        <v>0</v>
      </c>
      <c r="K46" s="268">
        <v>0</v>
      </c>
      <c r="L46" s="268">
        <v>0</v>
      </c>
      <c r="M46" s="259">
        <v>5378.7358800000002</v>
      </c>
      <c r="N46" s="253"/>
      <c r="O46" s="253"/>
    </row>
    <row r="47" spans="1:15" s="286" customFormat="1" x14ac:dyDescent="0.2">
      <c r="A47" s="248">
        <v>19</v>
      </c>
      <c r="B47" s="285" t="s">
        <v>763</v>
      </c>
      <c r="C47" s="265" t="s">
        <v>760</v>
      </c>
      <c r="D47" s="251">
        <v>697002</v>
      </c>
      <c r="E47" s="252">
        <v>73372</v>
      </c>
      <c r="F47" s="252">
        <v>73372</v>
      </c>
      <c r="G47" s="252">
        <v>73372</v>
      </c>
      <c r="H47" s="252">
        <v>73372</v>
      </c>
      <c r="I47" s="252">
        <v>73372</v>
      </c>
      <c r="J47" s="252">
        <v>73372</v>
      </c>
      <c r="K47" s="252">
        <v>73372</v>
      </c>
      <c r="L47" s="252">
        <v>146744</v>
      </c>
      <c r="M47" s="252">
        <v>660348</v>
      </c>
      <c r="N47" s="253"/>
      <c r="O47" s="253"/>
    </row>
    <row r="48" spans="1:15" s="286" customFormat="1" ht="13.5" thickBot="1" x14ac:dyDescent="0.25">
      <c r="A48" s="255"/>
      <c r="B48" s="287"/>
      <c r="C48" s="257"/>
      <c r="D48" s="267"/>
      <c r="E48" s="259">
        <v>13266.391320000001</v>
      </c>
      <c r="F48" s="259">
        <v>11792.34784</v>
      </c>
      <c r="G48" s="259">
        <v>10318.30436</v>
      </c>
      <c r="H48" s="259">
        <v>8844.2608799999998</v>
      </c>
      <c r="I48" s="259">
        <v>7370.2174000000005</v>
      </c>
      <c r="J48" s="259">
        <v>5896.1739200000002</v>
      </c>
      <c r="K48" s="259">
        <v>4422.1304399999999</v>
      </c>
      <c r="L48" s="259">
        <v>11792.34784</v>
      </c>
      <c r="M48" s="259">
        <v>73702.173999999999</v>
      </c>
      <c r="N48" s="253"/>
      <c r="O48" s="253"/>
    </row>
    <row r="49" spans="1:15" s="260" customFormat="1" ht="12.6" customHeight="1" x14ac:dyDescent="0.2">
      <c r="A49" s="248">
        <v>20</v>
      </c>
      <c r="B49" s="285" t="s">
        <v>764</v>
      </c>
      <c r="C49" s="265" t="s">
        <v>758</v>
      </c>
      <c r="D49" s="251">
        <v>53218</v>
      </c>
      <c r="E49" s="252">
        <v>11448</v>
      </c>
      <c r="F49" s="252">
        <v>11448</v>
      </c>
      <c r="G49" s="252">
        <v>7444</v>
      </c>
      <c r="H49" s="266">
        <v>0</v>
      </c>
      <c r="I49" s="266">
        <v>0</v>
      </c>
      <c r="J49" s="266">
        <v>0</v>
      </c>
      <c r="K49" s="266">
        <v>0</v>
      </c>
      <c r="L49" s="266">
        <v>0</v>
      </c>
      <c r="M49" s="252">
        <v>30340</v>
      </c>
      <c r="N49" s="253"/>
      <c r="O49" s="253"/>
    </row>
    <row r="50" spans="1:15" s="260" customFormat="1" ht="13.5" thickBot="1" x14ac:dyDescent="0.25">
      <c r="A50" s="255"/>
      <c r="B50" s="287"/>
      <c r="C50" s="257"/>
      <c r="D50" s="267"/>
      <c r="E50" s="259">
        <v>609.53060000000005</v>
      </c>
      <c r="F50" s="259">
        <v>379.54028</v>
      </c>
      <c r="G50" s="259">
        <v>149.54996</v>
      </c>
      <c r="H50" s="268">
        <v>0</v>
      </c>
      <c r="I50" s="268">
        <v>0</v>
      </c>
      <c r="J50" s="268">
        <v>0</v>
      </c>
      <c r="K50" s="268">
        <v>0</v>
      </c>
      <c r="L50" s="268">
        <v>0</v>
      </c>
      <c r="M50" s="259">
        <v>1138.62084</v>
      </c>
      <c r="N50" s="253"/>
      <c r="O50" s="253"/>
    </row>
    <row r="51" spans="1:15" s="260" customFormat="1" ht="12.6" customHeight="1" x14ac:dyDescent="0.2">
      <c r="A51" s="248">
        <v>21</v>
      </c>
      <c r="B51" s="285" t="s">
        <v>765</v>
      </c>
      <c r="C51" s="265" t="s">
        <v>766</v>
      </c>
      <c r="D51" s="251">
        <v>496340</v>
      </c>
      <c r="E51" s="252">
        <v>26815</v>
      </c>
      <c r="F51" s="252">
        <v>47782.7</v>
      </c>
      <c r="G51" s="252">
        <v>47782.7</v>
      </c>
      <c r="H51" s="252">
        <v>47782.7</v>
      </c>
      <c r="I51" s="252">
        <v>47782.7</v>
      </c>
      <c r="J51" s="252">
        <v>47782.7</v>
      </c>
      <c r="K51" s="252">
        <v>47782.7</v>
      </c>
      <c r="L51" s="252">
        <v>182828.79999999999</v>
      </c>
      <c r="M51" s="252">
        <v>496340</v>
      </c>
      <c r="N51" s="253"/>
      <c r="O51" s="253"/>
    </row>
    <row r="52" spans="1:15" s="260" customFormat="1" ht="13.5" thickBot="1" x14ac:dyDescent="0.25">
      <c r="A52" s="255"/>
      <c r="B52" s="287" t="s">
        <v>767</v>
      </c>
      <c r="C52" s="257"/>
      <c r="D52" s="267"/>
      <c r="E52" s="259">
        <v>9971.4706000000006</v>
      </c>
      <c r="F52" s="259">
        <v>9432.7572500000006</v>
      </c>
      <c r="G52" s="259">
        <v>8472.802807</v>
      </c>
      <c r="H52" s="259">
        <v>7512.8483639999995</v>
      </c>
      <c r="I52" s="259">
        <v>6552.893920999999</v>
      </c>
      <c r="J52" s="259">
        <v>5592.9394779999993</v>
      </c>
      <c r="K52" s="259">
        <v>4632.9850349999997</v>
      </c>
      <c r="L52" s="259">
        <v>11019.091775999999</v>
      </c>
      <c r="M52" s="259">
        <v>63187.789230999995</v>
      </c>
      <c r="N52" s="253"/>
      <c r="O52" s="253"/>
    </row>
    <row r="53" spans="1:15" s="260" customFormat="1" ht="12.6" customHeight="1" x14ac:dyDescent="0.2">
      <c r="A53" s="248">
        <v>22</v>
      </c>
      <c r="B53" s="285" t="s">
        <v>768</v>
      </c>
      <c r="C53" s="265" t="s">
        <v>769</v>
      </c>
      <c r="D53" s="251">
        <v>96800</v>
      </c>
      <c r="E53" s="252">
        <v>20375</v>
      </c>
      <c r="F53" s="252">
        <v>20380</v>
      </c>
      <c r="G53" s="252">
        <v>20380</v>
      </c>
      <c r="H53" s="252">
        <v>20380</v>
      </c>
      <c r="I53" s="252">
        <v>15285</v>
      </c>
      <c r="J53" s="266">
        <v>0</v>
      </c>
      <c r="K53" s="266">
        <v>0</v>
      </c>
      <c r="L53" s="266">
        <v>0</v>
      </c>
      <c r="M53" s="252">
        <v>96800</v>
      </c>
      <c r="N53" s="253"/>
      <c r="O53" s="253"/>
    </row>
    <row r="54" spans="1:15" s="260" customFormat="1" ht="13.5" thickBot="1" x14ac:dyDescent="0.25">
      <c r="A54" s="255"/>
      <c r="B54" s="287" t="s">
        <v>770</v>
      </c>
      <c r="C54" s="257"/>
      <c r="D54" s="267"/>
      <c r="E54" s="259">
        <v>1944.712</v>
      </c>
      <c r="F54" s="259">
        <v>1535.37825</v>
      </c>
      <c r="G54" s="259">
        <v>1125.9440500000001</v>
      </c>
      <c r="H54" s="259">
        <v>716.50985000000003</v>
      </c>
      <c r="I54" s="259">
        <v>307.07565</v>
      </c>
      <c r="J54" s="268">
        <v>0</v>
      </c>
      <c r="K54" s="268">
        <v>0</v>
      </c>
      <c r="L54" s="268">
        <v>0</v>
      </c>
      <c r="M54" s="259">
        <v>5629.6198000000004</v>
      </c>
      <c r="N54" s="253"/>
      <c r="O54" s="253"/>
    </row>
    <row r="55" spans="1:15" s="260" customFormat="1" ht="13.15" customHeight="1" x14ac:dyDescent="0.2">
      <c r="A55" s="248">
        <v>23</v>
      </c>
      <c r="B55" s="353" t="s">
        <v>771</v>
      </c>
      <c r="C55" s="355" t="s">
        <v>772</v>
      </c>
      <c r="D55" s="357">
        <v>5678344.2000000002</v>
      </c>
      <c r="E55" s="252">
        <v>434960</v>
      </c>
      <c r="F55" s="252">
        <v>395316</v>
      </c>
      <c r="G55" s="252">
        <v>363420</v>
      </c>
      <c r="H55" s="252">
        <v>344336</v>
      </c>
      <c r="I55" s="252">
        <v>314856</v>
      </c>
      <c r="J55" s="252">
        <v>305080</v>
      </c>
      <c r="K55" s="252">
        <v>279984</v>
      </c>
      <c r="L55" s="252">
        <v>1029192</v>
      </c>
      <c r="M55" s="252">
        <v>3467144</v>
      </c>
      <c r="N55" s="253"/>
      <c r="O55" s="253"/>
    </row>
    <row r="56" spans="1:15" s="260" customFormat="1" ht="13.5" thickBot="1" x14ac:dyDescent="0.25">
      <c r="A56" s="255"/>
      <c r="B56" s="354"/>
      <c r="C56" s="356"/>
      <c r="D56" s="358"/>
      <c r="E56" s="259">
        <v>66153.107520000005</v>
      </c>
      <c r="F56" s="259">
        <v>57854.070719999996</v>
      </c>
      <c r="G56" s="259">
        <v>50311.441440000002</v>
      </c>
      <c r="H56" s="259">
        <v>43377.387839999996</v>
      </c>
      <c r="I56" s="259">
        <v>36807.456959999996</v>
      </c>
      <c r="J56" s="259">
        <v>30800.00448</v>
      </c>
      <c r="K56" s="259">
        <v>24979.078079999999</v>
      </c>
      <c r="L56" s="259">
        <v>117821.90015999999</v>
      </c>
      <c r="M56" s="259">
        <v>428104.44719999994</v>
      </c>
      <c r="N56" s="253"/>
      <c r="O56" s="253"/>
    </row>
    <row r="57" spans="1:15" s="260" customFormat="1" ht="13.15" customHeight="1" x14ac:dyDescent="0.2">
      <c r="A57" s="248">
        <v>24</v>
      </c>
      <c r="B57" s="359" t="s">
        <v>773</v>
      </c>
      <c r="C57" s="361" t="s">
        <v>774</v>
      </c>
      <c r="D57" s="357">
        <v>2075409</v>
      </c>
      <c r="E57" s="252">
        <v>150040</v>
      </c>
      <c r="F57" s="252">
        <v>128252</v>
      </c>
      <c r="G57" s="252">
        <v>123200</v>
      </c>
      <c r="H57" s="252">
        <v>121648</v>
      </c>
      <c r="I57" s="252">
        <v>117000</v>
      </c>
      <c r="J57" s="252">
        <v>117000</v>
      </c>
      <c r="K57" s="252">
        <v>117000</v>
      </c>
      <c r="L57" s="252">
        <v>687102</v>
      </c>
      <c r="M57" s="252">
        <v>1561242</v>
      </c>
      <c r="N57" s="253"/>
      <c r="O57" s="253"/>
    </row>
    <row r="58" spans="1:15" s="260" customFormat="1" ht="13.5" thickBot="1" x14ac:dyDescent="0.25">
      <c r="A58" s="255"/>
      <c r="B58" s="360"/>
      <c r="C58" s="362"/>
      <c r="D58" s="358"/>
      <c r="E58" s="259">
        <v>29788.497360000001</v>
      </c>
      <c r="F58" s="259">
        <v>26925.73416</v>
      </c>
      <c r="G58" s="259">
        <v>24478.685999999998</v>
      </c>
      <c r="H58" s="259">
        <v>22128.03</v>
      </c>
      <c r="I58" s="259">
        <v>19806.98616</v>
      </c>
      <c r="J58" s="259">
        <v>17574.62616</v>
      </c>
      <c r="K58" s="259">
        <v>15342.266159999999</v>
      </c>
      <c r="L58" s="259">
        <v>111434.20236000001</v>
      </c>
      <c r="M58" s="259">
        <v>267479.02836</v>
      </c>
      <c r="N58" s="253"/>
      <c r="O58" s="253"/>
    </row>
    <row r="59" spans="1:15" s="260" customFormat="1" ht="13.15" customHeight="1" x14ac:dyDescent="0.2">
      <c r="A59" s="248">
        <v>25</v>
      </c>
      <c r="B59" s="353" t="s">
        <v>775</v>
      </c>
      <c r="C59" s="364" t="s">
        <v>776</v>
      </c>
      <c r="D59" s="357">
        <v>484935.32</v>
      </c>
      <c r="E59" s="252">
        <v>20312</v>
      </c>
      <c r="F59" s="252">
        <v>20312</v>
      </c>
      <c r="G59" s="252">
        <v>20312</v>
      </c>
      <c r="H59" s="252">
        <v>20312</v>
      </c>
      <c r="I59" s="252">
        <v>20312</v>
      </c>
      <c r="J59" s="252">
        <v>20312</v>
      </c>
      <c r="K59" s="252">
        <v>20312</v>
      </c>
      <c r="L59" s="252">
        <v>167574</v>
      </c>
      <c r="M59" s="252">
        <v>309758</v>
      </c>
      <c r="N59" s="253"/>
      <c r="O59" s="253"/>
    </row>
    <row r="60" spans="1:15" s="260" customFormat="1" ht="13.5" thickBot="1" x14ac:dyDescent="0.25">
      <c r="A60" s="255"/>
      <c r="B60" s="365"/>
      <c r="C60" s="356"/>
      <c r="D60" s="358"/>
      <c r="E60" s="259">
        <v>5910.18264</v>
      </c>
      <c r="F60" s="259">
        <v>5522.62968</v>
      </c>
      <c r="G60" s="259">
        <v>5135.07672</v>
      </c>
      <c r="H60" s="259">
        <v>4747.52376</v>
      </c>
      <c r="I60" s="259">
        <v>4359.9708000000001</v>
      </c>
      <c r="J60" s="259">
        <v>3972.4178400000001</v>
      </c>
      <c r="K60" s="259">
        <v>3584.8648800000001</v>
      </c>
      <c r="L60" s="259">
        <v>26537.688936000002</v>
      </c>
      <c r="M60" s="259">
        <v>59770.35525600001</v>
      </c>
      <c r="N60" s="253"/>
      <c r="O60" s="253"/>
    </row>
    <row r="61" spans="1:15" s="260" customFormat="1" ht="13.15" customHeight="1" x14ac:dyDescent="0.2">
      <c r="A61" s="248">
        <v>26</v>
      </c>
      <c r="B61" s="353" t="s">
        <v>777</v>
      </c>
      <c r="C61" s="364" t="s">
        <v>778</v>
      </c>
      <c r="D61" s="357">
        <v>55899</v>
      </c>
      <c r="E61" s="252">
        <v>8944</v>
      </c>
      <c r="F61" s="252">
        <v>8944</v>
      </c>
      <c r="G61" s="252">
        <v>4472</v>
      </c>
      <c r="H61" s="266">
        <v>0</v>
      </c>
      <c r="I61" s="266">
        <v>0</v>
      </c>
      <c r="J61" s="266">
        <v>0</v>
      </c>
      <c r="K61" s="266">
        <v>0</v>
      </c>
      <c r="L61" s="266">
        <v>0</v>
      </c>
      <c r="M61" s="252">
        <v>22360</v>
      </c>
      <c r="N61" s="253"/>
      <c r="O61" s="253"/>
    </row>
    <row r="62" spans="1:15" s="260" customFormat="1" ht="13.5" thickBot="1" x14ac:dyDescent="0.25">
      <c r="A62" s="255"/>
      <c r="B62" s="365"/>
      <c r="C62" s="356"/>
      <c r="D62" s="358"/>
      <c r="E62" s="259">
        <v>426.62880000000001</v>
      </c>
      <c r="F62" s="259">
        <v>255.97728000000001</v>
      </c>
      <c r="G62" s="259">
        <v>85.325760000000002</v>
      </c>
      <c r="H62" s="268">
        <v>0</v>
      </c>
      <c r="I62" s="268">
        <v>0</v>
      </c>
      <c r="J62" s="268">
        <v>0</v>
      </c>
      <c r="K62" s="268">
        <v>0</v>
      </c>
      <c r="L62" s="268">
        <v>0</v>
      </c>
      <c r="M62" s="259">
        <v>767.93183999999997</v>
      </c>
      <c r="N62" s="253"/>
      <c r="O62" s="253"/>
    </row>
    <row r="63" spans="1:15" s="260" customFormat="1" ht="13.15" customHeight="1" x14ac:dyDescent="0.2">
      <c r="A63" s="248">
        <v>27</v>
      </c>
      <c r="B63" s="353" t="s">
        <v>779</v>
      </c>
      <c r="C63" s="364" t="s">
        <v>780</v>
      </c>
      <c r="D63" s="357">
        <v>8518.4</v>
      </c>
      <c r="E63" s="252">
        <v>948</v>
      </c>
      <c r="F63" s="266">
        <v>0</v>
      </c>
      <c r="G63" s="266">
        <v>0</v>
      </c>
      <c r="H63" s="266">
        <v>0</v>
      </c>
      <c r="I63" s="266">
        <v>0</v>
      </c>
      <c r="J63" s="266">
        <v>0</v>
      </c>
      <c r="K63" s="266">
        <v>0</v>
      </c>
      <c r="L63" s="266">
        <v>0</v>
      </c>
      <c r="M63" s="252">
        <v>948</v>
      </c>
      <c r="N63" s="253"/>
      <c r="O63" s="253"/>
    </row>
    <row r="64" spans="1:15" s="260" customFormat="1" ht="13.5" thickBot="1" x14ac:dyDescent="0.25">
      <c r="A64" s="255"/>
      <c r="B64" s="363"/>
      <c r="C64" s="356"/>
      <c r="D64" s="358"/>
      <c r="E64" s="259">
        <v>18.08784</v>
      </c>
      <c r="F64" s="268">
        <v>0</v>
      </c>
      <c r="G64" s="268">
        <v>0</v>
      </c>
      <c r="H64" s="268">
        <v>0</v>
      </c>
      <c r="I64" s="268">
        <v>0</v>
      </c>
      <c r="J64" s="268">
        <v>0</v>
      </c>
      <c r="K64" s="268">
        <v>0</v>
      </c>
      <c r="L64" s="268">
        <v>0</v>
      </c>
      <c r="M64" s="259">
        <v>18.08784</v>
      </c>
      <c r="N64" s="253"/>
      <c r="O64" s="253"/>
    </row>
    <row r="65" spans="1:15" s="260" customFormat="1" ht="13.15" customHeight="1" x14ac:dyDescent="0.2">
      <c r="A65" s="248">
        <v>28</v>
      </c>
      <c r="B65" s="353" t="s">
        <v>781</v>
      </c>
      <c r="C65" s="364" t="s">
        <v>782</v>
      </c>
      <c r="D65" s="357">
        <v>238897.15</v>
      </c>
      <c r="E65" s="252">
        <v>10600</v>
      </c>
      <c r="F65" s="252">
        <v>10600</v>
      </c>
      <c r="G65" s="252">
        <v>10600</v>
      </c>
      <c r="H65" s="252">
        <v>10600</v>
      </c>
      <c r="I65" s="252">
        <v>10600</v>
      </c>
      <c r="J65" s="252">
        <v>10600</v>
      </c>
      <c r="K65" s="252">
        <v>10600</v>
      </c>
      <c r="L65" s="252">
        <v>90100</v>
      </c>
      <c r="M65" s="252">
        <v>164300</v>
      </c>
      <c r="N65" s="253"/>
      <c r="O65" s="253"/>
    </row>
    <row r="66" spans="1:15" s="260" customFormat="1" ht="13.5" thickBot="1" x14ac:dyDescent="0.25">
      <c r="A66" s="255"/>
      <c r="B66" s="365"/>
      <c r="C66" s="356"/>
      <c r="D66" s="358"/>
      <c r="E66" s="259">
        <v>3134.8440000000001</v>
      </c>
      <c r="F66" s="259">
        <v>2932.596</v>
      </c>
      <c r="G66" s="259">
        <v>2730.348</v>
      </c>
      <c r="H66" s="259">
        <v>2528.1</v>
      </c>
      <c r="I66" s="259">
        <v>2325.8519999999999</v>
      </c>
      <c r="J66" s="259">
        <v>2123.6039999999998</v>
      </c>
      <c r="K66" s="259">
        <v>1921.356</v>
      </c>
      <c r="L66" s="259">
        <v>14612.418</v>
      </c>
      <c r="M66" s="259">
        <v>32309.118000000002</v>
      </c>
      <c r="N66" s="253"/>
      <c r="O66" s="253"/>
    </row>
    <row r="67" spans="1:15" s="260" customFormat="1" ht="13.15" customHeight="1" x14ac:dyDescent="0.2">
      <c r="A67" s="248">
        <v>29</v>
      </c>
      <c r="B67" s="353" t="s">
        <v>783</v>
      </c>
      <c r="C67" s="364" t="s">
        <v>784</v>
      </c>
      <c r="D67" s="357">
        <v>49472</v>
      </c>
      <c r="E67" s="252">
        <v>3472</v>
      </c>
      <c r="F67" s="252">
        <v>3472</v>
      </c>
      <c r="G67" s="252">
        <v>3472</v>
      </c>
      <c r="H67" s="252">
        <v>3472</v>
      </c>
      <c r="I67" s="252">
        <v>3472</v>
      </c>
      <c r="J67" s="252">
        <v>3472</v>
      </c>
      <c r="K67" s="252">
        <v>3472</v>
      </c>
      <c r="L67" s="252">
        <v>12152</v>
      </c>
      <c r="M67" s="252">
        <v>36456</v>
      </c>
      <c r="N67" s="253"/>
      <c r="O67" s="253"/>
    </row>
    <row r="68" spans="1:15" s="260" customFormat="1" ht="13.5" thickBot="1" x14ac:dyDescent="0.25">
      <c r="A68" s="255"/>
      <c r="B68" s="365"/>
      <c r="C68" s="356"/>
      <c r="D68" s="358"/>
      <c r="E68" s="259">
        <v>695.58047999999997</v>
      </c>
      <c r="F68" s="259">
        <v>629.33471999999995</v>
      </c>
      <c r="G68" s="259">
        <v>563.08896000000004</v>
      </c>
      <c r="H68" s="259">
        <v>496.84319999999997</v>
      </c>
      <c r="I68" s="259">
        <v>430.59744000000001</v>
      </c>
      <c r="J68" s="259">
        <v>364.35167999999999</v>
      </c>
      <c r="K68" s="259">
        <v>298.10591999999997</v>
      </c>
      <c r="L68" s="259">
        <v>811.51056000000005</v>
      </c>
      <c r="M68" s="259">
        <v>4289.4129599999997</v>
      </c>
      <c r="N68" s="253"/>
      <c r="O68" s="253"/>
    </row>
    <row r="69" spans="1:15" s="260" customFormat="1" ht="13.15" customHeight="1" x14ac:dyDescent="0.2">
      <c r="A69" s="248">
        <v>30</v>
      </c>
      <c r="B69" s="353" t="s">
        <v>785</v>
      </c>
      <c r="C69" s="364" t="s">
        <v>782</v>
      </c>
      <c r="D69" s="357">
        <v>278611.39</v>
      </c>
      <c r="E69" s="252">
        <v>14476</v>
      </c>
      <c r="F69" s="252">
        <v>14476</v>
      </c>
      <c r="G69" s="252">
        <v>14476</v>
      </c>
      <c r="H69" s="252">
        <v>14476</v>
      </c>
      <c r="I69" s="252">
        <v>14476</v>
      </c>
      <c r="J69" s="252">
        <v>14476</v>
      </c>
      <c r="K69" s="252">
        <v>14476</v>
      </c>
      <c r="L69" s="252">
        <v>123046</v>
      </c>
      <c r="M69" s="252">
        <v>224378</v>
      </c>
      <c r="N69" s="253"/>
      <c r="O69" s="253"/>
    </row>
    <row r="70" spans="1:15" s="260" customFormat="1" ht="13.5" thickBot="1" x14ac:dyDescent="0.25">
      <c r="A70" s="255"/>
      <c r="B70" s="365"/>
      <c r="C70" s="356"/>
      <c r="D70" s="358"/>
      <c r="E70" s="259">
        <v>4281.1322399999999</v>
      </c>
      <c r="F70" s="259">
        <v>4004.9301599999999</v>
      </c>
      <c r="G70" s="259">
        <v>3728.7280799999999</v>
      </c>
      <c r="H70" s="259">
        <v>3452.5259999999998</v>
      </c>
      <c r="I70" s="259">
        <v>3176.3239199999998</v>
      </c>
      <c r="J70" s="259">
        <v>2900.1218399999998</v>
      </c>
      <c r="K70" s="259">
        <v>2623.9197599999998</v>
      </c>
      <c r="L70" s="259">
        <v>19955.600279999999</v>
      </c>
      <c r="M70" s="259">
        <v>44123.282279999999</v>
      </c>
      <c r="N70" s="253"/>
      <c r="O70" s="253"/>
    </row>
    <row r="71" spans="1:15" s="260" customFormat="1" ht="13.15" customHeight="1" x14ac:dyDescent="0.2">
      <c r="A71" s="248">
        <v>31</v>
      </c>
      <c r="B71" s="353" t="s">
        <v>786</v>
      </c>
      <c r="C71" s="364" t="s">
        <v>787</v>
      </c>
      <c r="D71" s="357">
        <v>34291</v>
      </c>
      <c r="E71" s="252">
        <v>3616</v>
      </c>
      <c r="F71" s="252">
        <v>3548</v>
      </c>
      <c r="G71" s="252">
        <v>3548</v>
      </c>
      <c r="H71" s="252">
        <v>3548</v>
      </c>
      <c r="I71" s="252">
        <v>3548</v>
      </c>
      <c r="J71" s="252">
        <v>1774</v>
      </c>
      <c r="K71" s="266">
        <v>0</v>
      </c>
      <c r="L71" s="266">
        <v>0</v>
      </c>
      <c r="M71" s="252">
        <v>19582</v>
      </c>
      <c r="N71" s="253"/>
      <c r="O71" s="253"/>
    </row>
    <row r="72" spans="1:15" s="260" customFormat="1" ht="13.5" thickBot="1" x14ac:dyDescent="0.25">
      <c r="A72" s="255"/>
      <c r="B72" s="365"/>
      <c r="C72" s="356"/>
      <c r="D72" s="358"/>
      <c r="E72" s="259">
        <v>373.62455999999997</v>
      </c>
      <c r="F72" s="259">
        <v>304.63128</v>
      </c>
      <c r="G72" s="259">
        <v>236.93544</v>
      </c>
      <c r="H72" s="259">
        <v>169.2396</v>
      </c>
      <c r="I72" s="259">
        <v>101.54375999999999</v>
      </c>
      <c r="J72" s="259">
        <v>33.847920000000002</v>
      </c>
      <c r="K72" s="268">
        <v>0</v>
      </c>
      <c r="L72" s="268">
        <v>0</v>
      </c>
      <c r="M72" s="259">
        <v>1219.8225599999998</v>
      </c>
      <c r="N72" s="253"/>
      <c r="O72" s="253"/>
    </row>
    <row r="73" spans="1:15" s="260" customFormat="1" ht="13.15" customHeight="1" x14ac:dyDescent="0.2">
      <c r="A73" s="248">
        <v>32</v>
      </c>
      <c r="B73" s="353" t="s">
        <v>788</v>
      </c>
      <c r="C73" s="364" t="s">
        <v>789</v>
      </c>
      <c r="D73" s="357">
        <v>3496295</v>
      </c>
      <c r="E73" s="252">
        <v>125996</v>
      </c>
      <c r="F73" s="252">
        <v>125996</v>
      </c>
      <c r="G73" s="252">
        <v>125996</v>
      </c>
      <c r="H73" s="252">
        <v>125996</v>
      </c>
      <c r="I73" s="252">
        <v>125996</v>
      </c>
      <c r="J73" s="252">
        <v>125996</v>
      </c>
      <c r="K73" s="252">
        <v>125996</v>
      </c>
      <c r="L73" s="252">
        <v>2362425</v>
      </c>
      <c r="M73" s="252">
        <v>3244397</v>
      </c>
      <c r="N73" s="253"/>
      <c r="O73" s="253"/>
    </row>
    <row r="74" spans="1:15" s="260" customFormat="1" ht="13.5" thickBot="1" x14ac:dyDescent="0.25">
      <c r="A74" s="255"/>
      <c r="B74" s="365"/>
      <c r="C74" s="356"/>
      <c r="D74" s="358"/>
      <c r="E74" s="259">
        <v>61903.09476</v>
      </c>
      <c r="F74" s="259">
        <v>59499.091079999998</v>
      </c>
      <c r="G74" s="259">
        <v>57095.087399999997</v>
      </c>
      <c r="H74" s="259">
        <v>54691.083720000002</v>
      </c>
      <c r="I74" s="259">
        <v>52287.080040000001</v>
      </c>
      <c r="J74" s="259">
        <v>49883.076359999999</v>
      </c>
      <c r="K74" s="259">
        <v>47479.072679999997</v>
      </c>
      <c r="L74" s="259">
        <v>811351.24199999997</v>
      </c>
      <c r="M74" s="259">
        <v>1194188.8280400001</v>
      </c>
      <c r="N74" s="253"/>
      <c r="O74" s="253"/>
    </row>
    <row r="75" spans="1:15" s="260" customFormat="1" ht="13.15" customHeight="1" x14ac:dyDescent="0.2">
      <c r="A75" s="248">
        <v>33</v>
      </c>
      <c r="B75" s="353" t="s">
        <v>790</v>
      </c>
      <c r="C75" s="364" t="s">
        <v>789</v>
      </c>
      <c r="D75" s="357">
        <v>2614009</v>
      </c>
      <c r="E75" s="252">
        <v>94200</v>
      </c>
      <c r="F75" s="252">
        <v>94200</v>
      </c>
      <c r="G75" s="252">
        <v>94200</v>
      </c>
      <c r="H75" s="252">
        <v>94200</v>
      </c>
      <c r="I75" s="252">
        <v>94200</v>
      </c>
      <c r="J75" s="252">
        <v>94200</v>
      </c>
      <c r="K75" s="252">
        <v>94200</v>
      </c>
      <c r="L75" s="252">
        <v>1766250</v>
      </c>
      <c r="M75" s="252">
        <v>2425650</v>
      </c>
      <c r="N75" s="253"/>
      <c r="O75" s="253"/>
    </row>
    <row r="76" spans="1:15" s="260" customFormat="1" ht="13.5" thickBot="1" x14ac:dyDescent="0.25">
      <c r="A76" s="255"/>
      <c r="B76" s="365"/>
      <c r="C76" s="356"/>
      <c r="D76" s="358"/>
      <c r="E76" s="259">
        <v>46281.402000000002</v>
      </c>
      <c r="F76" s="259">
        <v>44484.065999999999</v>
      </c>
      <c r="G76" s="259">
        <v>42686.729999999996</v>
      </c>
      <c r="H76" s="259">
        <v>40889.394</v>
      </c>
      <c r="I76" s="259">
        <v>39092.057999999997</v>
      </c>
      <c r="J76" s="259">
        <v>37294.722000000002</v>
      </c>
      <c r="K76" s="259">
        <v>35497.385999999999</v>
      </c>
      <c r="L76" s="259">
        <v>606600.9</v>
      </c>
      <c r="M76" s="259">
        <v>892826.65800000005</v>
      </c>
      <c r="N76" s="253"/>
      <c r="O76" s="253"/>
    </row>
    <row r="77" spans="1:15" s="260" customFormat="1" ht="13.15" customHeight="1" x14ac:dyDescent="0.2">
      <c r="A77" s="248">
        <v>34</v>
      </c>
      <c r="B77" s="353" t="s">
        <v>791</v>
      </c>
      <c r="C77" s="364" t="s">
        <v>792</v>
      </c>
      <c r="D77" s="357">
        <v>190128</v>
      </c>
      <c r="E77" s="252">
        <v>9752</v>
      </c>
      <c r="F77" s="252">
        <v>9752</v>
      </c>
      <c r="G77" s="252">
        <v>9752</v>
      </c>
      <c r="H77" s="252">
        <v>9752</v>
      </c>
      <c r="I77" s="252">
        <v>9752</v>
      </c>
      <c r="J77" s="252">
        <v>9752</v>
      </c>
      <c r="K77" s="252">
        <v>9752</v>
      </c>
      <c r="L77" s="252">
        <v>85330</v>
      </c>
      <c r="M77" s="252">
        <v>153594</v>
      </c>
      <c r="N77" s="253"/>
      <c r="O77" s="253"/>
    </row>
    <row r="78" spans="1:15" s="260" customFormat="1" ht="13.5" thickBot="1" x14ac:dyDescent="0.25">
      <c r="A78" s="255"/>
      <c r="B78" s="363"/>
      <c r="C78" s="356"/>
      <c r="D78" s="358"/>
      <c r="E78" s="259">
        <v>2930.5735199999999</v>
      </c>
      <c r="F78" s="259">
        <v>2744.5053600000001</v>
      </c>
      <c r="G78" s="259">
        <v>2558.4371999999998</v>
      </c>
      <c r="H78" s="259">
        <v>2372.36904</v>
      </c>
      <c r="I78" s="259">
        <v>2186.3008799999998</v>
      </c>
      <c r="J78" s="259">
        <v>2000.23272</v>
      </c>
      <c r="K78" s="259">
        <v>1814.1645599999999</v>
      </c>
      <c r="L78" s="259">
        <v>14327.248320000001</v>
      </c>
      <c r="M78" s="259">
        <v>30933.831599999998</v>
      </c>
      <c r="N78" s="253"/>
      <c r="O78" s="253"/>
    </row>
    <row r="79" spans="1:15" s="260" customFormat="1" ht="13.15" customHeight="1" x14ac:dyDescent="0.2">
      <c r="A79" s="248">
        <v>35</v>
      </c>
      <c r="B79" s="353" t="s">
        <v>793</v>
      </c>
      <c r="C79" s="364" t="s">
        <v>792</v>
      </c>
      <c r="D79" s="357">
        <v>177076.43</v>
      </c>
      <c r="E79" s="252">
        <v>9200</v>
      </c>
      <c r="F79" s="252">
        <v>9200</v>
      </c>
      <c r="G79" s="252">
        <v>9200</v>
      </c>
      <c r="H79" s="252">
        <v>9200</v>
      </c>
      <c r="I79" s="252">
        <v>9200</v>
      </c>
      <c r="J79" s="252">
        <v>9200</v>
      </c>
      <c r="K79" s="252">
        <v>9200</v>
      </c>
      <c r="L79" s="252">
        <v>80500</v>
      </c>
      <c r="M79" s="252">
        <v>144900</v>
      </c>
      <c r="N79" s="253"/>
      <c r="O79" s="253"/>
    </row>
    <row r="80" spans="1:15" s="260" customFormat="1" ht="13.5" thickBot="1" x14ac:dyDescent="0.25">
      <c r="A80" s="255"/>
      <c r="B80" s="365"/>
      <c r="C80" s="356"/>
      <c r="D80" s="358"/>
      <c r="E80" s="259">
        <v>2764.692</v>
      </c>
      <c r="F80" s="259">
        <v>2589.1559999999999</v>
      </c>
      <c r="G80" s="259">
        <v>2413.62</v>
      </c>
      <c r="H80" s="259">
        <v>2238.0839999999998</v>
      </c>
      <c r="I80" s="259">
        <v>2062.5479999999998</v>
      </c>
      <c r="J80" s="259">
        <v>1887.0119999999999</v>
      </c>
      <c r="K80" s="259">
        <v>1711.4759999999999</v>
      </c>
      <c r="L80" s="259">
        <v>13516.272000000001</v>
      </c>
      <c r="M80" s="259">
        <v>29182.86</v>
      </c>
      <c r="N80" s="253"/>
      <c r="O80" s="253"/>
    </row>
    <row r="81" spans="1:15" s="260" customFormat="1" ht="13.15" customHeight="1" x14ac:dyDescent="0.2">
      <c r="A81" s="248">
        <v>36</v>
      </c>
      <c r="B81" s="353" t="s">
        <v>794</v>
      </c>
      <c r="C81" s="364" t="s">
        <v>795</v>
      </c>
      <c r="D81" s="357">
        <v>160577.24</v>
      </c>
      <c r="E81" s="252">
        <v>8236</v>
      </c>
      <c r="F81" s="252">
        <v>8236</v>
      </c>
      <c r="G81" s="252">
        <v>8236</v>
      </c>
      <c r="H81" s="252">
        <v>8236</v>
      </c>
      <c r="I81" s="252">
        <v>8236</v>
      </c>
      <c r="J81" s="252">
        <v>8236</v>
      </c>
      <c r="K81" s="252">
        <v>8236</v>
      </c>
      <c r="L81" s="252">
        <v>74124</v>
      </c>
      <c r="M81" s="252">
        <v>131776</v>
      </c>
      <c r="N81" s="253"/>
      <c r="O81" s="253"/>
    </row>
    <row r="82" spans="1:15" s="260" customFormat="1" ht="13.5" thickBot="1" x14ac:dyDescent="0.25">
      <c r="A82" s="255"/>
      <c r="B82" s="365"/>
      <c r="C82" s="356"/>
      <c r="D82" s="358"/>
      <c r="E82" s="259">
        <v>2514.2860799999999</v>
      </c>
      <c r="F82" s="259">
        <v>2357.1432</v>
      </c>
      <c r="G82" s="259">
        <v>2200.0003200000001</v>
      </c>
      <c r="H82" s="259">
        <v>2042.85744</v>
      </c>
      <c r="I82" s="259">
        <v>1885.7145599999999</v>
      </c>
      <c r="J82" s="259">
        <v>1728.57168</v>
      </c>
      <c r="K82" s="259">
        <v>1571.4287999999999</v>
      </c>
      <c r="L82" s="259">
        <v>12445.716096000002</v>
      </c>
      <c r="M82" s="259">
        <v>26745.718176000002</v>
      </c>
      <c r="N82" s="253"/>
      <c r="O82" s="253"/>
    </row>
    <row r="83" spans="1:15" s="260" customFormat="1" ht="13.15" customHeight="1" x14ac:dyDescent="0.2">
      <c r="A83" s="248">
        <v>37</v>
      </c>
      <c r="B83" s="366" t="s">
        <v>796</v>
      </c>
      <c r="C83" s="364" t="s">
        <v>797</v>
      </c>
      <c r="D83" s="357">
        <v>131127</v>
      </c>
      <c r="E83" s="252">
        <v>6728</v>
      </c>
      <c r="F83" s="252">
        <v>6728</v>
      </c>
      <c r="G83" s="252">
        <v>6728</v>
      </c>
      <c r="H83" s="252">
        <v>6728</v>
      </c>
      <c r="I83" s="252">
        <v>6728</v>
      </c>
      <c r="J83" s="252">
        <v>6728</v>
      </c>
      <c r="K83" s="252">
        <v>6728</v>
      </c>
      <c r="L83" s="252">
        <v>60552</v>
      </c>
      <c r="M83" s="252">
        <v>107648</v>
      </c>
      <c r="N83" s="253"/>
      <c r="O83" s="253"/>
    </row>
    <row r="84" spans="1:15" s="260" customFormat="1" ht="13.5" thickBot="1" x14ac:dyDescent="0.25">
      <c r="A84" s="255"/>
      <c r="B84" s="367"/>
      <c r="C84" s="356"/>
      <c r="D84" s="368"/>
      <c r="E84" s="259">
        <v>2053.9238399999999</v>
      </c>
      <c r="F84" s="259">
        <v>1925.5536</v>
      </c>
      <c r="G84" s="259">
        <v>1797.18336</v>
      </c>
      <c r="H84" s="259">
        <v>1668.81312</v>
      </c>
      <c r="I84" s="259">
        <v>1540.4428800000001</v>
      </c>
      <c r="J84" s="259">
        <v>1412.0726400000001</v>
      </c>
      <c r="K84" s="259">
        <v>1283.7023999999999</v>
      </c>
      <c r="L84" s="259">
        <v>10397.989439999999</v>
      </c>
      <c r="M84" s="259">
        <v>22079.681279999997</v>
      </c>
      <c r="N84" s="253"/>
      <c r="O84" s="253"/>
    </row>
    <row r="85" spans="1:15" s="260" customFormat="1" ht="13.15" customHeight="1" x14ac:dyDescent="0.2">
      <c r="A85" s="248">
        <v>38</v>
      </c>
      <c r="B85" s="366" t="s">
        <v>798</v>
      </c>
      <c r="C85" s="364" t="s">
        <v>799</v>
      </c>
      <c r="D85" s="357">
        <v>17365.23</v>
      </c>
      <c r="E85" s="252">
        <v>1932</v>
      </c>
      <c r="F85" s="252">
        <v>1932</v>
      </c>
      <c r="G85" s="252">
        <v>1932</v>
      </c>
      <c r="H85" s="252">
        <v>1932</v>
      </c>
      <c r="I85" s="252">
        <v>1932</v>
      </c>
      <c r="J85" s="252">
        <v>1932</v>
      </c>
      <c r="K85" s="252">
        <v>483</v>
      </c>
      <c r="L85" s="266">
        <v>0</v>
      </c>
      <c r="M85" s="252">
        <v>12075</v>
      </c>
      <c r="N85" s="253"/>
      <c r="O85" s="253"/>
    </row>
    <row r="86" spans="1:15" s="260" customFormat="1" ht="13.5" thickBot="1" x14ac:dyDescent="0.25">
      <c r="A86" s="255"/>
      <c r="B86" s="367"/>
      <c r="C86" s="356"/>
      <c r="D86" s="368"/>
      <c r="E86" s="259">
        <v>230.39099999999999</v>
      </c>
      <c r="F86" s="259">
        <v>193.52843999999999</v>
      </c>
      <c r="G86" s="259">
        <v>156.66587999999999</v>
      </c>
      <c r="H86" s="259">
        <v>119.80332</v>
      </c>
      <c r="I86" s="259">
        <v>82.940759999999997</v>
      </c>
      <c r="J86" s="259">
        <v>46.078200000000002</v>
      </c>
      <c r="K86" s="259">
        <v>9.2156400000000005</v>
      </c>
      <c r="L86" s="268">
        <v>0</v>
      </c>
      <c r="M86" s="259">
        <v>838.62324000000001</v>
      </c>
      <c r="N86" s="253"/>
      <c r="O86" s="253"/>
    </row>
    <row r="87" spans="1:15" s="260" customFormat="1" ht="13.15" customHeight="1" x14ac:dyDescent="0.2">
      <c r="A87" s="248">
        <v>39</v>
      </c>
      <c r="B87" s="366" t="s">
        <v>800</v>
      </c>
      <c r="C87" s="364" t="s">
        <v>801</v>
      </c>
      <c r="D87" s="357">
        <v>2227434</v>
      </c>
      <c r="E87" s="252">
        <v>78156</v>
      </c>
      <c r="F87" s="252">
        <v>78156</v>
      </c>
      <c r="G87" s="252">
        <v>78156</v>
      </c>
      <c r="H87" s="252">
        <v>78156</v>
      </c>
      <c r="I87" s="252">
        <v>78156</v>
      </c>
      <c r="J87" s="252">
        <v>78156</v>
      </c>
      <c r="K87" s="252">
        <v>78156</v>
      </c>
      <c r="L87" s="252">
        <v>1524042</v>
      </c>
      <c r="M87" s="252">
        <v>2071134</v>
      </c>
      <c r="N87" s="253"/>
      <c r="O87" s="253"/>
    </row>
    <row r="88" spans="1:15" s="260" customFormat="1" ht="13.5" thickBot="1" x14ac:dyDescent="0.25">
      <c r="A88" s="255"/>
      <c r="B88" s="367"/>
      <c r="C88" s="356"/>
      <c r="D88" s="368"/>
      <c r="E88" s="259">
        <v>39517.236720000001</v>
      </c>
      <c r="F88" s="259">
        <v>38026.020239999998</v>
      </c>
      <c r="G88" s="259">
        <v>36534.803760000003</v>
      </c>
      <c r="H88" s="259">
        <v>35043.58728</v>
      </c>
      <c r="I88" s="259">
        <v>33552.370799999997</v>
      </c>
      <c r="J88" s="259">
        <v>32061.154319999998</v>
      </c>
      <c r="K88" s="259">
        <v>30569.937839999999</v>
      </c>
      <c r="L88" s="259">
        <v>552495.70583999995</v>
      </c>
      <c r="M88" s="259">
        <v>797800.81679999991</v>
      </c>
      <c r="N88" s="253"/>
      <c r="O88" s="253"/>
    </row>
    <row r="89" spans="1:15" s="260" customFormat="1" ht="13.15" customHeight="1" x14ac:dyDescent="0.2">
      <c r="A89" s="248">
        <v>40</v>
      </c>
      <c r="B89" s="353" t="s">
        <v>802</v>
      </c>
      <c r="C89" s="364" t="s">
        <v>803</v>
      </c>
      <c r="D89" s="357">
        <v>605017</v>
      </c>
      <c r="E89" s="252">
        <v>31568</v>
      </c>
      <c r="F89" s="252">
        <v>31568</v>
      </c>
      <c r="G89" s="252">
        <v>31568</v>
      </c>
      <c r="H89" s="252">
        <v>31568</v>
      </c>
      <c r="I89" s="252">
        <v>31568</v>
      </c>
      <c r="J89" s="252">
        <v>31568</v>
      </c>
      <c r="K89" s="252">
        <v>31568</v>
      </c>
      <c r="L89" s="252">
        <v>315680</v>
      </c>
      <c r="M89" s="252">
        <v>536656</v>
      </c>
      <c r="N89" s="253"/>
      <c r="O89" s="253"/>
    </row>
    <row r="90" spans="1:15" s="260" customFormat="1" ht="13.5" thickBot="1" x14ac:dyDescent="0.25">
      <c r="A90" s="255"/>
      <c r="B90" s="365"/>
      <c r="C90" s="356"/>
      <c r="D90" s="358"/>
      <c r="E90" s="259">
        <v>10239.396479999999</v>
      </c>
      <c r="F90" s="259">
        <v>9637.0790400000005</v>
      </c>
      <c r="G90" s="259">
        <v>9034.7615999999998</v>
      </c>
      <c r="H90" s="259">
        <v>8432.4441599999991</v>
      </c>
      <c r="I90" s="259">
        <v>7830.1267200000002</v>
      </c>
      <c r="J90" s="259">
        <v>7227.8092799999995</v>
      </c>
      <c r="K90" s="259">
        <v>6625.4918399999997</v>
      </c>
      <c r="L90" s="259">
        <v>54208.569600000003</v>
      </c>
      <c r="M90" s="259">
        <v>113235.67872</v>
      </c>
      <c r="N90" s="253"/>
      <c r="O90" s="253"/>
    </row>
    <row r="91" spans="1:15" s="260" customFormat="1" ht="13.15" customHeight="1" x14ac:dyDescent="0.2">
      <c r="A91" s="248">
        <v>41</v>
      </c>
      <c r="B91" s="353" t="s">
        <v>804</v>
      </c>
      <c r="C91" s="364" t="s">
        <v>805</v>
      </c>
      <c r="D91" s="357">
        <v>363119</v>
      </c>
      <c r="E91" s="252">
        <v>18788</v>
      </c>
      <c r="F91" s="252">
        <v>18788</v>
      </c>
      <c r="G91" s="252">
        <v>18788</v>
      </c>
      <c r="H91" s="252">
        <v>18788</v>
      </c>
      <c r="I91" s="252">
        <v>18788</v>
      </c>
      <c r="J91" s="252">
        <v>18788</v>
      </c>
      <c r="K91" s="252">
        <v>18788</v>
      </c>
      <c r="L91" s="252">
        <v>201901</v>
      </c>
      <c r="M91" s="252">
        <v>333417</v>
      </c>
      <c r="N91" s="253"/>
      <c r="O91" s="253"/>
    </row>
    <row r="92" spans="1:15" s="260" customFormat="1" ht="13.5" thickBot="1" x14ac:dyDescent="0.25">
      <c r="A92" s="255"/>
      <c r="B92" s="363"/>
      <c r="C92" s="356"/>
      <c r="D92" s="358"/>
      <c r="E92" s="259">
        <v>6361.5963599999995</v>
      </c>
      <c r="F92" s="259">
        <v>6003.1213200000002</v>
      </c>
      <c r="G92" s="259">
        <v>5644.6462799999999</v>
      </c>
      <c r="H92" s="259">
        <v>5286.1712399999997</v>
      </c>
      <c r="I92" s="259">
        <v>4927.6962000000003</v>
      </c>
      <c r="J92" s="259">
        <v>4569.2211600000001</v>
      </c>
      <c r="K92" s="259">
        <v>4210.7461199999998</v>
      </c>
      <c r="L92" s="259">
        <v>38522.710800000001</v>
      </c>
      <c r="M92" s="259">
        <v>75525.909480000002</v>
      </c>
      <c r="N92" s="253"/>
      <c r="O92" s="253"/>
    </row>
    <row r="93" spans="1:15" s="260" customFormat="1" ht="13.15" customHeight="1" x14ac:dyDescent="0.2">
      <c r="A93" s="248">
        <v>42</v>
      </c>
      <c r="B93" s="353" t="s">
        <v>806</v>
      </c>
      <c r="C93" s="364" t="s">
        <v>807</v>
      </c>
      <c r="D93" s="357">
        <v>824810</v>
      </c>
      <c r="E93" s="252">
        <v>29693</v>
      </c>
      <c r="F93" s="252">
        <v>29724</v>
      </c>
      <c r="G93" s="252">
        <v>29724</v>
      </c>
      <c r="H93" s="252">
        <v>29724</v>
      </c>
      <c r="I93" s="252">
        <v>29724</v>
      </c>
      <c r="J93" s="252">
        <v>29724</v>
      </c>
      <c r="K93" s="252">
        <v>29724</v>
      </c>
      <c r="L93" s="252">
        <v>616773</v>
      </c>
      <c r="M93" s="252">
        <v>824810</v>
      </c>
      <c r="N93" s="253"/>
      <c r="O93" s="253"/>
    </row>
    <row r="94" spans="1:15" s="260" customFormat="1" ht="13.5" thickBot="1" x14ac:dyDescent="0.25">
      <c r="A94" s="255"/>
      <c r="B94" s="363"/>
      <c r="C94" s="356"/>
      <c r="D94" s="358"/>
      <c r="E94" s="259">
        <v>15737.3748</v>
      </c>
      <c r="F94" s="259">
        <v>15170.83236</v>
      </c>
      <c r="G94" s="259">
        <v>14603.69844</v>
      </c>
      <c r="H94" s="259">
        <v>14036.56452</v>
      </c>
      <c r="I94" s="259">
        <v>13469.4306</v>
      </c>
      <c r="J94" s="259">
        <v>12902.296679999999</v>
      </c>
      <c r="K94" s="259">
        <v>12335.162759999999</v>
      </c>
      <c r="L94" s="259">
        <v>235360.57679999998</v>
      </c>
      <c r="M94" s="259">
        <v>333615.93695999996</v>
      </c>
      <c r="N94" s="253"/>
      <c r="O94" s="253"/>
    </row>
    <row r="95" spans="1:15" s="260" customFormat="1" ht="13.15" customHeight="1" x14ac:dyDescent="0.2">
      <c r="A95" s="248">
        <v>43</v>
      </c>
      <c r="B95" s="369" t="s">
        <v>808</v>
      </c>
      <c r="C95" s="364" t="s">
        <v>809</v>
      </c>
      <c r="D95" s="357">
        <v>9703992</v>
      </c>
      <c r="E95" s="252">
        <v>343399</v>
      </c>
      <c r="F95" s="252">
        <v>343508</v>
      </c>
      <c r="G95" s="252">
        <v>343508</v>
      </c>
      <c r="H95" s="252">
        <v>343508</v>
      </c>
      <c r="I95" s="252">
        <v>343508</v>
      </c>
      <c r="J95" s="252">
        <v>343508</v>
      </c>
      <c r="K95" s="252">
        <v>343508</v>
      </c>
      <c r="L95" s="252">
        <v>7299545</v>
      </c>
      <c r="M95" s="252">
        <v>9703992</v>
      </c>
      <c r="N95" s="253"/>
      <c r="O95" s="253"/>
    </row>
    <row r="96" spans="1:15" s="260" customFormat="1" ht="13.5" thickBot="1" x14ac:dyDescent="0.25">
      <c r="A96" s="255"/>
      <c r="B96" s="370"/>
      <c r="C96" s="356"/>
      <c r="D96" s="371"/>
      <c r="E96" s="259">
        <v>185152.16735999999</v>
      </c>
      <c r="F96" s="259">
        <v>178600.11444</v>
      </c>
      <c r="G96" s="259">
        <v>172045.98180000001</v>
      </c>
      <c r="H96" s="259">
        <v>165491.84915999998</v>
      </c>
      <c r="I96" s="259">
        <v>158937.71651999999</v>
      </c>
      <c r="J96" s="259">
        <v>152383.58387999999</v>
      </c>
      <c r="K96" s="259">
        <v>145829.45123999999</v>
      </c>
      <c r="L96" s="259">
        <v>2924781.6905999999</v>
      </c>
      <c r="M96" s="259">
        <v>4083222.5549999997</v>
      </c>
      <c r="N96" s="253"/>
      <c r="O96" s="253"/>
    </row>
    <row r="97" spans="1:15" s="260" customFormat="1" ht="13.15" customHeight="1" x14ac:dyDescent="0.2">
      <c r="A97" s="248">
        <v>44</v>
      </c>
      <c r="B97" s="369" t="s">
        <v>810</v>
      </c>
      <c r="C97" s="364" t="s">
        <v>811</v>
      </c>
      <c r="D97" s="357">
        <v>43430</v>
      </c>
      <c r="E97" s="252">
        <v>4696</v>
      </c>
      <c r="F97" s="252">
        <v>4696</v>
      </c>
      <c r="G97" s="252">
        <v>4696</v>
      </c>
      <c r="H97" s="252">
        <v>4696</v>
      </c>
      <c r="I97" s="252">
        <v>4696</v>
      </c>
      <c r="J97" s="252">
        <v>4696</v>
      </c>
      <c r="K97" s="252">
        <v>4696</v>
      </c>
      <c r="L97" s="252">
        <v>5870</v>
      </c>
      <c r="M97" s="252">
        <v>38742</v>
      </c>
      <c r="N97" s="253"/>
      <c r="O97" s="253"/>
    </row>
    <row r="98" spans="1:15" s="260" customFormat="1" ht="13.5" thickBot="1" x14ac:dyDescent="0.25">
      <c r="A98" s="255"/>
      <c r="B98" s="370"/>
      <c r="C98" s="356"/>
      <c r="D98" s="371"/>
      <c r="E98" s="259">
        <v>739.19736</v>
      </c>
      <c r="F98" s="259">
        <v>649.59767999999997</v>
      </c>
      <c r="G98" s="259">
        <v>559.99800000000005</v>
      </c>
      <c r="H98" s="259">
        <v>470.39832000000001</v>
      </c>
      <c r="I98" s="259">
        <v>380.79863999999998</v>
      </c>
      <c r="J98" s="259">
        <v>291.19896</v>
      </c>
      <c r="K98" s="259">
        <v>201.59927999999999</v>
      </c>
      <c r="L98" s="259">
        <v>223.9992</v>
      </c>
      <c r="M98" s="259">
        <v>3516.7874400000001</v>
      </c>
      <c r="N98" s="253"/>
      <c r="O98" s="253"/>
    </row>
    <row r="99" spans="1:15" s="260" customFormat="1" ht="13.15" customHeight="1" x14ac:dyDescent="0.2">
      <c r="A99" s="248">
        <v>45</v>
      </c>
      <c r="B99" s="366" t="s">
        <v>812</v>
      </c>
      <c r="C99" s="364" t="s">
        <v>813</v>
      </c>
      <c r="D99" s="357">
        <v>195366</v>
      </c>
      <c r="E99" s="252">
        <v>86832</v>
      </c>
      <c r="F99" s="252">
        <v>21708</v>
      </c>
      <c r="G99" s="266">
        <v>0</v>
      </c>
      <c r="H99" s="266">
        <v>0</v>
      </c>
      <c r="I99" s="266">
        <v>0</v>
      </c>
      <c r="J99" s="266">
        <v>0</v>
      </c>
      <c r="K99" s="266">
        <v>0</v>
      </c>
      <c r="L99" s="266">
        <v>0</v>
      </c>
      <c r="M99" s="252">
        <v>108540</v>
      </c>
      <c r="N99" s="253"/>
      <c r="O99" s="253"/>
    </row>
    <row r="100" spans="1:15" s="260" customFormat="1" ht="13.5" thickBot="1" x14ac:dyDescent="0.25">
      <c r="A100" s="255"/>
      <c r="B100" s="372"/>
      <c r="C100" s="356"/>
      <c r="D100" s="371"/>
      <c r="E100" s="259">
        <v>2070.9432000000002</v>
      </c>
      <c r="F100" s="259">
        <v>414.18864000000002</v>
      </c>
      <c r="G100" s="268">
        <v>0</v>
      </c>
      <c r="H100" s="268">
        <v>0</v>
      </c>
      <c r="I100" s="268">
        <v>0</v>
      </c>
      <c r="J100" s="268">
        <v>0</v>
      </c>
      <c r="K100" s="268">
        <v>0</v>
      </c>
      <c r="L100" s="268">
        <v>0</v>
      </c>
      <c r="M100" s="259">
        <v>2485.13184</v>
      </c>
      <c r="N100" s="253"/>
      <c r="O100" s="253"/>
    </row>
    <row r="101" spans="1:15" s="260" customFormat="1" ht="13.15" customHeight="1" x14ac:dyDescent="0.2">
      <c r="A101" s="248">
        <v>46</v>
      </c>
      <c r="B101" s="369" t="s">
        <v>814</v>
      </c>
      <c r="C101" s="364" t="s">
        <v>815</v>
      </c>
      <c r="D101" s="357">
        <v>617703</v>
      </c>
      <c r="E101" s="252">
        <v>20940</v>
      </c>
      <c r="F101" s="252">
        <v>20940</v>
      </c>
      <c r="G101" s="252">
        <v>20940</v>
      </c>
      <c r="H101" s="252">
        <v>20940</v>
      </c>
      <c r="I101" s="252">
        <v>20940</v>
      </c>
      <c r="J101" s="252">
        <v>20940</v>
      </c>
      <c r="K101" s="252">
        <v>20940</v>
      </c>
      <c r="L101" s="252">
        <v>450210</v>
      </c>
      <c r="M101" s="252">
        <v>596790</v>
      </c>
      <c r="N101" s="253"/>
      <c r="O101" s="253"/>
    </row>
    <row r="102" spans="1:15" s="260" customFormat="1" ht="13.5" thickBot="1" x14ac:dyDescent="0.25">
      <c r="A102" s="255"/>
      <c r="B102" s="370"/>
      <c r="C102" s="356"/>
      <c r="D102" s="371"/>
      <c r="E102" s="259">
        <v>11386.753199999999</v>
      </c>
      <c r="F102" s="259">
        <v>10987.218000000001</v>
      </c>
      <c r="G102" s="259">
        <v>10587.6828</v>
      </c>
      <c r="H102" s="259">
        <v>10188.1476</v>
      </c>
      <c r="I102" s="259">
        <v>9788.6124</v>
      </c>
      <c r="J102" s="259">
        <v>9389.0771999999997</v>
      </c>
      <c r="K102" s="259">
        <v>8989.5419999999995</v>
      </c>
      <c r="L102" s="259">
        <v>180390.14279999997</v>
      </c>
      <c r="M102" s="259">
        <v>251707.17599999998</v>
      </c>
      <c r="N102" s="253"/>
      <c r="O102" s="253"/>
    </row>
    <row r="103" spans="1:15" s="260" customFormat="1" ht="13.15" customHeight="1" x14ac:dyDescent="0.2">
      <c r="A103" s="248">
        <v>47</v>
      </c>
      <c r="B103" s="369" t="s">
        <v>816</v>
      </c>
      <c r="C103" s="364" t="s">
        <v>817</v>
      </c>
      <c r="D103" s="357">
        <v>145332</v>
      </c>
      <c r="E103" s="252">
        <v>7456</v>
      </c>
      <c r="F103" s="252">
        <v>7456</v>
      </c>
      <c r="G103" s="252">
        <v>7456</v>
      </c>
      <c r="H103" s="252">
        <v>7456</v>
      </c>
      <c r="I103" s="252">
        <v>7456</v>
      </c>
      <c r="J103" s="252">
        <v>7456</v>
      </c>
      <c r="K103" s="252">
        <v>7456</v>
      </c>
      <c r="L103" s="252">
        <v>85744</v>
      </c>
      <c r="M103" s="252">
        <v>137936</v>
      </c>
      <c r="N103" s="253"/>
      <c r="O103" s="253"/>
    </row>
    <row r="104" spans="1:15" s="260" customFormat="1" ht="13.5" thickBot="1" x14ac:dyDescent="0.25">
      <c r="A104" s="255"/>
      <c r="B104" s="370"/>
      <c r="C104" s="356"/>
      <c r="D104" s="371"/>
      <c r="E104" s="259">
        <v>2631.8188799999998</v>
      </c>
      <c r="F104" s="259">
        <v>2489.5583999999999</v>
      </c>
      <c r="G104" s="259">
        <v>2347.29792</v>
      </c>
      <c r="H104" s="259">
        <v>2205.0374400000001</v>
      </c>
      <c r="I104" s="259">
        <v>2062.7769600000001</v>
      </c>
      <c r="J104" s="259">
        <v>1920.51648</v>
      </c>
      <c r="K104" s="259">
        <v>1778.2560000000001</v>
      </c>
      <c r="L104" s="259">
        <v>17995.950720000001</v>
      </c>
      <c r="M104" s="259">
        <v>33431.212800000001</v>
      </c>
      <c r="N104" s="253"/>
      <c r="O104" s="253"/>
    </row>
    <row r="105" spans="1:15" s="260" customFormat="1" ht="13.9" customHeight="1" x14ac:dyDescent="0.2">
      <c r="A105" s="248">
        <v>48</v>
      </c>
      <c r="B105" s="369" t="s">
        <v>818</v>
      </c>
      <c r="C105" s="364" t="s">
        <v>817</v>
      </c>
      <c r="D105" s="357">
        <v>132027</v>
      </c>
      <c r="E105" s="252">
        <v>6772</v>
      </c>
      <c r="F105" s="252">
        <v>6772</v>
      </c>
      <c r="G105" s="252">
        <v>6772</v>
      </c>
      <c r="H105" s="252">
        <v>6772</v>
      </c>
      <c r="I105" s="252">
        <v>6772</v>
      </c>
      <c r="J105" s="252">
        <v>6772</v>
      </c>
      <c r="K105" s="252">
        <v>6772</v>
      </c>
      <c r="L105" s="252">
        <v>77878</v>
      </c>
      <c r="M105" s="252">
        <v>125282</v>
      </c>
      <c r="N105" s="253"/>
      <c r="O105" s="253"/>
    </row>
    <row r="106" spans="1:15" s="260" customFormat="1" ht="13.5" thickBot="1" x14ac:dyDescent="0.25">
      <c r="A106" s="255"/>
      <c r="B106" s="370"/>
      <c r="C106" s="356"/>
      <c r="D106" s="371"/>
      <c r="E106" s="259">
        <v>2390.3805600000001</v>
      </c>
      <c r="F106" s="259">
        <v>2261.1707999999999</v>
      </c>
      <c r="G106" s="259">
        <v>2131.9610400000001</v>
      </c>
      <c r="H106" s="259">
        <v>2002.75128</v>
      </c>
      <c r="I106" s="259">
        <v>1873.54152</v>
      </c>
      <c r="J106" s="259">
        <v>1744.33176</v>
      </c>
      <c r="K106" s="259">
        <v>1615.1220000000001</v>
      </c>
      <c r="L106" s="259">
        <v>16345.034639999998</v>
      </c>
      <c r="M106" s="259">
        <v>30364.293599999997</v>
      </c>
      <c r="N106" s="253"/>
      <c r="O106" s="253"/>
    </row>
    <row r="107" spans="1:15" s="260" customFormat="1" ht="13.15" customHeight="1" x14ac:dyDescent="0.2">
      <c r="A107" s="248">
        <v>49</v>
      </c>
      <c r="B107" s="366" t="s">
        <v>819</v>
      </c>
      <c r="C107" s="364" t="s">
        <v>820</v>
      </c>
      <c r="D107" s="357">
        <v>279650</v>
      </c>
      <c r="E107" s="252">
        <v>9564</v>
      </c>
      <c r="F107" s="252">
        <v>9564</v>
      </c>
      <c r="G107" s="252">
        <v>9564</v>
      </c>
      <c r="H107" s="252">
        <v>9564</v>
      </c>
      <c r="I107" s="252">
        <v>9564</v>
      </c>
      <c r="J107" s="252">
        <v>9564</v>
      </c>
      <c r="K107" s="252">
        <v>9564</v>
      </c>
      <c r="L107" s="252">
        <v>203235</v>
      </c>
      <c r="M107" s="252">
        <v>270183</v>
      </c>
      <c r="N107" s="253"/>
      <c r="O107" s="253"/>
    </row>
    <row r="108" spans="1:15" s="260" customFormat="1" ht="13.5" thickBot="1" x14ac:dyDescent="0.25">
      <c r="A108" s="255"/>
      <c r="B108" s="372"/>
      <c r="C108" s="356"/>
      <c r="D108" s="371"/>
      <c r="E108" s="259">
        <v>5155.0916399999996</v>
      </c>
      <c r="F108" s="259">
        <v>4972.6105200000002</v>
      </c>
      <c r="G108" s="259">
        <v>4790.1293999999998</v>
      </c>
      <c r="H108" s="259">
        <v>4607.6482800000003</v>
      </c>
      <c r="I108" s="259">
        <v>4425.16716</v>
      </c>
      <c r="J108" s="259">
        <v>4242.6860399999996</v>
      </c>
      <c r="K108" s="259">
        <v>4060.2049200000001</v>
      </c>
      <c r="L108" s="259">
        <v>81432.199800000002</v>
      </c>
      <c r="M108" s="259">
        <v>113685.73776</v>
      </c>
      <c r="N108" s="253"/>
      <c r="O108" s="253"/>
    </row>
    <row r="109" spans="1:15" s="260" customFormat="1" ht="13.9" customHeight="1" x14ac:dyDescent="0.2">
      <c r="A109" s="248">
        <v>50</v>
      </c>
      <c r="B109" s="366" t="s">
        <v>821</v>
      </c>
      <c r="C109" s="364" t="s">
        <v>822</v>
      </c>
      <c r="D109" s="357">
        <v>400000</v>
      </c>
      <c r="E109" s="252">
        <v>13676</v>
      </c>
      <c r="F109" s="252">
        <v>13676</v>
      </c>
      <c r="G109" s="252">
        <v>13676</v>
      </c>
      <c r="H109" s="252">
        <v>13676</v>
      </c>
      <c r="I109" s="252">
        <v>13676</v>
      </c>
      <c r="J109" s="252">
        <v>13676</v>
      </c>
      <c r="K109" s="252">
        <v>13676</v>
      </c>
      <c r="L109" s="252">
        <v>290615</v>
      </c>
      <c r="M109" s="252">
        <v>386347</v>
      </c>
      <c r="N109" s="253"/>
      <c r="O109" s="253"/>
    </row>
    <row r="110" spans="1:15" s="260" customFormat="1" ht="13.5" thickBot="1" x14ac:dyDescent="0.25">
      <c r="A110" s="255"/>
      <c r="B110" s="372"/>
      <c r="C110" s="356"/>
      <c r="D110" s="371"/>
      <c r="E110" s="259">
        <v>7371.5007599999999</v>
      </c>
      <c r="F110" s="259">
        <v>7110.56268</v>
      </c>
      <c r="G110" s="259">
        <v>6849.6246000000001</v>
      </c>
      <c r="H110" s="259">
        <v>6588.6865200000002</v>
      </c>
      <c r="I110" s="259">
        <v>6327.7484400000003</v>
      </c>
      <c r="J110" s="259">
        <v>6066.8103599999995</v>
      </c>
      <c r="K110" s="259">
        <v>5805.8722799999996</v>
      </c>
      <c r="L110" s="259">
        <v>116443.6182</v>
      </c>
      <c r="M110" s="259">
        <v>162564.42384</v>
      </c>
      <c r="N110" s="253"/>
      <c r="O110" s="253"/>
    </row>
    <row r="111" spans="1:15" s="260" customFormat="1" ht="12.6" customHeight="1" x14ac:dyDescent="0.2">
      <c r="A111" s="248">
        <v>51</v>
      </c>
      <c r="B111" s="366" t="s">
        <v>823</v>
      </c>
      <c r="C111" s="364" t="s">
        <v>824</v>
      </c>
      <c r="D111" s="357">
        <v>247902</v>
      </c>
      <c r="E111" s="252">
        <v>61974</v>
      </c>
      <c r="F111" s="252">
        <v>61976</v>
      </c>
      <c r="G111" s="252">
        <v>61976</v>
      </c>
      <c r="H111" s="252">
        <v>61976</v>
      </c>
      <c r="I111" s="266">
        <v>0</v>
      </c>
      <c r="J111" s="266">
        <v>0</v>
      </c>
      <c r="K111" s="266">
        <v>0</v>
      </c>
      <c r="L111" s="266">
        <v>0</v>
      </c>
      <c r="M111" s="252">
        <v>247902</v>
      </c>
      <c r="N111" s="253"/>
      <c r="O111" s="253"/>
    </row>
    <row r="112" spans="1:15" s="260" customFormat="1" ht="13.5" thickBot="1" x14ac:dyDescent="0.25">
      <c r="A112" s="255"/>
      <c r="B112" s="372"/>
      <c r="C112" s="373"/>
      <c r="D112" s="371"/>
      <c r="E112" s="259">
        <v>4729.9701599999999</v>
      </c>
      <c r="F112" s="259">
        <v>3547.5062400000002</v>
      </c>
      <c r="G112" s="259">
        <v>2365.00416</v>
      </c>
      <c r="H112" s="259">
        <v>1182.50208</v>
      </c>
      <c r="I112" s="268">
        <v>0</v>
      </c>
      <c r="J112" s="268">
        <v>0</v>
      </c>
      <c r="K112" s="268">
        <v>0</v>
      </c>
      <c r="L112" s="268">
        <v>0</v>
      </c>
      <c r="M112" s="259">
        <v>11824.98264</v>
      </c>
      <c r="N112" s="253"/>
      <c r="O112" s="253"/>
    </row>
    <row r="113" spans="1:15" s="260" customFormat="1" ht="12.6" customHeight="1" x14ac:dyDescent="0.2">
      <c r="A113" s="248">
        <v>52</v>
      </c>
      <c r="B113" s="366" t="s">
        <v>825</v>
      </c>
      <c r="C113" s="364" t="s">
        <v>826</v>
      </c>
      <c r="D113" s="357">
        <v>54624</v>
      </c>
      <c r="E113" s="252">
        <v>8064</v>
      </c>
      <c r="F113" s="252">
        <v>8064</v>
      </c>
      <c r="G113" s="252">
        <v>8064</v>
      </c>
      <c r="H113" s="252">
        <v>8064</v>
      </c>
      <c r="I113" s="252">
        <v>8064</v>
      </c>
      <c r="J113" s="252">
        <v>8064</v>
      </c>
      <c r="K113" s="252">
        <v>2480</v>
      </c>
      <c r="L113" s="266">
        <v>0</v>
      </c>
      <c r="M113" s="252">
        <v>50864</v>
      </c>
      <c r="N113" s="253"/>
      <c r="O113" s="253"/>
    </row>
    <row r="114" spans="1:15" s="260" customFormat="1" ht="13.5" thickBot="1" x14ac:dyDescent="0.25">
      <c r="A114" s="255"/>
      <c r="B114" s="372"/>
      <c r="C114" s="356"/>
      <c r="D114" s="371"/>
      <c r="E114" s="259">
        <v>970.48511999999994</v>
      </c>
      <c r="F114" s="259">
        <v>816.62400000000002</v>
      </c>
      <c r="G114" s="259">
        <v>662.76288</v>
      </c>
      <c r="H114" s="259">
        <v>508.90175999999997</v>
      </c>
      <c r="I114" s="259">
        <v>355.04064</v>
      </c>
      <c r="J114" s="259">
        <v>201.17952</v>
      </c>
      <c r="K114" s="259">
        <v>47.318399999999997</v>
      </c>
      <c r="L114" s="268">
        <v>0</v>
      </c>
      <c r="M114" s="259">
        <v>3562.3123200000005</v>
      </c>
      <c r="N114" s="253"/>
      <c r="O114" s="253"/>
    </row>
    <row r="115" spans="1:15" s="260" customFormat="1" ht="12.6" customHeight="1" x14ac:dyDescent="0.2">
      <c r="A115" s="248">
        <v>53</v>
      </c>
      <c r="B115" s="366" t="s">
        <v>827</v>
      </c>
      <c r="C115" s="364" t="s">
        <v>828</v>
      </c>
      <c r="D115" s="357">
        <v>178121</v>
      </c>
      <c r="E115" s="252">
        <v>84838</v>
      </c>
      <c r="F115" s="252">
        <v>12500</v>
      </c>
      <c r="G115" s="252">
        <v>12500</v>
      </c>
      <c r="H115" s="252">
        <v>12500</v>
      </c>
      <c r="I115" s="252">
        <v>12500</v>
      </c>
      <c r="J115" s="252">
        <v>12500</v>
      </c>
      <c r="K115" s="252">
        <v>12500</v>
      </c>
      <c r="L115" s="266">
        <v>18283</v>
      </c>
      <c r="M115" s="252">
        <v>178121</v>
      </c>
      <c r="N115" s="253"/>
      <c r="O115" s="253"/>
    </row>
    <row r="116" spans="1:15" s="260" customFormat="1" ht="13.5" thickBot="1" x14ac:dyDescent="0.25">
      <c r="A116" s="255"/>
      <c r="B116" s="372"/>
      <c r="C116" s="356"/>
      <c r="D116" s="371"/>
      <c r="E116" s="259">
        <v>3398.5486799999999</v>
      </c>
      <c r="F116" s="259">
        <v>1779.8396399999999</v>
      </c>
      <c r="G116" s="259">
        <v>1541.3396399999999</v>
      </c>
      <c r="H116" s="259">
        <v>1302.8396399999999</v>
      </c>
      <c r="I116" s="259">
        <v>1064.3396399999999</v>
      </c>
      <c r="J116" s="259">
        <v>825.83964000000003</v>
      </c>
      <c r="K116" s="259">
        <v>587.33964000000003</v>
      </c>
      <c r="L116" s="259">
        <v>2441.8774799999997</v>
      </c>
      <c r="M116" s="259">
        <v>12941.964</v>
      </c>
      <c r="N116" s="253"/>
      <c r="O116" s="253"/>
    </row>
    <row r="117" spans="1:15" s="260" customFormat="1" ht="12.6" customHeight="1" x14ac:dyDescent="0.2">
      <c r="A117" s="248">
        <v>54</v>
      </c>
      <c r="B117" s="366" t="s">
        <v>827</v>
      </c>
      <c r="C117" s="364" t="s">
        <v>829</v>
      </c>
      <c r="D117" s="357">
        <v>39831</v>
      </c>
      <c r="E117" s="252">
        <v>39831</v>
      </c>
      <c r="F117" s="252"/>
      <c r="G117" s="252"/>
      <c r="H117" s="252"/>
      <c r="I117" s="252"/>
      <c r="J117" s="252"/>
      <c r="K117" s="252"/>
      <c r="L117" s="266"/>
      <c r="M117" s="252">
        <v>39831</v>
      </c>
      <c r="N117" s="253"/>
      <c r="O117" s="253"/>
    </row>
    <row r="118" spans="1:15" s="260" customFormat="1" ht="13.5" thickBot="1" x14ac:dyDescent="0.25">
      <c r="A118" s="255"/>
      <c r="B118" s="372"/>
      <c r="C118" s="356"/>
      <c r="D118" s="371"/>
      <c r="E118" s="259">
        <v>759.97547999999995</v>
      </c>
      <c r="F118" s="259">
        <v>0</v>
      </c>
      <c r="G118" s="259">
        <v>0</v>
      </c>
      <c r="H118" s="259">
        <v>0</v>
      </c>
      <c r="I118" s="259">
        <v>0</v>
      </c>
      <c r="J118" s="259">
        <v>0</v>
      </c>
      <c r="K118" s="259">
        <v>0</v>
      </c>
      <c r="L118" s="259">
        <v>0</v>
      </c>
      <c r="M118" s="259">
        <v>759.97547999999995</v>
      </c>
      <c r="N118" s="253"/>
      <c r="O118" s="253"/>
    </row>
    <row r="119" spans="1:15" s="260" customFormat="1" ht="12.6" customHeight="1" x14ac:dyDescent="0.2">
      <c r="A119" s="248">
        <v>55</v>
      </c>
      <c r="B119" s="366" t="s">
        <v>830</v>
      </c>
      <c r="C119" s="364" t="s">
        <v>831</v>
      </c>
      <c r="D119" s="357">
        <v>503660</v>
      </c>
      <c r="E119" s="252">
        <v>8788</v>
      </c>
      <c r="F119" s="252">
        <v>35348</v>
      </c>
      <c r="G119" s="252">
        <v>35348</v>
      </c>
      <c r="H119" s="252">
        <v>35348</v>
      </c>
      <c r="I119" s="252">
        <v>35348</v>
      </c>
      <c r="J119" s="252">
        <v>35348</v>
      </c>
      <c r="K119" s="252">
        <v>35348</v>
      </c>
      <c r="L119" s="266">
        <v>282784</v>
      </c>
      <c r="M119" s="252">
        <v>503660</v>
      </c>
      <c r="N119" s="253"/>
      <c r="O119" s="253"/>
    </row>
    <row r="120" spans="1:15" s="260" customFormat="1" ht="13.5" thickBot="1" x14ac:dyDescent="0.25">
      <c r="A120" s="255"/>
      <c r="B120" s="372"/>
      <c r="C120" s="356"/>
      <c r="D120" s="371"/>
      <c r="E120" s="259">
        <v>9609.8328000000001</v>
      </c>
      <c r="F120" s="259">
        <v>9442.1577600000001</v>
      </c>
      <c r="G120" s="259">
        <v>8767.7179199999991</v>
      </c>
      <c r="H120" s="259">
        <v>8093.27808</v>
      </c>
      <c r="I120" s="259">
        <v>7418.83824</v>
      </c>
      <c r="J120" s="259">
        <v>6744.3984</v>
      </c>
      <c r="K120" s="259">
        <v>6069.95856</v>
      </c>
      <c r="L120" s="259">
        <v>37768.63104</v>
      </c>
      <c r="M120" s="259">
        <v>93914.812799999985</v>
      </c>
      <c r="N120" s="253"/>
      <c r="O120" s="253"/>
    </row>
    <row r="121" spans="1:15" s="260" customFormat="1" ht="12.6" customHeight="1" x14ac:dyDescent="0.2">
      <c r="A121" s="248">
        <v>56</v>
      </c>
      <c r="B121" s="366" t="s">
        <v>832</v>
      </c>
      <c r="C121" s="364" t="s">
        <v>833</v>
      </c>
      <c r="D121" s="357">
        <v>300000</v>
      </c>
      <c r="E121" s="252">
        <v>11724</v>
      </c>
      <c r="F121" s="252">
        <v>32436</v>
      </c>
      <c r="G121" s="252">
        <v>32436</v>
      </c>
      <c r="H121" s="252">
        <v>32436</v>
      </c>
      <c r="I121" s="252">
        <v>32436</v>
      </c>
      <c r="J121" s="252">
        <v>32436</v>
      </c>
      <c r="K121" s="252">
        <v>32436</v>
      </c>
      <c r="L121" s="266">
        <v>97308</v>
      </c>
      <c r="M121" s="252">
        <v>303648</v>
      </c>
      <c r="N121" s="253"/>
      <c r="O121" s="253"/>
    </row>
    <row r="122" spans="1:15" s="260" customFormat="1" ht="13.5" thickBot="1" x14ac:dyDescent="0.25">
      <c r="A122" s="255"/>
      <c r="B122" s="372"/>
      <c r="C122" s="356"/>
      <c r="D122" s="371"/>
      <c r="E122" s="259">
        <v>5793.6038399999998</v>
      </c>
      <c r="F122" s="259">
        <v>5569.9099200000001</v>
      </c>
      <c r="G122" s="259">
        <v>4951.0310399999998</v>
      </c>
      <c r="H122" s="259">
        <v>4332.1521599999996</v>
      </c>
      <c r="I122" s="259">
        <v>3713.2732799999999</v>
      </c>
      <c r="J122" s="259">
        <v>3094.3944000000001</v>
      </c>
      <c r="K122" s="259">
        <v>2475.5155199999999</v>
      </c>
      <c r="L122" s="259">
        <v>3713.2732799999999</v>
      </c>
      <c r="M122" s="259">
        <v>33643.153440000002</v>
      </c>
      <c r="N122" s="253"/>
      <c r="O122" s="253"/>
    </row>
    <row r="123" spans="1:15" s="260" customFormat="1" ht="12.6" customHeight="1" x14ac:dyDescent="0.2">
      <c r="A123" s="248">
        <v>57</v>
      </c>
      <c r="B123" s="366" t="s">
        <v>222</v>
      </c>
      <c r="C123" s="364">
        <v>2028</v>
      </c>
      <c r="D123" s="357">
        <v>59922</v>
      </c>
      <c r="E123" s="252"/>
      <c r="F123" s="252">
        <v>11984.4</v>
      </c>
      <c r="G123" s="252">
        <v>11984.4</v>
      </c>
      <c r="H123" s="252">
        <v>11984.4</v>
      </c>
      <c r="I123" s="252">
        <v>11984.4</v>
      </c>
      <c r="J123" s="252">
        <v>11984.4</v>
      </c>
      <c r="K123" s="252"/>
      <c r="L123" s="266"/>
      <c r="M123" s="252">
        <v>59922</v>
      </c>
      <c r="N123" s="253"/>
      <c r="O123" s="253"/>
    </row>
    <row r="124" spans="1:15" s="260" customFormat="1" ht="13.5" thickBot="1" x14ac:dyDescent="0.25">
      <c r="A124" s="255"/>
      <c r="B124" s="372"/>
      <c r="C124" s="373"/>
      <c r="D124" s="371"/>
      <c r="E124" s="259"/>
      <c r="F124" s="259">
        <v>1143.31176</v>
      </c>
      <c r="G124" s="259">
        <v>914.64940799999999</v>
      </c>
      <c r="H124" s="259">
        <v>685.98705599999994</v>
      </c>
      <c r="I124" s="259">
        <v>457.324704</v>
      </c>
      <c r="J124" s="259">
        <v>228.662352</v>
      </c>
      <c r="K124" s="259">
        <v>0</v>
      </c>
      <c r="L124" s="259">
        <v>0</v>
      </c>
      <c r="M124" s="259">
        <v>3429.9352799999997</v>
      </c>
      <c r="N124" s="253"/>
      <c r="O124" s="253"/>
    </row>
    <row r="125" spans="1:15" s="260" customFormat="1" ht="12.6" customHeight="1" x14ac:dyDescent="0.2">
      <c r="A125" s="248">
        <v>58</v>
      </c>
      <c r="B125" s="366" t="s">
        <v>224</v>
      </c>
      <c r="C125" s="364">
        <v>2033</v>
      </c>
      <c r="D125" s="357">
        <v>207089</v>
      </c>
      <c r="E125" s="252"/>
      <c r="F125" s="252">
        <v>20708.900000000001</v>
      </c>
      <c r="G125" s="252">
        <v>20708.900000000001</v>
      </c>
      <c r="H125" s="252">
        <v>20708.900000000001</v>
      </c>
      <c r="I125" s="252">
        <v>20708.900000000001</v>
      </c>
      <c r="J125" s="252">
        <v>20708.900000000001</v>
      </c>
      <c r="K125" s="252">
        <v>20708.900000000001</v>
      </c>
      <c r="L125" s="266">
        <v>82835.600000000006</v>
      </c>
      <c r="M125" s="252">
        <v>207089</v>
      </c>
      <c r="N125" s="253"/>
      <c r="O125" s="253"/>
    </row>
    <row r="126" spans="1:15" s="260" customFormat="1" ht="13.5" thickBot="1" x14ac:dyDescent="0.25">
      <c r="A126" s="255"/>
      <c r="B126" s="372"/>
      <c r="C126" s="373"/>
      <c r="D126" s="371"/>
      <c r="E126" s="259"/>
      <c r="F126" s="259">
        <v>3951.25812</v>
      </c>
      <c r="G126" s="259">
        <v>3556.1323080000002</v>
      </c>
      <c r="H126" s="259">
        <v>3161.006496</v>
      </c>
      <c r="I126" s="259">
        <v>2765.8806840000002</v>
      </c>
      <c r="J126" s="259">
        <v>2370.754872</v>
      </c>
      <c r="K126" s="259">
        <v>1975.62906</v>
      </c>
      <c r="L126" s="259">
        <v>3161.006496</v>
      </c>
      <c r="M126" s="259">
        <v>20941.668036000003</v>
      </c>
      <c r="N126" s="253"/>
      <c r="O126" s="253"/>
    </row>
    <row r="127" spans="1:15" s="260" customFormat="1" ht="18.600000000000001" customHeight="1" x14ac:dyDescent="0.2">
      <c r="A127" s="248">
        <v>59</v>
      </c>
      <c r="B127" s="366" t="s">
        <v>834</v>
      </c>
      <c r="C127" s="364">
        <v>2035</v>
      </c>
      <c r="D127" s="357">
        <v>320141</v>
      </c>
      <c r="E127" s="252"/>
      <c r="F127" s="252">
        <v>26678.416666666668</v>
      </c>
      <c r="G127" s="252">
        <v>26678.416666666668</v>
      </c>
      <c r="H127" s="252">
        <v>26678.416666666668</v>
      </c>
      <c r="I127" s="252">
        <v>26678.416666666668</v>
      </c>
      <c r="J127" s="252">
        <v>26678.416666666668</v>
      </c>
      <c r="K127" s="252">
        <v>26678.416666666668</v>
      </c>
      <c r="L127" s="266">
        <v>160070.5</v>
      </c>
      <c r="M127" s="252">
        <v>320141</v>
      </c>
      <c r="N127" s="253"/>
      <c r="O127" s="253"/>
    </row>
    <row r="128" spans="1:15" s="260" customFormat="1" ht="18.600000000000001" customHeight="1" thickBot="1" x14ac:dyDescent="0.25">
      <c r="A128" s="255"/>
      <c r="B128" s="372"/>
      <c r="C128" s="373"/>
      <c r="D128" s="371"/>
      <c r="E128" s="259"/>
      <c r="F128" s="259">
        <v>6108.2902800000002</v>
      </c>
      <c r="G128" s="259">
        <v>5599.266090000001</v>
      </c>
      <c r="H128" s="259">
        <v>5090.2419</v>
      </c>
      <c r="I128" s="259">
        <v>4581.2177099999999</v>
      </c>
      <c r="J128" s="259">
        <v>4072.1935200000003</v>
      </c>
      <c r="K128" s="259">
        <v>3563.1693299999997</v>
      </c>
      <c r="L128" s="259">
        <v>6108.2902800000002</v>
      </c>
      <c r="M128" s="259">
        <v>35122.669110000003</v>
      </c>
      <c r="N128" s="253"/>
      <c r="O128" s="253"/>
    </row>
    <row r="129" spans="1:15" s="260" customFormat="1" ht="18.600000000000001" customHeight="1" x14ac:dyDescent="0.2">
      <c r="A129" s="248">
        <v>60</v>
      </c>
      <c r="B129" s="366" t="s">
        <v>190</v>
      </c>
      <c r="C129" s="364">
        <v>2024</v>
      </c>
      <c r="D129" s="357">
        <v>37335</v>
      </c>
      <c r="E129" s="252"/>
      <c r="F129" s="252">
        <v>37335</v>
      </c>
      <c r="G129" s="252"/>
      <c r="H129" s="252"/>
      <c r="I129" s="252"/>
      <c r="J129" s="252"/>
      <c r="K129" s="252"/>
      <c r="L129" s="266"/>
      <c r="M129" s="252">
        <v>37335</v>
      </c>
      <c r="N129" s="253"/>
      <c r="O129" s="253"/>
    </row>
    <row r="130" spans="1:15" s="260" customFormat="1" ht="18.600000000000001" customHeight="1" thickBot="1" x14ac:dyDescent="0.25">
      <c r="A130" s="255"/>
      <c r="B130" s="372"/>
      <c r="C130" s="373"/>
      <c r="D130" s="371"/>
      <c r="E130" s="259"/>
      <c r="F130" s="259">
        <v>712.35180000000003</v>
      </c>
      <c r="G130" s="259">
        <v>0</v>
      </c>
      <c r="H130" s="259">
        <v>0</v>
      </c>
      <c r="I130" s="259">
        <v>0</v>
      </c>
      <c r="J130" s="259">
        <v>0</v>
      </c>
      <c r="K130" s="259">
        <v>0</v>
      </c>
      <c r="L130" s="259">
        <v>0</v>
      </c>
      <c r="M130" s="259">
        <v>712.35180000000003</v>
      </c>
      <c r="N130" s="253"/>
      <c r="O130" s="253"/>
    </row>
    <row r="131" spans="1:15" s="260" customFormat="1" ht="14.45" customHeight="1" x14ac:dyDescent="0.2">
      <c r="A131" s="248">
        <v>61</v>
      </c>
      <c r="B131" s="366" t="s">
        <v>301</v>
      </c>
      <c r="C131" s="364">
        <v>2038</v>
      </c>
      <c r="D131" s="357">
        <v>582946</v>
      </c>
      <c r="E131" s="252"/>
      <c r="F131" s="252">
        <v>38863.066666666666</v>
      </c>
      <c r="G131" s="252">
        <v>38863.066666666666</v>
      </c>
      <c r="H131" s="252">
        <v>38863.066666666666</v>
      </c>
      <c r="I131" s="252">
        <v>38863.066666666666</v>
      </c>
      <c r="J131" s="252">
        <v>38863.066666666666</v>
      </c>
      <c r="K131" s="252">
        <v>38863.066666666666</v>
      </c>
      <c r="L131" s="266">
        <v>349767.60000000003</v>
      </c>
      <c r="M131" s="252">
        <v>582946</v>
      </c>
      <c r="N131" s="253"/>
      <c r="O131" s="253"/>
    </row>
    <row r="132" spans="1:15" s="260" customFormat="1" ht="14.45" customHeight="1" thickBot="1" x14ac:dyDescent="0.25">
      <c r="A132" s="255"/>
      <c r="B132" s="372"/>
      <c r="C132" s="373"/>
      <c r="D132" s="371"/>
      <c r="E132" s="259"/>
      <c r="F132" s="259">
        <v>11122.60968</v>
      </c>
      <c r="G132" s="259">
        <v>10381.102368</v>
      </c>
      <c r="H132" s="259">
        <v>9639.5950560000001</v>
      </c>
      <c r="I132" s="259">
        <v>8898.0877440000004</v>
      </c>
      <c r="J132" s="259">
        <v>8156.5804320000007</v>
      </c>
      <c r="K132" s="259">
        <v>7415.07312</v>
      </c>
      <c r="L132" s="259">
        <v>13347.131616000001</v>
      </c>
      <c r="M132" s="259">
        <v>68960.180015999998</v>
      </c>
      <c r="N132" s="253"/>
      <c r="O132" s="253"/>
    </row>
    <row r="133" spans="1:15" s="260" customFormat="1" ht="14.45" customHeight="1" x14ac:dyDescent="0.2">
      <c r="A133" s="248">
        <v>62</v>
      </c>
      <c r="B133" s="366" t="s">
        <v>303</v>
      </c>
      <c r="C133" s="364">
        <v>2035</v>
      </c>
      <c r="D133" s="357">
        <v>390000</v>
      </c>
      <c r="E133" s="252"/>
      <c r="F133" s="252">
        <v>32500</v>
      </c>
      <c r="G133" s="252">
        <v>32500</v>
      </c>
      <c r="H133" s="252">
        <v>32500</v>
      </c>
      <c r="I133" s="252">
        <v>32500</v>
      </c>
      <c r="J133" s="252">
        <v>32500</v>
      </c>
      <c r="K133" s="252">
        <v>32500</v>
      </c>
      <c r="L133" s="266">
        <v>195000</v>
      </c>
      <c r="M133" s="252">
        <v>390000</v>
      </c>
      <c r="N133" s="253"/>
      <c r="O133" s="253"/>
    </row>
    <row r="134" spans="1:15" s="260" customFormat="1" ht="14.45" customHeight="1" thickBot="1" x14ac:dyDescent="0.25">
      <c r="A134" s="255"/>
      <c r="B134" s="372"/>
      <c r="C134" s="373"/>
      <c r="D134" s="371"/>
      <c r="E134" s="259"/>
      <c r="F134" s="259">
        <v>7441.2</v>
      </c>
      <c r="G134" s="259">
        <v>6821.0999999999995</v>
      </c>
      <c r="H134" s="259">
        <v>6201</v>
      </c>
      <c r="I134" s="259">
        <v>5580.9</v>
      </c>
      <c r="J134" s="259">
        <v>4960.8</v>
      </c>
      <c r="K134" s="259">
        <v>4340.7</v>
      </c>
      <c r="L134" s="259">
        <v>7441.2</v>
      </c>
      <c r="M134" s="259">
        <v>42786.899999999994</v>
      </c>
      <c r="N134" s="253"/>
      <c r="O134" s="253"/>
    </row>
    <row r="135" spans="1:15" s="260" customFormat="1" ht="14.45" customHeight="1" x14ac:dyDescent="0.2">
      <c r="A135" s="248">
        <v>63</v>
      </c>
      <c r="B135" s="366" t="s">
        <v>305</v>
      </c>
      <c r="C135" s="364">
        <v>2038</v>
      </c>
      <c r="D135" s="357">
        <v>645000</v>
      </c>
      <c r="E135" s="252"/>
      <c r="F135" s="252">
        <v>43000</v>
      </c>
      <c r="G135" s="252">
        <v>43000</v>
      </c>
      <c r="H135" s="252">
        <v>43000</v>
      </c>
      <c r="I135" s="252">
        <v>43000</v>
      </c>
      <c r="J135" s="252">
        <v>43000</v>
      </c>
      <c r="K135" s="252">
        <v>43000</v>
      </c>
      <c r="L135" s="266">
        <v>387000</v>
      </c>
      <c r="M135" s="252">
        <v>645000</v>
      </c>
      <c r="N135" s="253"/>
      <c r="O135" s="253"/>
    </row>
    <row r="136" spans="1:15" s="260" customFormat="1" ht="14.45" customHeight="1" thickBot="1" x14ac:dyDescent="0.25">
      <c r="A136" s="255"/>
      <c r="B136" s="372"/>
      <c r="C136" s="373"/>
      <c r="D136" s="371"/>
      <c r="E136" s="259"/>
      <c r="F136" s="259">
        <v>12306.6</v>
      </c>
      <c r="G136" s="259">
        <v>11486.16</v>
      </c>
      <c r="H136" s="259">
        <v>10665.72</v>
      </c>
      <c r="I136" s="259">
        <v>9845.2800000000007</v>
      </c>
      <c r="J136" s="259">
        <v>9024.84</v>
      </c>
      <c r="K136" s="259">
        <v>8204.4</v>
      </c>
      <c r="L136" s="259">
        <v>14767.92</v>
      </c>
      <c r="M136" s="259">
        <v>76300.920000000013</v>
      </c>
      <c r="N136" s="253"/>
      <c r="O136" s="253"/>
    </row>
    <row r="137" spans="1:15" s="260" customFormat="1" ht="14.45" customHeight="1" x14ac:dyDescent="0.2">
      <c r="A137" s="248">
        <v>64</v>
      </c>
      <c r="B137" s="366" t="s">
        <v>228</v>
      </c>
      <c r="C137" s="364">
        <v>2028</v>
      </c>
      <c r="D137" s="357">
        <v>164032</v>
      </c>
      <c r="E137" s="252"/>
      <c r="F137" s="252">
        <v>32806.400000000001</v>
      </c>
      <c r="G137" s="252">
        <v>32806.400000000001</v>
      </c>
      <c r="H137" s="252">
        <v>32806.400000000001</v>
      </c>
      <c r="I137" s="252">
        <v>32806.400000000001</v>
      </c>
      <c r="J137" s="252">
        <v>32806.400000000001</v>
      </c>
      <c r="K137" s="252"/>
      <c r="L137" s="266"/>
      <c r="M137" s="252">
        <v>164032</v>
      </c>
      <c r="N137" s="253"/>
      <c r="O137" s="253"/>
    </row>
    <row r="138" spans="1:15" s="260" customFormat="1" ht="14.45" customHeight="1" thickBot="1" x14ac:dyDescent="0.25">
      <c r="A138" s="255"/>
      <c r="B138" s="372"/>
      <c r="C138" s="373"/>
      <c r="D138" s="371"/>
      <c r="E138" s="259"/>
      <c r="F138" s="259">
        <v>3129.73056</v>
      </c>
      <c r="G138" s="259">
        <v>2503.7844479999999</v>
      </c>
      <c r="H138" s="259">
        <v>1877.8383360000003</v>
      </c>
      <c r="I138" s="259">
        <v>1251.8922239999999</v>
      </c>
      <c r="J138" s="259">
        <v>625.94611199999997</v>
      </c>
      <c r="K138" s="259">
        <v>0</v>
      </c>
      <c r="L138" s="259">
        <v>0</v>
      </c>
      <c r="M138" s="259">
        <v>9389.1916799999999</v>
      </c>
      <c r="N138" s="253"/>
      <c r="O138" s="253"/>
    </row>
    <row r="139" spans="1:15" s="260" customFormat="1" ht="14.45" customHeight="1" x14ac:dyDescent="0.2">
      <c r="A139" s="248">
        <v>65</v>
      </c>
      <c r="B139" s="366" t="s">
        <v>230</v>
      </c>
      <c r="C139" s="364">
        <v>2038</v>
      </c>
      <c r="D139" s="357">
        <v>907235</v>
      </c>
      <c r="E139" s="252"/>
      <c r="F139" s="252">
        <v>60482.333333333336</v>
      </c>
      <c r="G139" s="252">
        <v>60482.333333333336</v>
      </c>
      <c r="H139" s="252">
        <v>60482.333333333336</v>
      </c>
      <c r="I139" s="252">
        <v>60482.333333333336</v>
      </c>
      <c r="J139" s="252">
        <v>60482.333333333336</v>
      </c>
      <c r="K139" s="252">
        <v>60482.333333333336</v>
      </c>
      <c r="L139" s="266">
        <v>544341</v>
      </c>
      <c r="M139" s="252">
        <v>907235</v>
      </c>
      <c r="N139" s="253"/>
      <c r="O139" s="253"/>
    </row>
    <row r="140" spans="1:15" s="260" customFormat="1" ht="14.45" customHeight="1" thickBot="1" x14ac:dyDescent="0.25">
      <c r="A140" s="255"/>
      <c r="B140" s="372"/>
      <c r="C140" s="373"/>
      <c r="D140" s="371"/>
      <c r="E140" s="259"/>
      <c r="F140" s="259">
        <v>17310.043799999999</v>
      </c>
      <c r="G140" s="259">
        <v>16156.04088</v>
      </c>
      <c r="H140" s="259">
        <v>15002.03796</v>
      </c>
      <c r="I140" s="259">
        <v>13848.035040000001</v>
      </c>
      <c r="J140" s="259">
        <v>12694.03212</v>
      </c>
      <c r="K140" s="259">
        <v>11540.029200000001</v>
      </c>
      <c r="L140" s="259">
        <v>20772.05256</v>
      </c>
      <c r="M140" s="259">
        <v>107322.27156000001</v>
      </c>
      <c r="N140" s="253"/>
      <c r="O140" s="253"/>
    </row>
    <row r="141" spans="1:15" s="260" customFormat="1" ht="14.45" customHeight="1" x14ac:dyDescent="0.2">
      <c r="A141" s="248">
        <v>66</v>
      </c>
      <c r="B141" s="366" t="s">
        <v>309</v>
      </c>
      <c r="C141" s="364">
        <v>2038</v>
      </c>
      <c r="D141" s="357">
        <v>203000</v>
      </c>
      <c r="E141" s="252"/>
      <c r="F141" s="252">
        <v>13533.333333333334</v>
      </c>
      <c r="G141" s="252">
        <v>13533.333333333334</v>
      </c>
      <c r="H141" s="252">
        <v>13533.333333333334</v>
      </c>
      <c r="I141" s="252">
        <v>13533.333333333334</v>
      </c>
      <c r="J141" s="252">
        <v>13533.333333333334</v>
      </c>
      <c r="K141" s="252">
        <v>13533.333333333334</v>
      </c>
      <c r="L141" s="266">
        <v>121800</v>
      </c>
      <c r="M141" s="252">
        <v>203000</v>
      </c>
      <c r="N141" s="253"/>
      <c r="O141" s="253"/>
    </row>
    <row r="142" spans="1:15" s="260" customFormat="1" ht="14.45" customHeight="1" thickBot="1" x14ac:dyDescent="0.25">
      <c r="A142" s="255"/>
      <c r="B142" s="372"/>
      <c r="C142" s="373"/>
      <c r="D142" s="371"/>
      <c r="E142" s="259"/>
      <c r="F142" s="259">
        <v>3873.24</v>
      </c>
      <c r="G142" s="259">
        <v>3615.0240000000003</v>
      </c>
      <c r="H142" s="259">
        <v>3356.808</v>
      </c>
      <c r="I142" s="259">
        <v>3098.5920000000001</v>
      </c>
      <c r="J142" s="259">
        <v>2840.3759999999997</v>
      </c>
      <c r="K142" s="259">
        <v>2582.1600000000003</v>
      </c>
      <c r="L142" s="259">
        <v>4647.8879999999999</v>
      </c>
      <c r="M142" s="259">
        <v>24014.088</v>
      </c>
      <c r="N142" s="253"/>
      <c r="O142" s="253"/>
    </row>
    <row r="143" spans="1:15" s="260" customFormat="1" ht="14.45" customHeight="1" x14ac:dyDescent="0.2">
      <c r="A143" s="248">
        <v>67</v>
      </c>
      <c r="B143" s="366" t="s">
        <v>311</v>
      </c>
      <c r="C143" s="364">
        <v>2030</v>
      </c>
      <c r="D143" s="357">
        <v>126000</v>
      </c>
      <c r="E143" s="252"/>
      <c r="F143" s="252">
        <v>18000</v>
      </c>
      <c r="G143" s="252">
        <v>18000</v>
      </c>
      <c r="H143" s="252">
        <v>18000</v>
      </c>
      <c r="I143" s="252">
        <v>18000</v>
      </c>
      <c r="J143" s="252">
        <v>18000</v>
      </c>
      <c r="K143" s="252">
        <v>18000</v>
      </c>
      <c r="L143" s="266">
        <v>18000</v>
      </c>
      <c r="M143" s="252">
        <v>126000</v>
      </c>
      <c r="N143" s="253"/>
      <c r="O143" s="253"/>
    </row>
    <row r="144" spans="1:15" s="260" customFormat="1" ht="14.45" customHeight="1" thickBot="1" x14ac:dyDescent="0.25">
      <c r="A144" s="255"/>
      <c r="B144" s="372"/>
      <c r="C144" s="373"/>
      <c r="D144" s="371"/>
      <c r="E144" s="259"/>
      <c r="F144" s="259">
        <v>2404.08</v>
      </c>
      <c r="G144" s="259">
        <v>2060.64</v>
      </c>
      <c r="H144" s="259">
        <v>1717.2</v>
      </c>
      <c r="I144" s="259">
        <v>1373.76</v>
      </c>
      <c r="J144" s="259">
        <v>1030.32</v>
      </c>
      <c r="K144" s="259">
        <v>686.88</v>
      </c>
      <c r="L144" s="259">
        <v>686.88</v>
      </c>
      <c r="M144" s="259">
        <v>9959.7599999999984</v>
      </c>
      <c r="N144" s="253"/>
      <c r="O144" s="253"/>
    </row>
    <row r="145" spans="1:15" s="260" customFormat="1" ht="14.45" customHeight="1" x14ac:dyDescent="0.2">
      <c r="A145" s="248">
        <v>68</v>
      </c>
      <c r="B145" s="366" t="s">
        <v>695</v>
      </c>
      <c r="C145" s="364">
        <v>2030</v>
      </c>
      <c r="D145" s="357">
        <v>126000</v>
      </c>
      <c r="E145" s="252"/>
      <c r="F145" s="252">
        <v>18000</v>
      </c>
      <c r="G145" s="252">
        <v>18000</v>
      </c>
      <c r="H145" s="252">
        <v>18000</v>
      </c>
      <c r="I145" s="252">
        <v>18000</v>
      </c>
      <c r="J145" s="252">
        <v>18000</v>
      </c>
      <c r="K145" s="252">
        <v>18000</v>
      </c>
      <c r="L145" s="266">
        <v>18000</v>
      </c>
      <c r="M145" s="252">
        <v>126000</v>
      </c>
      <c r="N145" s="253"/>
      <c r="O145" s="253"/>
    </row>
    <row r="146" spans="1:15" s="260" customFormat="1" ht="14.45" customHeight="1" thickBot="1" x14ac:dyDescent="0.25">
      <c r="A146" s="255"/>
      <c r="B146" s="372"/>
      <c r="C146" s="373"/>
      <c r="D146" s="371"/>
      <c r="E146" s="259"/>
      <c r="F146" s="259">
        <v>2404.08</v>
      </c>
      <c r="G146" s="259">
        <v>2060.64</v>
      </c>
      <c r="H146" s="259">
        <v>1717.2</v>
      </c>
      <c r="I146" s="259">
        <v>1373.76</v>
      </c>
      <c r="J146" s="259">
        <v>1030.32</v>
      </c>
      <c r="K146" s="259">
        <v>686.88</v>
      </c>
      <c r="L146" s="259">
        <v>686.88</v>
      </c>
      <c r="M146" s="259">
        <v>9959.7599999999984</v>
      </c>
      <c r="N146" s="253"/>
      <c r="O146" s="253"/>
    </row>
    <row r="147" spans="1:15" x14ac:dyDescent="0.2">
      <c r="D147" s="288"/>
      <c r="E147" s="289"/>
      <c r="F147" s="289"/>
      <c r="G147" s="289"/>
      <c r="H147" s="289"/>
      <c r="I147" s="289"/>
      <c r="J147" s="289"/>
      <c r="K147" s="289"/>
      <c r="L147" s="289"/>
      <c r="M147" s="289"/>
      <c r="O147" s="253"/>
    </row>
    <row r="148" spans="1:15" s="260" customFormat="1" ht="14.25" thickBot="1" x14ac:dyDescent="0.3">
      <c r="A148" s="239" t="s">
        <v>835</v>
      </c>
      <c r="B148" s="290"/>
      <c r="C148" s="291"/>
      <c r="D148" s="292"/>
      <c r="E148" s="293"/>
      <c r="F148" s="293"/>
      <c r="G148" s="293"/>
      <c r="H148" s="293"/>
      <c r="I148" s="293"/>
      <c r="J148" s="293"/>
      <c r="K148" s="293"/>
      <c r="L148" s="293"/>
      <c r="M148" s="294"/>
      <c r="N148" s="295"/>
      <c r="O148" s="253"/>
    </row>
    <row r="149" spans="1:15" s="247" customFormat="1" ht="52.5" customHeight="1" thickBot="1" x14ac:dyDescent="0.25">
      <c r="A149" s="351" t="s">
        <v>836</v>
      </c>
      <c r="B149" s="352"/>
      <c r="C149" s="242" t="s">
        <v>700</v>
      </c>
      <c r="D149" s="243" t="s">
        <v>701</v>
      </c>
      <c r="E149" s="244" t="s">
        <v>702</v>
      </c>
      <c r="F149" s="244" t="s">
        <v>703</v>
      </c>
      <c r="G149" s="244" t="s">
        <v>704</v>
      </c>
      <c r="H149" s="244" t="s">
        <v>705</v>
      </c>
      <c r="I149" s="244" t="s">
        <v>706</v>
      </c>
      <c r="J149" s="244" t="s">
        <v>707</v>
      </c>
      <c r="K149" s="244" t="s">
        <v>708</v>
      </c>
      <c r="L149" s="244" t="s">
        <v>709</v>
      </c>
      <c r="M149" s="244" t="s">
        <v>710</v>
      </c>
      <c r="N149" s="245"/>
      <c r="O149" s="253"/>
    </row>
    <row r="150" spans="1:15" s="260" customFormat="1" ht="9" customHeight="1" thickBot="1" x14ac:dyDescent="0.25">
      <c r="A150" s="296"/>
      <c r="B150" s="297"/>
      <c r="C150" s="298"/>
      <c r="D150" s="299"/>
      <c r="E150" s="300"/>
      <c r="F150" s="300"/>
      <c r="G150" s="300"/>
      <c r="H150" s="300"/>
      <c r="I150" s="300"/>
      <c r="J150" s="300"/>
      <c r="K150" s="300"/>
      <c r="L150" s="300"/>
      <c r="M150" s="300"/>
      <c r="N150" s="295"/>
      <c r="O150" s="253"/>
    </row>
    <row r="151" spans="1:15" s="254" customFormat="1" x14ac:dyDescent="0.2">
      <c r="A151" s="301">
        <v>1</v>
      </c>
      <c r="B151" s="302" t="s">
        <v>837</v>
      </c>
      <c r="C151" s="263" t="s">
        <v>838</v>
      </c>
      <c r="D151" s="303">
        <v>129553</v>
      </c>
      <c r="E151" s="264">
        <v>8936</v>
      </c>
      <c r="F151" s="264">
        <v>8936</v>
      </c>
      <c r="G151" s="264">
        <v>8936</v>
      </c>
      <c r="H151" s="264">
        <v>8936</v>
      </c>
      <c r="I151" s="264">
        <v>8936</v>
      </c>
      <c r="J151" s="264">
        <v>8936</v>
      </c>
      <c r="K151" s="264">
        <v>8936</v>
      </c>
      <c r="L151" s="264">
        <v>29042</v>
      </c>
      <c r="M151" s="264">
        <v>91594</v>
      </c>
      <c r="N151" s="290"/>
      <c r="O151" s="253"/>
    </row>
    <row r="152" spans="1:15" s="260" customFormat="1" ht="11.45" customHeight="1" thickBot="1" x14ac:dyDescent="0.25">
      <c r="A152" s="255"/>
      <c r="B152" s="304"/>
      <c r="C152" s="257"/>
      <c r="D152" s="305"/>
      <c r="E152" s="306">
        <v>1840.12346</v>
      </c>
      <c r="F152" s="306">
        <v>1660.5992200000001</v>
      </c>
      <c r="G152" s="306">
        <v>1481.0749800000001</v>
      </c>
      <c r="H152" s="306">
        <v>1301.5507399999999</v>
      </c>
      <c r="I152" s="306">
        <v>1122.0264999999999</v>
      </c>
      <c r="J152" s="306">
        <v>942.50225999999998</v>
      </c>
      <c r="K152" s="306">
        <v>762.97802000000001</v>
      </c>
      <c r="L152" s="306">
        <v>1750.3613400000002</v>
      </c>
      <c r="M152" s="306">
        <v>10861.21652</v>
      </c>
      <c r="N152" s="295"/>
      <c r="O152" s="253"/>
    </row>
    <row r="153" spans="1:15" s="254" customFormat="1" x14ac:dyDescent="0.2">
      <c r="A153" s="261">
        <v>2</v>
      </c>
      <c r="B153" s="302" t="s">
        <v>839</v>
      </c>
      <c r="C153" s="263" t="s">
        <v>840</v>
      </c>
      <c r="D153" s="303">
        <v>44681</v>
      </c>
      <c r="E153" s="264">
        <v>5976</v>
      </c>
      <c r="F153" s="264">
        <v>5976</v>
      </c>
      <c r="G153" s="271">
        <v>446.95</v>
      </c>
      <c r="H153" s="307">
        <v>0</v>
      </c>
      <c r="I153" s="307">
        <v>0</v>
      </c>
      <c r="J153" s="307">
        <v>0</v>
      </c>
      <c r="K153" s="307">
        <v>0</v>
      </c>
      <c r="L153" s="307">
        <v>0</v>
      </c>
      <c r="M153" s="307">
        <v>12398.95</v>
      </c>
      <c r="N153" s="290"/>
      <c r="O153" s="253"/>
    </row>
    <row r="154" spans="1:15" s="260" customFormat="1" ht="13.5" thickBot="1" x14ac:dyDescent="0.25">
      <c r="A154" s="255"/>
      <c r="B154" s="304" t="s">
        <v>841</v>
      </c>
      <c r="C154" s="257"/>
      <c r="D154" s="305"/>
      <c r="E154" s="306"/>
      <c r="F154" s="306"/>
      <c r="G154" s="306"/>
      <c r="H154" s="306"/>
      <c r="I154" s="306"/>
      <c r="J154" s="306"/>
      <c r="K154" s="306"/>
      <c r="L154" s="306"/>
      <c r="M154" s="306">
        <v>0</v>
      </c>
      <c r="N154" s="295"/>
      <c r="O154" s="253"/>
    </row>
    <row r="155" spans="1:15" s="254" customFormat="1" x14ac:dyDescent="0.2">
      <c r="A155" s="261">
        <v>3</v>
      </c>
      <c r="B155" s="302" t="s">
        <v>842</v>
      </c>
      <c r="C155" s="263" t="s">
        <v>843</v>
      </c>
      <c r="D155" s="303">
        <v>82111</v>
      </c>
      <c r="E155" s="264">
        <v>15204.36</v>
      </c>
      <c r="F155" s="264">
        <v>15204.36</v>
      </c>
      <c r="G155" s="271">
        <v>13937.16</v>
      </c>
      <c r="H155" s="307">
        <v>0</v>
      </c>
      <c r="I155" s="307">
        <v>0</v>
      </c>
      <c r="J155" s="307">
        <v>0</v>
      </c>
      <c r="K155" s="307">
        <v>0</v>
      </c>
      <c r="L155" s="307">
        <v>0</v>
      </c>
      <c r="M155" s="307">
        <v>44345.880000000005</v>
      </c>
      <c r="N155" s="290"/>
      <c r="O155" s="253"/>
    </row>
    <row r="156" spans="1:15" s="260" customFormat="1" ht="13.5" thickBot="1" x14ac:dyDescent="0.25">
      <c r="A156" s="255"/>
      <c r="B156" s="304"/>
      <c r="C156" s="257"/>
      <c r="D156" s="305"/>
      <c r="E156" s="306"/>
      <c r="F156" s="306"/>
      <c r="G156" s="306"/>
      <c r="H156" s="306"/>
      <c r="I156" s="306"/>
      <c r="J156" s="306"/>
      <c r="K156" s="306"/>
      <c r="L156" s="306"/>
      <c r="M156" s="306">
        <v>0</v>
      </c>
      <c r="N156" s="295"/>
      <c r="O156" s="253"/>
    </row>
    <row r="157" spans="1:15" s="254" customFormat="1" x14ac:dyDescent="0.2">
      <c r="A157" s="261">
        <v>4</v>
      </c>
      <c r="B157" s="302" t="s">
        <v>844</v>
      </c>
      <c r="C157" s="263" t="s">
        <v>845</v>
      </c>
      <c r="D157" s="303">
        <v>33649.81</v>
      </c>
      <c r="E157" s="264">
        <v>8424</v>
      </c>
      <c r="F157" s="264">
        <v>8424</v>
      </c>
      <c r="G157" s="264">
        <v>2808</v>
      </c>
      <c r="H157" s="264">
        <v>0</v>
      </c>
      <c r="I157" s="264">
        <v>0</v>
      </c>
      <c r="J157" s="264">
        <v>0</v>
      </c>
      <c r="K157" s="264">
        <v>0</v>
      </c>
      <c r="L157" s="264">
        <v>0</v>
      </c>
      <c r="M157" s="264">
        <v>19656</v>
      </c>
      <c r="N157" s="308"/>
      <c r="O157" s="253"/>
    </row>
    <row r="158" spans="1:15" s="260" customFormat="1" ht="13.5" thickBot="1" x14ac:dyDescent="0.25">
      <c r="A158" s="255"/>
      <c r="B158" s="304"/>
      <c r="C158" s="257"/>
      <c r="D158" s="305"/>
      <c r="E158" s="306"/>
      <c r="F158" s="306"/>
      <c r="G158" s="306"/>
      <c r="H158" s="306"/>
      <c r="I158" s="306"/>
      <c r="J158" s="306"/>
      <c r="K158" s="306"/>
      <c r="L158" s="306"/>
      <c r="M158" s="306">
        <v>0</v>
      </c>
      <c r="N158" s="295"/>
      <c r="O158" s="253"/>
    </row>
    <row r="159" spans="1:15" s="254" customFormat="1" x14ac:dyDescent="0.2">
      <c r="A159" s="261">
        <v>5</v>
      </c>
      <c r="B159" s="302" t="s">
        <v>837</v>
      </c>
      <c r="C159" s="263" t="s">
        <v>846</v>
      </c>
      <c r="D159" s="303">
        <v>2209678</v>
      </c>
      <c r="E159" s="264">
        <v>0</v>
      </c>
      <c r="F159" s="264"/>
      <c r="G159" s="264">
        <v>67990</v>
      </c>
      <c r="H159" s="264">
        <v>81588</v>
      </c>
      <c r="I159" s="264">
        <v>81588</v>
      </c>
      <c r="J159" s="264">
        <v>81588</v>
      </c>
      <c r="K159" s="264">
        <v>81588</v>
      </c>
      <c r="L159" s="264">
        <v>1896924</v>
      </c>
      <c r="M159" s="264">
        <v>2291266</v>
      </c>
      <c r="N159" s="290"/>
      <c r="O159" s="253"/>
    </row>
    <row r="160" spans="1:15" s="260" customFormat="1" ht="13.5" thickBot="1" x14ac:dyDescent="0.25">
      <c r="A160" s="255"/>
      <c r="B160" s="304"/>
      <c r="C160" s="257"/>
      <c r="D160" s="305"/>
      <c r="E160" s="306">
        <v>46207.281279999996</v>
      </c>
      <c r="F160" s="306">
        <v>68921.281279999996</v>
      </c>
      <c r="G160" s="306">
        <v>68921.281279999996</v>
      </c>
      <c r="H160" s="306">
        <v>66876.142080000005</v>
      </c>
      <c r="I160" s="306">
        <v>64421.975039999998</v>
      </c>
      <c r="J160" s="306">
        <v>61967.807999999997</v>
      </c>
      <c r="K160" s="306">
        <v>59513.640959999997</v>
      </c>
      <c r="L160" s="306">
        <v>1198248.9523199999</v>
      </c>
      <c r="M160" s="306">
        <v>1635078.3622399999</v>
      </c>
      <c r="N160" s="309"/>
      <c r="O160" s="253"/>
    </row>
    <row r="161" spans="1:15" s="254" customFormat="1" x14ac:dyDescent="0.2">
      <c r="A161" s="261">
        <v>6</v>
      </c>
      <c r="B161" s="302" t="s">
        <v>847</v>
      </c>
      <c r="C161" s="263">
        <v>46904</v>
      </c>
      <c r="D161" s="303">
        <v>134432.07999999999</v>
      </c>
      <c r="E161" s="264">
        <v>27121</v>
      </c>
      <c r="F161" s="264">
        <v>24300</v>
      </c>
      <c r="G161" s="264">
        <v>24300</v>
      </c>
      <c r="H161" s="264">
        <v>24300</v>
      </c>
      <c r="I161" s="264">
        <v>24300</v>
      </c>
      <c r="J161" s="264">
        <v>10125</v>
      </c>
      <c r="K161" s="264"/>
      <c r="L161" s="264"/>
      <c r="M161" s="264">
        <v>134446</v>
      </c>
      <c r="N161" s="290"/>
      <c r="O161" s="253"/>
    </row>
    <row r="162" spans="1:15" s="260" customFormat="1" ht="13.5" thickBot="1" x14ac:dyDescent="0.25">
      <c r="A162" s="255"/>
      <c r="B162" s="304"/>
      <c r="C162" s="257"/>
      <c r="D162" s="305"/>
      <c r="E162" s="306"/>
      <c r="F162" s="306"/>
      <c r="G162" s="306"/>
      <c r="H162" s="306"/>
      <c r="I162" s="306"/>
      <c r="J162" s="306"/>
      <c r="K162" s="306"/>
      <c r="L162" s="306"/>
      <c r="M162" s="306">
        <v>0</v>
      </c>
      <c r="N162" s="309"/>
      <c r="O162" s="253"/>
    </row>
    <row r="163" spans="1:15" s="260" customFormat="1" x14ac:dyDescent="0.2">
      <c r="A163" s="310"/>
      <c r="B163" s="295"/>
      <c r="C163" s="311"/>
      <c r="D163" s="312"/>
      <c r="E163" s="294">
        <v>113708.76474</v>
      </c>
      <c r="F163" s="294">
        <v>133422.24050000001</v>
      </c>
      <c r="G163" s="294">
        <v>188820.46625999999</v>
      </c>
      <c r="H163" s="294">
        <v>183001.69282</v>
      </c>
      <c r="I163" s="294">
        <v>180368.00154</v>
      </c>
      <c r="J163" s="294">
        <v>163559.31026</v>
      </c>
      <c r="K163" s="294">
        <v>150800.61898</v>
      </c>
      <c r="L163" s="294">
        <v>3125965.31366</v>
      </c>
      <c r="M163" s="294">
        <v>4239646.40876</v>
      </c>
      <c r="N163" s="295"/>
      <c r="O163" s="290"/>
    </row>
    <row r="164" spans="1:15" s="254" customFormat="1" ht="13.5" thickBot="1" x14ac:dyDescent="0.25">
      <c r="A164" s="310"/>
      <c r="B164" s="290"/>
      <c r="C164" s="290"/>
      <c r="D164" s="313"/>
      <c r="E164" s="295"/>
      <c r="F164" s="295"/>
      <c r="G164" s="295"/>
      <c r="H164" s="295"/>
      <c r="I164" s="295"/>
      <c r="J164" s="295"/>
      <c r="K164" s="314"/>
      <c r="L164" s="314"/>
      <c r="M164" s="314"/>
      <c r="N164" s="290"/>
      <c r="O164" s="290"/>
    </row>
    <row r="165" spans="1:15" s="254" customFormat="1" ht="13.5" thickBot="1" x14ac:dyDescent="0.25">
      <c r="A165" s="315"/>
      <c r="B165" s="316" t="s">
        <v>848</v>
      </c>
      <c r="C165" s="317" t="s">
        <v>849</v>
      </c>
      <c r="D165" s="318"/>
      <c r="E165" s="319">
        <v>4762468.2406902937</v>
      </c>
      <c r="F165" s="319">
        <v>4927229.0653276872</v>
      </c>
      <c r="G165" s="319">
        <v>4800279.0819040779</v>
      </c>
      <c r="H165" s="319">
        <v>4675570.2550907694</v>
      </c>
      <c r="I165" s="319">
        <v>4460791.6794371596</v>
      </c>
      <c r="J165" s="319">
        <v>4321527.7830635533</v>
      </c>
      <c r="K165" s="319">
        <v>4134604.6815399439</v>
      </c>
      <c r="L165" s="319">
        <v>45512569.387418449</v>
      </c>
      <c r="M165" s="319">
        <v>77595040.17447193</v>
      </c>
      <c r="N165" s="290"/>
      <c r="O165" s="290"/>
    </row>
    <row r="166" spans="1:15" s="237" customFormat="1" ht="24" x14ac:dyDescent="0.2">
      <c r="A166" s="233"/>
      <c r="B166" s="320" t="s">
        <v>850</v>
      </c>
      <c r="E166" s="321">
        <v>0.14775331223842389</v>
      </c>
      <c r="F166" s="321">
        <v>0.15286493846604163</v>
      </c>
      <c r="G166" s="321">
        <v>0.14892637560504657</v>
      </c>
      <c r="H166" s="321">
        <v>0.14505734356203948</v>
      </c>
      <c r="I166" s="321">
        <v>0.1383939403965263</v>
      </c>
      <c r="J166" s="321">
        <v>0.13407334424249367</v>
      </c>
      <c r="K166" s="321">
        <v>0.12827414391439043</v>
      </c>
      <c r="L166" s="322"/>
      <c r="M166" s="323"/>
    </row>
    <row r="167" spans="1:15" x14ac:dyDescent="0.2">
      <c r="D167" s="288"/>
      <c r="E167" s="289"/>
    </row>
    <row r="168" spans="1:15" x14ac:dyDescent="0.2">
      <c r="C168" s="324" t="s">
        <v>851</v>
      </c>
      <c r="D168" s="325"/>
      <c r="E168" s="326"/>
      <c r="F168" s="326"/>
      <c r="G168" s="326"/>
      <c r="H168" s="326"/>
      <c r="I168" s="235"/>
      <c r="J168" s="235"/>
      <c r="K168" s="235"/>
      <c r="L168" s="235"/>
      <c r="M168" s="235"/>
    </row>
    <row r="169" spans="1:15" x14ac:dyDescent="0.2">
      <c r="C169" s="324" t="s">
        <v>852</v>
      </c>
      <c r="D169" s="327">
        <v>32232565</v>
      </c>
      <c r="E169" s="235"/>
      <c r="F169" s="235"/>
      <c r="G169" s="235"/>
      <c r="H169" s="235"/>
      <c r="I169" s="235"/>
      <c r="J169" s="235"/>
      <c r="K169" s="235"/>
      <c r="L169" s="235"/>
      <c r="M169" s="235"/>
    </row>
    <row r="170" spans="1:15" x14ac:dyDescent="0.2">
      <c r="C170" s="324"/>
      <c r="D170" s="328"/>
      <c r="E170" s="329"/>
      <c r="F170" s="329"/>
      <c r="G170" s="329"/>
      <c r="H170" s="329"/>
      <c r="I170" s="329"/>
      <c r="J170" s="329"/>
      <c r="K170" s="329"/>
      <c r="L170" s="329"/>
      <c r="M170" s="329"/>
    </row>
    <row r="171" spans="1:15" ht="27.75" customHeight="1" thickBot="1" x14ac:dyDescent="0.25">
      <c r="D171" s="330"/>
      <c r="E171" s="331" t="s">
        <v>853</v>
      </c>
      <c r="F171" s="332" t="s">
        <v>854</v>
      </c>
      <c r="G171" s="332" t="s">
        <v>855</v>
      </c>
      <c r="H171" s="332" t="s">
        <v>856</v>
      </c>
      <c r="I171" s="332" t="s">
        <v>857</v>
      </c>
      <c r="J171" s="332" t="s">
        <v>858</v>
      </c>
      <c r="K171" s="332" t="s">
        <v>859</v>
      </c>
      <c r="L171" s="332" t="s">
        <v>709</v>
      </c>
      <c r="M171" s="331" t="s">
        <v>710</v>
      </c>
    </row>
    <row r="172" spans="1:15" x14ac:dyDescent="0.2">
      <c r="D172" s="333"/>
      <c r="E172" s="334">
        <v>3601890.1379218102</v>
      </c>
      <c r="F172" s="334">
        <v>3727403.6879218104</v>
      </c>
      <c r="G172" s="334">
        <v>3618181.0179218105</v>
      </c>
      <c r="H172" s="334">
        <v>3570323.6879218104</v>
      </c>
      <c r="I172" s="334">
        <v>3428275.6879218104</v>
      </c>
      <c r="J172" s="334">
        <v>3373160.6879218104</v>
      </c>
      <c r="K172" s="334">
        <v>3265240.8879218106</v>
      </c>
      <c r="L172" s="334">
        <v>32814309.418703709</v>
      </c>
      <c r="M172" s="334">
        <v>57398785.214156374</v>
      </c>
    </row>
    <row r="173" spans="1:15" x14ac:dyDescent="0.2">
      <c r="B173" s="335"/>
      <c r="D173" s="333"/>
      <c r="E173" s="334">
        <v>1046869.3380284833</v>
      </c>
      <c r="F173" s="334">
        <v>1045999.0569058752</v>
      </c>
      <c r="G173" s="334">
        <v>973216.95772226725</v>
      </c>
      <c r="H173" s="334">
        <v>902527.67434895888</v>
      </c>
      <c r="I173" s="334">
        <v>832774.22997535078</v>
      </c>
      <c r="J173" s="334">
        <v>765777.46488174237</v>
      </c>
      <c r="K173" s="334">
        <v>699876.29463813466</v>
      </c>
      <c r="L173" s="334">
        <v>9553607.7750547379</v>
      </c>
      <c r="M173" s="334">
        <v>15820648.791555554</v>
      </c>
    </row>
    <row r="174" spans="1:15" ht="13.5" customHeight="1" thickBot="1" x14ac:dyDescent="0.25">
      <c r="D174" s="336"/>
      <c r="E174" s="337">
        <v>113708.76474</v>
      </c>
      <c r="F174" s="337">
        <v>133422.24050000001</v>
      </c>
      <c r="G174" s="337">
        <v>188820.46625999999</v>
      </c>
      <c r="H174" s="337">
        <v>183001.69282</v>
      </c>
      <c r="I174" s="337">
        <v>180368.00154</v>
      </c>
      <c r="J174" s="337">
        <v>163559.31026</v>
      </c>
      <c r="K174" s="337">
        <v>150800.61898</v>
      </c>
      <c r="L174" s="337">
        <v>3125965.31366</v>
      </c>
      <c r="M174" s="337">
        <v>4239646.40876</v>
      </c>
    </row>
    <row r="175" spans="1:15" x14ac:dyDescent="0.2">
      <c r="B175" s="338"/>
      <c r="D175" s="238"/>
      <c r="E175" s="334">
        <v>4762468.2406902928</v>
      </c>
      <c r="F175" s="339">
        <v>4906824.9853276862</v>
      </c>
      <c r="G175" s="339">
        <v>4780218.4419040782</v>
      </c>
      <c r="H175" s="339">
        <v>4655853.0550907701</v>
      </c>
      <c r="I175" s="339">
        <v>4441417.9194371607</v>
      </c>
      <c r="J175" s="339">
        <v>4302497.463063553</v>
      </c>
      <c r="K175" s="339">
        <v>4115917.801539945</v>
      </c>
      <c r="L175" s="339">
        <v>45493882.507418446</v>
      </c>
      <c r="M175" s="334">
        <v>77459080.414471924</v>
      </c>
    </row>
    <row r="176" spans="1:15" x14ac:dyDescent="0.2">
      <c r="B176" s="340"/>
      <c r="E176" s="289"/>
      <c r="F176" s="289"/>
      <c r="G176" s="289"/>
      <c r="H176" s="289"/>
      <c r="I176" s="289"/>
      <c r="J176" s="289"/>
      <c r="K176" s="289"/>
      <c r="L176" s="289"/>
      <c r="M176" s="289"/>
    </row>
    <row r="177" spans="1:15" s="342" customFormat="1" x14ac:dyDescent="0.2">
      <c r="A177" s="341"/>
      <c r="D177" s="236"/>
      <c r="E177" s="289"/>
      <c r="F177" s="289"/>
      <c r="G177" s="289"/>
      <c r="H177" s="289"/>
      <c r="I177" s="289"/>
      <c r="J177" s="289"/>
      <c r="K177" s="289"/>
      <c r="L177" s="289"/>
      <c r="M177" s="289"/>
      <c r="N177" s="343"/>
      <c r="O177" s="343"/>
    </row>
    <row r="178" spans="1:15" s="342" customFormat="1" x14ac:dyDescent="0.2">
      <c r="A178" s="341"/>
      <c r="D178" s="236"/>
      <c r="E178" s="344"/>
      <c r="F178" s="344"/>
      <c r="G178" s="344"/>
      <c r="H178" s="344"/>
      <c r="I178" s="344"/>
      <c r="J178" s="344"/>
      <c r="K178" s="344"/>
      <c r="L178" s="237"/>
      <c r="M178" s="237"/>
      <c r="N178" s="343"/>
      <c r="O178" s="343"/>
    </row>
    <row r="179" spans="1:15" s="342" customFormat="1" x14ac:dyDescent="0.2">
      <c r="A179" s="341"/>
      <c r="D179" s="236"/>
      <c r="E179" s="344"/>
      <c r="F179" s="344"/>
      <c r="G179" s="344"/>
      <c r="H179" s="344"/>
      <c r="I179" s="344"/>
      <c r="J179" s="344"/>
      <c r="K179" s="344"/>
      <c r="L179" s="237"/>
      <c r="M179" s="237"/>
      <c r="N179" s="343"/>
      <c r="O179" s="343"/>
    </row>
    <row r="180" spans="1:15" s="342" customFormat="1" x14ac:dyDescent="0.2">
      <c r="A180" s="341"/>
      <c r="D180" s="236"/>
      <c r="E180" s="344"/>
      <c r="F180" s="344"/>
      <c r="G180" s="344"/>
      <c r="H180" s="344"/>
      <c r="I180" s="344"/>
      <c r="J180" s="344"/>
      <c r="K180" s="344"/>
      <c r="L180" s="237"/>
      <c r="M180" s="237"/>
      <c r="N180" s="343"/>
      <c r="O180" s="343"/>
    </row>
    <row r="181" spans="1:15" s="342" customFormat="1" x14ac:dyDescent="0.2">
      <c r="A181" s="341"/>
      <c r="D181" s="236"/>
      <c r="E181" s="344"/>
      <c r="F181" s="344"/>
      <c r="G181" s="344"/>
      <c r="H181" s="344"/>
      <c r="I181" s="344"/>
      <c r="J181" s="344"/>
      <c r="K181" s="344"/>
      <c r="L181" s="237"/>
      <c r="M181" s="237"/>
      <c r="N181" s="343"/>
      <c r="O181" s="343"/>
    </row>
    <row r="182" spans="1:15" s="342" customFormat="1" x14ac:dyDescent="0.2">
      <c r="A182" s="341"/>
      <c r="D182" s="236"/>
      <c r="E182" s="344"/>
      <c r="F182" s="344"/>
      <c r="G182" s="344"/>
      <c r="H182" s="344"/>
      <c r="I182" s="344"/>
      <c r="J182" s="344"/>
      <c r="K182" s="344"/>
      <c r="L182" s="237"/>
      <c r="M182" s="237"/>
      <c r="N182" s="343"/>
      <c r="O182" s="343"/>
    </row>
    <row r="183" spans="1:15" s="342" customFormat="1" x14ac:dyDescent="0.2">
      <c r="A183" s="341"/>
      <c r="D183" s="236"/>
      <c r="E183" s="344"/>
      <c r="F183" s="344"/>
      <c r="G183" s="344"/>
      <c r="H183" s="344"/>
      <c r="I183" s="344"/>
      <c r="J183" s="344"/>
      <c r="K183" s="344"/>
      <c r="L183" s="237"/>
      <c r="M183" s="237"/>
      <c r="N183" s="343"/>
      <c r="O183" s="343"/>
    </row>
    <row r="184" spans="1:15" s="342" customFormat="1" x14ac:dyDescent="0.2">
      <c r="A184" s="341"/>
      <c r="D184" s="236"/>
      <c r="E184" s="344"/>
      <c r="F184" s="344"/>
      <c r="G184" s="344"/>
      <c r="H184" s="344"/>
      <c r="I184" s="344"/>
      <c r="J184" s="344"/>
      <c r="K184" s="344"/>
      <c r="L184" s="237"/>
      <c r="M184" s="237"/>
      <c r="N184" s="343"/>
      <c r="O184" s="343"/>
    </row>
    <row r="185" spans="1:15" s="342" customFormat="1" x14ac:dyDescent="0.2">
      <c r="A185" s="341"/>
      <c r="D185" s="236"/>
      <c r="E185" s="344"/>
      <c r="F185" s="344"/>
      <c r="G185" s="344"/>
      <c r="H185" s="344"/>
      <c r="I185" s="344"/>
      <c r="J185" s="344"/>
      <c r="K185" s="344"/>
      <c r="L185" s="237"/>
      <c r="M185" s="237"/>
      <c r="N185" s="343"/>
      <c r="O185" s="343"/>
    </row>
    <row r="186" spans="1:15" s="342" customFormat="1" x14ac:dyDescent="0.2">
      <c r="A186" s="341"/>
      <c r="D186" s="236"/>
      <c r="E186" s="344"/>
      <c r="F186" s="344"/>
      <c r="G186" s="344"/>
      <c r="H186" s="344"/>
      <c r="I186" s="344"/>
      <c r="J186" s="344"/>
      <c r="K186" s="344"/>
      <c r="L186" s="237"/>
      <c r="M186" s="237"/>
      <c r="N186" s="343"/>
      <c r="O186" s="343"/>
    </row>
    <row r="187" spans="1:15" s="342" customFormat="1" x14ac:dyDescent="0.2">
      <c r="A187" s="341"/>
      <c r="D187" s="236"/>
      <c r="E187" s="344"/>
      <c r="F187" s="344"/>
      <c r="G187" s="344"/>
      <c r="H187" s="344"/>
      <c r="I187" s="344"/>
      <c r="J187" s="344"/>
      <c r="K187" s="344"/>
      <c r="L187" s="237"/>
      <c r="M187" s="237"/>
      <c r="N187" s="343"/>
      <c r="O187" s="343"/>
    </row>
    <row r="188" spans="1:15" s="342" customFormat="1" x14ac:dyDescent="0.2">
      <c r="A188" s="341"/>
      <c r="D188" s="236"/>
      <c r="E188" s="344"/>
      <c r="F188" s="344"/>
      <c r="G188" s="344"/>
      <c r="H188" s="344"/>
      <c r="I188" s="344"/>
      <c r="J188" s="344"/>
      <c r="K188" s="344"/>
      <c r="L188" s="237"/>
      <c r="M188" s="237"/>
      <c r="N188" s="343"/>
      <c r="O188" s="343"/>
    </row>
    <row r="189" spans="1:15" s="342" customFormat="1" x14ac:dyDescent="0.2">
      <c r="A189" s="341"/>
      <c r="D189" s="236"/>
      <c r="E189" s="344"/>
      <c r="F189" s="344"/>
      <c r="G189" s="344"/>
      <c r="H189" s="344"/>
      <c r="I189" s="344"/>
      <c r="J189" s="344"/>
      <c r="K189" s="344"/>
      <c r="L189" s="237"/>
      <c r="M189" s="237"/>
      <c r="N189" s="343"/>
      <c r="O189" s="343"/>
    </row>
    <row r="190" spans="1:15" s="342" customFormat="1" x14ac:dyDescent="0.2">
      <c r="A190" s="341"/>
      <c r="D190" s="236"/>
      <c r="E190" s="344"/>
      <c r="F190" s="344"/>
      <c r="G190" s="344"/>
      <c r="H190" s="344"/>
      <c r="I190" s="344"/>
      <c r="J190" s="344"/>
      <c r="K190" s="344"/>
      <c r="L190" s="237"/>
      <c r="M190" s="237"/>
      <c r="N190" s="343"/>
      <c r="O190" s="343"/>
    </row>
    <row r="191" spans="1:15" s="342" customFormat="1" x14ac:dyDescent="0.2">
      <c r="A191" s="341"/>
      <c r="D191" s="236"/>
      <c r="E191" s="344"/>
      <c r="F191" s="344"/>
      <c r="G191" s="344"/>
      <c r="H191" s="344"/>
      <c r="I191" s="344"/>
      <c r="J191" s="344"/>
      <c r="K191" s="344"/>
      <c r="L191" s="237"/>
      <c r="M191" s="237"/>
      <c r="N191" s="343"/>
      <c r="O191" s="343"/>
    </row>
    <row r="192" spans="1:15" s="342" customFormat="1" x14ac:dyDescent="0.2">
      <c r="A192" s="341"/>
      <c r="D192" s="236"/>
      <c r="E192" s="344"/>
      <c r="F192" s="344"/>
      <c r="G192" s="344"/>
      <c r="H192" s="344"/>
      <c r="I192" s="344"/>
      <c r="J192" s="344"/>
      <c r="K192" s="344"/>
      <c r="L192" s="237"/>
      <c r="M192" s="237"/>
      <c r="N192" s="343"/>
      <c r="O192" s="343"/>
    </row>
    <row r="193" spans="1:15" s="342" customFormat="1" x14ac:dyDescent="0.2">
      <c r="A193" s="341"/>
      <c r="D193" s="236"/>
      <c r="E193" s="344"/>
      <c r="F193" s="344"/>
      <c r="G193" s="344"/>
      <c r="H193" s="344"/>
      <c r="I193" s="344"/>
      <c r="J193" s="344"/>
      <c r="K193" s="344"/>
      <c r="L193" s="237"/>
      <c r="M193" s="237"/>
      <c r="N193" s="343"/>
      <c r="O193" s="343"/>
    </row>
    <row r="194" spans="1:15" s="342" customFormat="1" x14ac:dyDescent="0.2">
      <c r="A194" s="341"/>
      <c r="D194" s="236"/>
      <c r="E194" s="344"/>
      <c r="F194" s="344"/>
      <c r="G194" s="344"/>
      <c r="H194" s="344"/>
      <c r="I194" s="344"/>
      <c r="J194" s="344"/>
      <c r="K194" s="344"/>
      <c r="L194" s="237"/>
      <c r="M194" s="237"/>
      <c r="N194" s="343"/>
      <c r="O194" s="343"/>
    </row>
    <row r="195" spans="1:15" s="342" customFormat="1" x14ac:dyDescent="0.2">
      <c r="A195" s="341"/>
      <c r="D195" s="236"/>
      <c r="E195" s="344"/>
      <c r="F195" s="344"/>
      <c r="G195" s="344"/>
      <c r="H195" s="344"/>
      <c r="I195" s="344"/>
      <c r="J195" s="344"/>
      <c r="K195" s="344"/>
      <c r="L195" s="237"/>
      <c r="M195" s="237"/>
      <c r="N195" s="343"/>
      <c r="O195" s="343"/>
    </row>
    <row r="196" spans="1:15" s="342" customFormat="1" x14ac:dyDescent="0.2">
      <c r="A196" s="341"/>
      <c r="D196" s="236"/>
      <c r="E196" s="344"/>
      <c r="F196" s="344"/>
      <c r="G196" s="344"/>
      <c r="H196" s="344"/>
      <c r="I196" s="344"/>
      <c r="J196" s="344"/>
      <c r="K196" s="344"/>
      <c r="L196" s="237"/>
      <c r="M196" s="237"/>
      <c r="N196" s="343"/>
      <c r="O196" s="343"/>
    </row>
    <row r="197" spans="1:15" s="342" customFormat="1" x14ac:dyDescent="0.2">
      <c r="A197" s="341"/>
      <c r="D197" s="236"/>
      <c r="E197" s="344"/>
      <c r="F197" s="344"/>
      <c r="G197" s="344"/>
      <c r="H197" s="344"/>
      <c r="I197" s="344"/>
      <c r="J197" s="344"/>
      <c r="K197" s="344"/>
      <c r="L197" s="237"/>
      <c r="M197" s="237"/>
      <c r="N197" s="343"/>
      <c r="O197" s="343"/>
    </row>
    <row r="198" spans="1:15" s="342" customFormat="1" x14ac:dyDescent="0.2">
      <c r="A198" s="341"/>
      <c r="D198" s="236"/>
      <c r="E198" s="344"/>
      <c r="F198" s="344"/>
      <c r="G198" s="344"/>
      <c r="H198" s="344"/>
      <c r="I198" s="344"/>
      <c r="J198" s="344"/>
      <c r="K198" s="344"/>
      <c r="L198" s="237"/>
      <c r="M198" s="237"/>
      <c r="N198" s="343"/>
      <c r="O198" s="343"/>
    </row>
    <row r="199" spans="1:15" s="342" customFormat="1" x14ac:dyDescent="0.2">
      <c r="A199" s="341"/>
      <c r="D199" s="236"/>
      <c r="E199" s="344"/>
      <c r="F199" s="344"/>
      <c r="G199" s="344"/>
      <c r="H199" s="344"/>
      <c r="I199" s="344"/>
      <c r="J199" s="344"/>
      <c r="K199" s="344"/>
      <c r="L199" s="237"/>
      <c r="M199" s="237"/>
      <c r="N199" s="343"/>
      <c r="O199" s="343"/>
    </row>
    <row r="200" spans="1:15" s="342" customFormat="1" x14ac:dyDescent="0.2">
      <c r="A200" s="341"/>
      <c r="D200" s="236"/>
      <c r="E200" s="344"/>
      <c r="F200" s="344"/>
      <c r="G200" s="344"/>
      <c r="H200" s="344"/>
      <c r="I200" s="344"/>
      <c r="J200" s="344"/>
      <c r="K200" s="344"/>
      <c r="L200" s="237"/>
      <c r="M200" s="237"/>
      <c r="N200" s="343"/>
      <c r="O200" s="343"/>
    </row>
    <row r="201" spans="1:15" s="342" customFormat="1" x14ac:dyDescent="0.2">
      <c r="A201" s="341"/>
      <c r="D201" s="236"/>
      <c r="E201" s="344"/>
      <c r="F201" s="344"/>
      <c r="G201" s="344"/>
      <c r="H201" s="344"/>
      <c r="I201" s="344"/>
      <c r="J201" s="344"/>
      <c r="K201" s="344"/>
      <c r="L201" s="237"/>
      <c r="M201" s="237"/>
      <c r="N201" s="343"/>
      <c r="O201" s="343"/>
    </row>
    <row r="202" spans="1:15" s="342" customFormat="1" x14ac:dyDescent="0.2">
      <c r="A202" s="341"/>
      <c r="D202" s="236"/>
      <c r="E202" s="344"/>
      <c r="F202" s="344"/>
      <c r="G202" s="344"/>
      <c r="H202" s="344"/>
      <c r="I202" s="344"/>
      <c r="J202" s="344"/>
      <c r="K202" s="344"/>
      <c r="L202" s="237"/>
      <c r="M202" s="237"/>
      <c r="N202" s="343"/>
      <c r="O202" s="343"/>
    </row>
    <row r="203" spans="1:15" s="342" customFormat="1" x14ac:dyDescent="0.2">
      <c r="A203" s="341"/>
      <c r="D203" s="236"/>
      <c r="E203" s="344"/>
      <c r="F203" s="344"/>
      <c r="G203" s="344"/>
      <c r="H203" s="344"/>
      <c r="I203" s="344"/>
      <c r="J203" s="344"/>
      <c r="K203" s="344"/>
      <c r="L203" s="237"/>
      <c r="M203" s="237"/>
      <c r="N203" s="343"/>
      <c r="O203" s="343"/>
    </row>
    <row r="204" spans="1:15" s="342" customFormat="1" x14ac:dyDescent="0.2">
      <c r="A204" s="341"/>
      <c r="D204" s="236"/>
      <c r="E204" s="344"/>
      <c r="F204" s="344"/>
      <c r="G204" s="344"/>
      <c r="H204" s="344"/>
      <c r="I204" s="344"/>
      <c r="J204" s="344"/>
      <c r="K204" s="344"/>
      <c r="L204" s="237"/>
      <c r="M204" s="237"/>
      <c r="N204" s="343"/>
      <c r="O204" s="343"/>
    </row>
    <row r="205" spans="1:15" s="342" customFormat="1" x14ac:dyDescent="0.2">
      <c r="A205" s="341"/>
      <c r="D205" s="236"/>
      <c r="E205" s="344"/>
      <c r="F205" s="344"/>
      <c r="G205" s="344"/>
      <c r="H205" s="344"/>
      <c r="I205" s="344"/>
      <c r="J205" s="344"/>
      <c r="K205" s="344"/>
      <c r="L205" s="237"/>
      <c r="M205" s="237"/>
      <c r="N205" s="343"/>
      <c r="O205" s="343"/>
    </row>
    <row r="206" spans="1:15" s="342" customFormat="1" x14ac:dyDescent="0.2">
      <c r="A206" s="341"/>
      <c r="D206" s="236"/>
      <c r="E206" s="344"/>
      <c r="F206" s="344"/>
      <c r="G206" s="344"/>
      <c r="H206" s="344"/>
      <c r="I206" s="344"/>
      <c r="J206" s="344"/>
      <c r="K206" s="344"/>
      <c r="L206" s="237"/>
      <c r="M206" s="237"/>
      <c r="N206" s="343"/>
      <c r="O206" s="343"/>
    </row>
    <row r="207" spans="1:15" s="342" customFormat="1" x14ac:dyDescent="0.2">
      <c r="A207" s="341"/>
      <c r="D207" s="236"/>
      <c r="E207" s="344"/>
      <c r="F207" s="344"/>
      <c r="G207" s="344"/>
      <c r="H207" s="344"/>
      <c r="I207" s="344"/>
      <c r="J207" s="344"/>
      <c r="K207" s="344"/>
      <c r="L207" s="237"/>
      <c r="M207" s="237"/>
      <c r="N207" s="343"/>
      <c r="O207" s="343"/>
    </row>
    <row r="208" spans="1:15" s="342" customFormat="1" x14ac:dyDescent="0.2">
      <c r="A208" s="341"/>
      <c r="D208" s="236"/>
      <c r="E208" s="344"/>
      <c r="F208" s="344"/>
      <c r="G208" s="344"/>
      <c r="H208" s="344"/>
      <c r="I208" s="344"/>
      <c r="J208" s="344"/>
      <c r="K208" s="344"/>
      <c r="L208" s="237"/>
      <c r="M208" s="237"/>
      <c r="N208" s="343"/>
      <c r="O208" s="343"/>
    </row>
  </sheetData>
  <mergeCells count="140">
    <mergeCell ref="A149:B149"/>
    <mergeCell ref="B143:B144"/>
    <mergeCell ref="C143:C144"/>
    <mergeCell ref="D143:D144"/>
    <mergeCell ref="B145:B146"/>
    <mergeCell ref="C145:C146"/>
    <mergeCell ref="D145:D146"/>
    <mergeCell ref="B139:B140"/>
    <mergeCell ref="C139:C140"/>
    <mergeCell ref="D139:D140"/>
    <mergeCell ref="B141:B142"/>
    <mergeCell ref="C141:C142"/>
    <mergeCell ref="D141:D142"/>
    <mergeCell ref="B135:B136"/>
    <mergeCell ref="C135:C136"/>
    <mergeCell ref="D135:D136"/>
    <mergeCell ref="B137:B138"/>
    <mergeCell ref="C137:C138"/>
    <mergeCell ref="D137:D138"/>
    <mergeCell ref="B131:B132"/>
    <mergeCell ref="C131:C132"/>
    <mergeCell ref="D131:D132"/>
    <mergeCell ref="B133:B134"/>
    <mergeCell ref="C133:C134"/>
    <mergeCell ref="D133:D134"/>
    <mergeCell ref="B127:B128"/>
    <mergeCell ref="C127:C128"/>
    <mergeCell ref="D127:D128"/>
    <mergeCell ref="B129:B130"/>
    <mergeCell ref="C129:C130"/>
    <mergeCell ref="D129:D130"/>
    <mergeCell ref="B123:B124"/>
    <mergeCell ref="C123:C124"/>
    <mergeCell ref="D123:D124"/>
    <mergeCell ref="B125:B126"/>
    <mergeCell ref="C125:C126"/>
    <mergeCell ref="D125:D126"/>
    <mergeCell ref="B119:B120"/>
    <mergeCell ref="C119:C120"/>
    <mergeCell ref="D119:D120"/>
    <mergeCell ref="B121:B122"/>
    <mergeCell ref="C121:C122"/>
    <mergeCell ref="D121:D122"/>
    <mergeCell ref="B115:B116"/>
    <mergeCell ref="C115:C116"/>
    <mergeCell ref="D115:D116"/>
    <mergeCell ref="B117:B118"/>
    <mergeCell ref="C117:C118"/>
    <mergeCell ref="D117:D118"/>
    <mergeCell ref="B111:B112"/>
    <mergeCell ref="C111:C112"/>
    <mergeCell ref="D111:D112"/>
    <mergeCell ref="B113:B114"/>
    <mergeCell ref="C113:C114"/>
    <mergeCell ref="D113:D114"/>
    <mergeCell ref="B107:B108"/>
    <mergeCell ref="C107:C108"/>
    <mergeCell ref="D107:D108"/>
    <mergeCell ref="B109:B110"/>
    <mergeCell ref="C109:C110"/>
    <mergeCell ref="D109:D110"/>
    <mergeCell ref="B103:B104"/>
    <mergeCell ref="C103:C104"/>
    <mergeCell ref="D103:D104"/>
    <mergeCell ref="B105:B106"/>
    <mergeCell ref="C105:C106"/>
    <mergeCell ref="D105:D106"/>
    <mergeCell ref="B99:B100"/>
    <mergeCell ref="C99:C100"/>
    <mergeCell ref="D99:D100"/>
    <mergeCell ref="B101:B102"/>
    <mergeCell ref="C101:C102"/>
    <mergeCell ref="D101:D102"/>
    <mergeCell ref="B95:B96"/>
    <mergeCell ref="C95:C96"/>
    <mergeCell ref="D95:D96"/>
    <mergeCell ref="B97:B98"/>
    <mergeCell ref="C97:C98"/>
    <mergeCell ref="D97:D98"/>
    <mergeCell ref="B91:B92"/>
    <mergeCell ref="C91:C92"/>
    <mergeCell ref="D91:D92"/>
    <mergeCell ref="B93:B94"/>
    <mergeCell ref="C93:C94"/>
    <mergeCell ref="D93:D94"/>
    <mergeCell ref="B87:B88"/>
    <mergeCell ref="C87:C88"/>
    <mergeCell ref="D87:D88"/>
    <mergeCell ref="B89:B90"/>
    <mergeCell ref="C89:C90"/>
    <mergeCell ref="D89:D90"/>
    <mergeCell ref="B83:B84"/>
    <mergeCell ref="C83:C84"/>
    <mergeCell ref="D83:D84"/>
    <mergeCell ref="B85:B86"/>
    <mergeCell ref="C85:C86"/>
    <mergeCell ref="D85:D86"/>
    <mergeCell ref="B79:B80"/>
    <mergeCell ref="C79:C80"/>
    <mergeCell ref="D79:D80"/>
    <mergeCell ref="B81:B82"/>
    <mergeCell ref="C81:C82"/>
    <mergeCell ref="D81:D82"/>
    <mergeCell ref="B75:B76"/>
    <mergeCell ref="C75:C76"/>
    <mergeCell ref="D75:D76"/>
    <mergeCell ref="B77:B78"/>
    <mergeCell ref="C77:C78"/>
    <mergeCell ref="D77:D78"/>
    <mergeCell ref="B71:B72"/>
    <mergeCell ref="C71:C72"/>
    <mergeCell ref="D71:D72"/>
    <mergeCell ref="B73:B74"/>
    <mergeCell ref="C73:C74"/>
    <mergeCell ref="D73:D74"/>
    <mergeCell ref="B67:B68"/>
    <mergeCell ref="C67:C68"/>
    <mergeCell ref="D67:D68"/>
    <mergeCell ref="B69:B70"/>
    <mergeCell ref="C69:C70"/>
    <mergeCell ref="D69:D70"/>
    <mergeCell ref="B65:B66"/>
    <mergeCell ref="C65:C66"/>
    <mergeCell ref="D65:D66"/>
    <mergeCell ref="B59:B60"/>
    <mergeCell ref="C59:C60"/>
    <mergeCell ref="D59:D60"/>
    <mergeCell ref="B61:B62"/>
    <mergeCell ref="C61:C62"/>
    <mergeCell ref="D61:D62"/>
    <mergeCell ref="A6:B6"/>
    <mergeCell ref="B55:B56"/>
    <mergeCell ref="C55:C56"/>
    <mergeCell ref="D55:D56"/>
    <mergeCell ref="B57:B58"/>
    <mergeCell ref="C57:C58"/>
    <mergeCell ref="D57:D58"/>
    <mergeCell ref="B63:B64"/>
    <mergeCell ref="C63:C64"/>
    <mergeCell ref="D63:D64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E9FE-67B8-4CB1-B828-EB5AECD1937E}">
  <sheetPr>
    <tabColor rgb="FF7030A0"/>
  </sheetPr>
  <dimension ref="A1:I45"/>
  <sheetViews>
    <sheetView topLeftCell="A4" zoomScaleNormal="100" workbookViewId="0">
      <selection activeCell="E12" sqref="E12"/>
    </sheetView>
  </sheetViews>
  <sheetFormatPr defaultColWidth="9" defaultRowHeight="15" x14ac:dyDescent="0.25"/>
  <cols>
    <col min="1" max="1" width="3" style="51" customWidth="1"/>
    <col min="2" max="2" width="22.140625" style="51" customWidth="1"/>
    <col min="3" max="3" width="9" style="51"/>
    <col min="4" max="4" width="49.85546875" style="51" customWidth="1"/>
    <col min="5" max="5" width="11.140625" style="51" customWidth="1"/>
    <col min="6" max="6" width="9" style="51"/>
    <col min="7" max="7" width="11.85546875" style="51" customWidth="1"/>
    <col min="8" max="8" width="11.5703125" style="51" customWidth="1"/>
    <col min="9" max="9" width="11" style="51" customWidth="1"/>
    <col min="10" max="16384" width="9" style="51"/>
  </cols>
  <sheetData>
    <row r="1" spans="1:8" x14ac:dyDescent="0.25">
      <c r="B1" s="50" t="s">
        <v>643</v>
      </c>
    </row>
    <row r="2" spans="1:8" x14ac:dyDescent="0.25">
      <c r="B2" s="47">
        <v>143000</v>
      </c>
      <c r="C2" s="48" t="s">
        <v>628</v>
      </c>
      <c r="D2" s="1"/>
      <c r="E2" s="228">
        <f>B3+B9+B10+SUM(B14:B17)+SUM(B19:B20)</f>
        <v>-186000</v>
      </c>
    </row>
    <row r="3" spans="1:8" x14ac:dyDescent="0.25">
      <c r="B3" s="47">
        <v>18000</v>
      </c>
      <c r="C3" s="48" t="s">
        <v>629</v>
      </c>
      <c r="D3" s="1"/>
      <c r="E3" s="228"/>
    </row>
    <row r="4" spans="1:8" x14ac:dyDescent="0.25">
      <c r="B4" s="47">
        <v>100507</v>
      </c>
      <c r="C4" s="48" t="s">
        <v>630</v>
      </c>
      <c r="D4" s="1"/>
    </row>
    <row r="5" spans="1:8" x14ac:dyDescent="0.25">
      <c r="B5" s="49">
        <v>141288</v>
      </c>
      <c r="C5" s="48" t="s">
        <v>631</v>
      </c>
      <c r="D5" s="1"/>
    </row>
    <row r="6" spans="1:8" ht="15.75" thickBot="1" x14ac:dyDescent="0.3">
      <c r="B6" s="62" t="s">
        <v>667</v>
      </c>
      <c r="C6" s="1"/>
      <c r="D6" s="1"/>
    </row>
    <row r="7" spans="1:8" x14ac:dyDescent="0.25">
      <c r="B7" s="69">
        <v>-43000</v>
      </c>
      <c r="C7" s="70" t="s">
        <v>632</v>
      </c>
      <c r="D7" s="71"/>
    </row>
    <row r="8" spans="1:8" x14ac:dyDescent="0.25">
      <c r="B8" s="72">
        <v>-43500</v>
      </c>
      <c r="C8" s="73" t="s">
        <v>633</v>
      </c>
      <c r="D8" s="74"/>
    </row>
    <row r="9" spans="1:8" x14ac:dyDescent="0.25">
      <c r="B9" s="75">
        <v>-21000</v>
      </c>
      <c r="C9" s="73" t="s">
        <v>634</v>
      </c>
      <c r="D9" s="74"/>
    </row>
    <row r="10" spans="1:8" x14ac:dyDescent="0.25">
      <c r="B10" s="75">
        <v>-16000</v>
      </c>
      <c r="C10" s="73" t="s">
        <v>635</v>
      </c>
      <c r="D10" s="74"/>
    </row>
    <row r="11" spans="1:8" x14ac:dyDescent="0.25">
      <c r="B11" s="75">
        <v>-14157</v>
      </c>
      <c r="C11" s="73" t="s">
        <v>636</v>
      </c>
      <c r="D11" s="74"/>
    </row>
    <row r="12" spans="1:8" ht="15.75" thickBot="1" x14ac:dyDescent="0.3">
      <c r="B12" s="345">
        <v>-20000</v>
      </c>
      <c r="C12" s="76" t="s">
        <v>637</v>
      </c>
      <c r="D12" s="77"/>
    </row>
    <row r="13" spans="1:8" x14ac:dyDescent="0.25">
      <c r="B13" s="62" t="s">
        <v>658</v>
      </c>
      <c r="C13" s="1"/>
      <c r="D13" s="1"/>
    </row>
    <row r="14" spans="1:8" x14ac:dyDescent="0.25">
      <c r="A14" s="51" t="s">
        <v>15</v>
      </c>
      <c r="B14" s="3">
        <v>-30000</v>
      </c>
      <c r="C14" s="1" t="s">
        <v>638</v>
      </c>
      <c r="D14" s="1"/>
    </row>
    <row r="15" spans="1:8" x14ac:dyDescent="0.25">
      <c r="A15" s="51" t="s">
        <v>27</v>
      </c>
      <c r="B15" s="225">
        <v>-5000</v>
      </c>
      <c r="C15" s="223" t="s">
        <v>691</v>
      </c>
      <c r="D15" s="223"/>
      <c r="G15" s="222">
        <v>-50000</v>
      </c>
      <c r="H15" s="223" t="s">
        <v>639</v>
      </c>
    </row>
    <row r="16" spans="1:8" x14ac:dyDescent="0.25">
      <c r="B16" s="225">
        <v>-30000</v>
      </c>
      <c r="C16" s="224" t="s">
        <v>690</v>
      </c>
      <c r="D16" s="223"/>
    </row>
    <row r="17" spans="1:9" x14ac:dyDescent="0.25">
      <c r="A17" s="51" t="s">
        <v>35</v>
      </c>
      <c r="B17" s="3">
        <v>-12000</v>
      </c>
      <c r="C17" s="1" t="s">
        <v>666</v>
      </c>
      <c r="D17" s="1"/>
    </row>
    <row r="18" spans="1:9" x14ac:dyDescent="0.25">
      <c r="A18" s="51" t="s">
        <v>43</v>
      </c>
      <c r="B18" s="3">
        <v>-20000</v>
      </c>
      <c r="C18" s="1" t="s">
        <v>641</v>
      </c>
      <c r="E18" s="1" t="s">
        <v>642</v>
      </c>
    </row>
    <row r="19" spans="1:9" x14ac:dyDescent="0.25">
      <c r="A19" s="51" t="s">
        <v>49</v>
      </c>
      <c r="B19" s="3">
        <v>-36000</v>
      </c>
      <c r="C19" s="1" t="s">
        <v>640</v>
      </c>
      <c r="D19" s="1"/>
    </row>
    <row r="20" spans="1:9" x14ac:dyDescent="0.25">
      <c r="A20" s="51" t="s">
        <v>57</v>
      </c>
      <c r="B20" s="222">
        <f>-54000</f>
        <v>-54000</v>
      </c>
      <c r="C20" s="223" t="s">
        <v>649</v>
      </c>
      <c r="D20" s="223"/>
    </row>
    <row r="21" spans="1:9" x14ac:dyDescent="0.25">
      <c r="B21" s="3">
        <v>-15000</v>
      </c>
      <c r="C21" s="1" t="s">
        <v>681</v>
      </c>
      <c r="D21" s="1"/>
    </row>
    <row r="22" spans="1:9" x14ac:dyDescent="0.25">
      <c r="A22" s="51" t="s">
        <v>242</v>
      </c>
      <c r="B22" s="3">
        <f>-E43</f>
        <v>-2498</v>
      </c>
      <c r="C22" s="1" t="s">
        <v>656</v>
      </c>
      <c r="D22" s="1"/>
    </row>
    <row r="23" spans="1:9" ht="25.9" customHeight="1" x14ac:dyDescent="0.25">
      <c r="B23" s="226">
        <v>-7921</v>
      </c>
      <c r="C23" s="381" t="s">
        <v>692</v>
      </c>
      <c r="D23" s="381"/>
    </row>
    <row r="24" spans="1:9" ht="71.45" customHeight="1" x14ac:dyDescent="0.25">
      <c r="B24" s="226">
        <v>-15597</v>
      </c>
      <c r="C24" s="381" t="s">
        <v>860</v>
      </c>
      <c r="D24" s="381"/>
    </row>
    <row r="25" spans="1:9" s="50" customFormat="1" ht="14.25" x14ac:dyDescent="0.2">
      <c r="B25" s="68">
        <f>SUM(B2:B24)</f>
        <v>17122</v>
      </c>
      <c r="C25" s="32" t="s">
        <v>659</v>
      </c>
      <c r="D25" s="32"/>
    </row>
    <row r="28" spans="1:9" customFormat="1" ht="18.75" x14ac:dyDescent="0.3">
      <c r="B28" s="51"/>
      <c r="D28" s="52" t="s">
        <v>644</v>
      </c>
    </row>
    <row r="29" spans="1:9" customFormat="1" x14ac:dyDescent="0.25">
      <c r="B29" s="51"/>
    </row>
    <row r="30" spans="1:9" customFormat="1" ht="12.75" customHeight="1" x14ac:dyDescent="0.25">
      <c r="A30" s="51"/>
      <c r="B30" s="51"/>
      <c r="C30" s="379" t="s">
        <v>665</v>
      </c>
      <c r="D30" s="63" t="s">
        <v>660</v>
      </c>
      <c r="E30" s="374" t="s">
        <v>661</v>
      </c>
      <c r="F30" s="64"/>
      <c r="G30" s="376" t="s">
        <v>662</v>
      </c>
      <c r="H30" s="377"/>
      <c r="I30" s="378"/>
    </row>
    <row r="31" spans="1:9" customFormat="1" ht="24.75" x14ac:dyDescent="0.25">
      <c r="A31" s="51"/>
      <c r="B31" s="51"/>
      <c r="C31" s="380"/>
      <c r="D31" s="65"/>
      <c r="E31" s="375"/>
      <c r="F31" s="64"/>
      <c r="G31" s="66" t="s">
        <v>598</v>
      </c>
      <c r="H31" s="66" t="s">
        <v>663</v>
      </c>
      <c r="I31" s="67" t="s">
        <v>664</v>
      </c>
    </row>
    <row r="32" spans="1:9" customFormat="1" x14ac:dyDescent="0.25">
      <c r="B32" s="51" t="s">
        <v>15</v>
      </c>
      <c r="C32" s="53" t="s">
        <v>5</v>
      </c>
      <c r="D32" s="54" t="s">
        <v>638</v>
      </c>
      <c r="E32" s="55">
        <f t="shared" ref="E32:E33" si="0">SUM(G32:I32)</f>
        <v>30000</v>
      </c>
      <c r="G32" s="55">
        <v>30000</v>
      </c>
      <c r="H32" s="56"/>
      <c r="I32" s="56"/>
    </row>
    <row r="33" spans="2:9" customFormat="1" x14ac:dyDescent="0.25">
      <c r="B33" s="51" t="s">
        <v>27</v>
      </c>
      <c r="C33" s="53" t="s">
        <v>5</v>
      </c>
      <c r="D33" s="54" t="s">
        <v>645</v>
      </c>
      <c r="E33" s="55">
        <f t="shared" si="0"/>
        <v>50000</v>
      </c>
      <c r="F33" s="57"/>
      <c r="G33" s="55">
        <v>50000</v>
      </c>
      <c r="H33" s="56"/>
      <c r="I33" s="56"/>
    </row>
    <row r="34" spans="2:9" customFormat="1" ht="24.75" x14ac:dyDescent="0.25">
      <c r="B34" s="51" t="s">
        <v>35</v>
      </c>
      <c r="C34" s="53" t="s">
        <v>5</v>
      </c>
      <c r="D34" s="54" t="s">
        <v>689</v>
      </c>
      <c r="E34" s="55">
        <v>12000</v>
      </c>
      <c r="F34" s="57"/>
      <c r="G34" s="55">
        <v>12000</v>
      </c>
      <c r="H34" s="56"/>
      <c r="I34" s="56"/>
    </row>
    <row r="35" spans="2:9" customFormat="1" x14ac:dyDescent="0.25">
      <c r="B35" s="51" t="s">
        <v>43</v>
      </c>
      <c r="C35" s="58" t="s">
        <v>646</v>
      </c>
      <c r="D35" s="54" t="s">
        <v>647</v>
      </c>
      <c r="E35" s="55">
        <f t="shared" ref="E35:E36" si="1">SUM(G35:I35)</f>
        <v>20000</v>
      </c>
      <c r="F35" s="57"/>
      <c r="G35" s="55">
        <f>20000</f>
        <v>20000</v>
      </c>
      <c r="H35" s="56"/>
      <c r="I35" s="56"/>
    </row>
    <row r="36" spans="2:9" customFormat="1" x14ac:dyDescent="0.25">
      <c r="B36" s="51" t="s">
        <v>49</v>
      </c>
      <c r="C36" s="53" t="s">
        <v>5</v>
      </c>
      <c r="D36" s="54" t="s">
        <v>648</v>
      </c>
      <c r="E36" s="55">
        <f t="shared" si="1"/>
        <v>18500</v>
      </c>
      <c r="F36" s="57"/>
      <c r="G36" s="55">
        <v>18500</v>
      </c>
      <c r="H36" s="56"/>
      <c r="I36" s="56"/>
    </row>
    <row r="37" spans="2:9" customFormat="1" x14ac:dyDescent="0.25">
      <c r="B37" s="51" t="s">
        <v>57</v>
      </c>
      <c r="C37" s="53" t="s">
        <v>5</v>
      </c>
      <c r="D37" s="59" t="s">
        <v>649</v>
      </c>
      <c r="E37" s="55">
        <f>SUM(G37:I37)</f>
        <v>180000</v>
      </c>
      <c r="F37" s="57"/>
      <c r="G37" s="55">
        <f>180000*0.3</f>
        <v>54000</v>
      </c>
      <c r="H37" s="56"/>
      <c r="I37" s="56">
        <f>180000-G37-H37</f>
        <v>126000</v>
      </c>
    </row>
    <row r="38" spans="2:9" customFormat="1" x14ac:dyDescent="0.25">
      <c r="B38" s="51" t="s">
        <v>96</v>
      </c>
      <c r="C38" s="53" t="s">
        <v>5</v>
      </c>
      <c r="D38" s="54" t="s">
        <v>650</v>
      </c>
      <c r="E38" s="56">
        <f t="shared" ref="E38" si="2">SUM(G38:I38)</f>
        <v>10000</v>
      </c>
      <c r="F38" s="57"/>
      <c r="G38" s="56">
        <f>20000/2</f>
        <v>10000</v>
      </c>
      <c r="H38" s="56"/>
      <c r="I38" s="56"/>
    </row>
    <row r="39" spans="2:9" customFormat="1" ht="36.75" x14ac:dyDescent="0.25">
      <c r="B39" s="51" t="s">
        <v>104</v>
      </c>
      <c r="C39" s="53" t="s">
        <v>5</v>
      </c>
      <c r="D39" s="54" t="s">
        <v>651</v>
      </c>
      <c r="E39" s="60">
        <f>SUM(G39:I39)</f>
        <v>200000</v>
      </c>
      <c r="F39" s="57"/>
      <c r="G39" s="56">
        <f>200000*0.3</f>
        <v>60000</v>
      </c>
      <c r="H39" s="56"/>
      <c r="I39" s="56">
        <f>200000-G39-H39</f>
        <v>140000</v>
      </c>
    </row>
    <row r="40" spans="2:9" customFormat="1" x14ac:dyDescent="0.25">
      <c r="B40" s="51" t="s">
        <v>116</v>
      </c>
      <c r="C40" s="53" t="s">
        <v>5</v>
      </c>
      <c r="D40" s="54" t="s">
        <v>652</v>
      </c>
      <c r="E40" s="56">
        <f t="shared" ref="E40:E41" si="3">SUM(G40:I40)</f>
        <v>14811</v>
      </c>
      <c r="F40" s="57"/>
      <c r="G40" s="56">
        <v>14811</v>
      </c>
      <c r="H40" s="56"/>
      <c r="I40" s="56"/>
    </row>
    <row r="41" spans="2:9" customFormat="1" x14ac:dyDescent="0.25">
      <c r="B41" s="51" t="s">
        <v>118</v>
      </c>
      <c r="C41" s="53" t="s">
        <v>5</v>
      </c>
      <c r="D41" s="54" t="s">
        <v>653</v>
      </c>
      <c r="E41" s="60">
        <f t="shared" si="3"/>
        <v>12000</v>
      </c>
      <c r="F41" s="57"/>
      <c r="G41" s="60">
        <v>12000</v>
      </c>
      <c r="H41" s="56"/>
      <c r="I41" s="56"/>
    </row>
    <row r="42" spans="2:9" customFormat="1" x14ac:dyDescent="0.25">
      <c r="B42" s="51" t="s">
        <v>234</v>
      </c>
      <c r="C42" s="53" t="s">
        <v>5</v>
      </c>
      <c r="D42" s="54" t="s">
        <v>654</v>
      </c>
      <c r="E42" s="56">
        <f>SUM(G42:I42)</f>
        <v>55000</v>
      </c>
      <c r="F42" s="57"/>
      <c r="G42" s="56">
        <v>55000</v>
      </c>
      <c r="H42" s="56"/>
      <c r="I42" s="56"/>
    </row>
    <row r="43" spans="2:9" customFormat="1" x14ac:dyDescent="0.25">
      <c r="B43" s="51" t="s">
        <v>242</v>
      </c>
      <c r="C43" s="58" t="s">
        <v>655</v>
      </c>
      <c r="D43" s="54" t="s">
        <v>656</v>
      </c>
      <c r="E43" s="56">
        <f>SUM(G43:I43)</f>
        <v>2498</v>
      </c>
      <c r="F43" s="57"/>
      <c r="G43" s="56">
        <f>2498</f>
        <v>2498</v>
      </c>
      <c r="H43" s="56"/>
      <c r="I43" s="56"/>
    </row>
    <row r="44" spans="2:9" customFormat="1" x14ac:dyDescent="0.25">
      <c r="B44" s="51" t="s">
        <v>284</v>
      </c>
      <c r="C44" s="53" t="s">
        <v>5</v>
      </c>
      <c r="D44" s="54" t="s">
        <v>657</v>
      </c>
      <c r="E44" s="60">
        <v>25000</v>
      </c>
      <c r="F44" s="57"/>
      <c r="G44" s="56"/>
      <c r="H44" s="56"/>
      <c r="I44" s="56"/>
    </row>
    <row r="45" spans="2:9" customFormat="1" x14ac:dyDescent="0.25">
      <c r="B45" s="51"/>
      <c r="E45" s="61">
        <f>SUM(E32:E44)</f>
        <v>629809</v>
      </c>
      <c r="G45" s="61">
        <f>SUM(G32:G44)</f>
        <v>338809</v>
      </c>
    </row>
  </sheetData>
  <mergeCells count="5">
    <mergeCell ref="E30:E31"/>
    <mergeCell ref="G30:I30"/>
    <mergeCell ref="C30:C31"/>
    <mergeCell ref="C23:D23"/>
    <mergeCell ref="C24:D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B4815-0251-42B0-96DE-15CD7CBE680B}">
  <dimension ref="B1:G14"/>
  <sheetViews>
    <sheetView workbookViewId="0">
      <selection activeCell="F14" sqref="F14"/>
    </sheetView>
  </sheetViews>
  <sheetFormatPr defaultColWidth="9" defaultRowHeight="15" x14ac:dyDescent="0.25"/>
  <cols>
    <col min="1" max="3" width="9" style="51"/>
    <col min="4" max="4" width="10.7109375" style="51" customWidth="1"/>
    <col min="5" max="5" width="14.5703125" style="51" customWidth="1"/>
    <col min="6" max="6" width="14" style="51" customWidth="1"/>
    <col min="7" max="7" width="14.5703125" style="51" customWidth="1"/>
    <col min="8" max="16384" width="9" style="51"/>
  </cols>
  <sheetData>
    <row r="1" spans="2:7" x14ac:dyDescent="0.25">
      <c r="B1" s="78" t="s">
        <v>668</v>
      </c>
      <c r="D1" s="79"/>
    </row>
    <row r="2" spans="2:7" x14ac:dyDescent="0.25">
      <c r="D2" s="79"/>
    </row>
    <row r="3" spans="2:7" ht="30" x14ac:dyDescent="0.25">
      <c r="B3" s="382"/>
      <c r="C3" s="382"/>
      <c r="D3" s="382"/>
      <c r="E3" s="80" t="s">
        <v>669</v>
      </c>
      <c r="F3" s="80" t="s">
        <v>670</v>
      </c>
      <c r="G3" s="80" t="s">
        <v>671</v>
      </c>
    </row>
    <row r="4" spans="2:7" x14ac:dyDescent="0.25">
      <c r="B4" s="382">
        <v>2023</v>
      </c>
      <c r="C4" s="382" t="s">
        <v>672</v>
      </c>
      <c r="D4" s="81" t="s">
        <v>673</v>
      </c>
      <c r="E4" s="82">
        <v>900472.53448045254</v>
      </c>
      <c r="F4" s="82">
        <v>112347.73</v>
      </c>
      <c r="G4" s="83">
        <v>20351</v>
      </c>
    </row>
    <row r="5" spans="2:7" x14ac:dyDescent="0.25">
      <c r="B5" s="382"/>
      <c r="C5" s="382"/>
      <c r="D5" s="84" t="s">
        <v>674</v>
      </c>
      <c r="E5" s="85">
        <v>951427</v>
      </c>
      <c r="F5" s="85">
        <v>112905.46000000002</v>
      </c>
      <c r="G5" s="85">
        <v>21089.33</v>
      </c>
    </row>
    <row r="6" spans="2:7" x14ac:dyDescent="0.25">
      <c r="B6" s="382"/>
      <c r="C6" s="382" t="s">
        <v>675</v>
      </c>
      <c r="D6" s="81" t="s">
        <v>673</v>
      </c>
      <c r="E6" s="82">
        <v>900472.53448045254</v>
      </c>
      <c r="F6" s="82">
        <v>201158.30999999994</v>
      </c>
      <c r="G6" s="83">
        <v>20351</v>
      </c>
    </row>
    <row r="7" spans="2:7" x14ac:dyDescent="0.25">
      <c r="B7" s="382"/>
      <c r="C7" s="382"/>
      <c r="D7" s="84" t="s">
        <v>674</v>
      </c>
      <c r="E7" s="85">
        <v>865115.39999999991</v>
      </c>
      <c r="F7" s="85">
        <v>215426.25000000003</v>
      </c>
      <c r="G7" s="85">
        <v>20245.339999999997</v>
      </c>
    </row>
    <row r="8" spans="2:7" x14ac:dyDescent="0.25">
      <c r="B8" s="382"/>
      <c r="C8" s="382" t="s">
        <v>676</v>
      </c>
      <c r="D8" s="81" t="s">
        <v>673</v>
      </c>
      <c r="E8" s="82">
        <v>900472.53448045254</v>
      </c>
      <c r="F8" s="82">
        <v>351463.33999999997</v>
      </c>
      <c r="G8" s="83">
        <v>20351</v>
      </c>
    </row>
    <row r="9" spans="2:7" ht="15.6" customHeight="1" x14ac:dyDescent="0.25">
      <c r="B9" s="382"/>
      <c r="C9" s="382"/>
      <c r="D9" s="84" t="s">
        <v>677</v>
      </c>
      <c r="E9" s="85">
        <f>875117.26+23542/2</f>
        <v>886888.26</v>
      </c>
      <c r="F9" s="86">
        <v>404047.09</v>
      </c>
      <c r="G9" s="86">
        <v>20108.539999999994</v>
      </c>
    </row>
    <row r="10" spans="2:7" x14ac:dyDescent="0.25">
      <c r="B10" s="382"/>
      <c r="C10" s="382" t="s">
        <v>678</v>
      </c>
      <c r="D10" s="81" t="s">
        <v>673</v>
      </c>
      <c r="E10" s="82">
        <v>900472.53448045254</v>
      </c>
      <c r="F10" s="82">
        <v>382369.62000000011</v>
      </c>
      <c r="G10" s="83">
        <v>20351</v>
      </c>
    </row>
    <row r="11" spans="2:7" ht="13.15" customHeight="1" x14ac:dyDescent="0.25">
      <c r="B11" s="382"/>
      <c r="C11" s="382"/>
      <c r="D11" s="84" t="s">
        <v>677</v>
      </c>
      <c r="E11" s="85">
        <f>886688.27+23542/2</f>
        <v>898459.27</v>
      </c>
      <c r="F11" s="86">
        <v>482009.20000000007</v>
      </c>
      <c r="G11" s="86">
        <v>19960.469999999998</v>
      </c>
    </row>
    <row r="12" spans="2:7" s="50" customFormat="1" ht="14.25" x14ac:dyDescent="0.2">
      <c r="B12" s="382"/>
      <c r="C12" s="383" t="s">
        <v>679</v>
      </c>
      <c r="D12" s="87" t="s">
        <v>673</v>
      </c>
      <c r="E12" s="88">
        <v>3601890.1379218102</v>
      </c>
      <c r="F12" s="88">
        <v>1047339</v>
      </c>
      <c r="G12" s="88">
        <v>81404</v>
      </c>
    </row>
    <row r="13" spans="2:7" s="50" customFormat="1" ht="14.25" x14ac:dyDescent="0.2">
      <c r="B13" s="382"/>
      <c r="C13" s="383"/>
      <c r="D13" s="89" t="s">
        <v>677</v>
      </c>
      <c r="E13" s="90">
        <f>E5+E7+E9+E11</f>
        <v>3601889.93</v>
      </c>
      <c r="F13" s="91">
        <v>1214388</v>
      </c>
      <c r="G13" s="91">
        <v>81403.679999999993</v>
      </c>
    </row>
    <row r="14" spans="2:7" x14ac:dyDescent="0.25">
      <c r="D14" s="79" t="s">
        <v>680</v>
      </c>
      <c r="E14" s="92">
        <f>E12-E13</f>
        <v>0.20792180998250842</v>
      </c>
      <c r="F14" s="92">
        <f>F12-F13</f>
        <v>-167049</v>
      </c>
      <c r="G14" s="92">
        <f>G12-G13</f>
        <v>0.32000000000698492</v>
      </c>
    </row>
  </sheetData>
  <mergeCells count="7">
    <mergeCell ref="B3:D3"/>
    <mergeCell ref="B4:B13"/>
    <mergeCell ref="C4:C5"/>
    <mergeCell ref="C6:C7"/>
    <mergeCell ref="C8:C9"/>
    <mergeCell ref="C10:C11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2023.gada budzeta plans_apvieno</vt:lpstr>
      <vt:lpstr>4.piel_Saistibas</vt:lpstr>
      <vt:lpstr>Investicijas</vt:lpstr>
      <vt:lpstr>Kreditu_procenti</vt:lpstr>
      <vt:lpstr>'4.piel_Saistibas'!Print_Area</vt:lpstr>
      <vt:lpstr>'2023.gada budzeta plans_apvieno'!Print_Titles</vt:lpstr>
      <vt:lpstr>'4.piel_Saistibas'!Print_Titles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Linda Povlovska</cp:lastModifiedBy>
  <cp:lastPrinted>2023-05-22T08:33:49Z</cp:lastPrinted>
  <dcterms:created xsi:type="dcterms:W3CDTF">2023-05-10T12:19:25Z</dcterms:created>
  <dcterms:modified xsi:type="dcterms:W3CDTF">2023-05-26T13:36:50Z</dcterms:modified>
</cp:coreProperties>
</file>