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10_OKTOBRIS\26.10.2023\Dokumentu PROJEKTI\"/>
    </mc:Choice>
  </mc:AlternateContent>
  <xr:revisionPtr revIDLastSave="0" documentId="8_{6972B133-A1D4-49D8-A686-F1D7750A9283}" xr6:coauthVersionLast="47" xr6:coauthVersionMax="47" xr10:uidLastSave="{00000000-0000-0000-0000-000000000000}"/>
  <bookViews>
    <workbookView xWindow="-108" yWindow="-108" windowWidth="23256" windowHeight="12456" xr2:uid="{0F89C7CB-CB20-4B49-AEE0-4DED48603B42}"/>
  </bookViews>
  <sheets>
    <sheet name="2023.gada budzeta plans_apvieno" sheetId="1" r:id="rId1"/>
    <sheet name="Saistibas" sheetId="2" r:id="rId2"/>
  </sheets>
  <externalReferences>
    <externalReference r:id="rId3"/>
    <externalReference r:id="rId4"/>
    <externalReference r:id="rId5"/>
    <externalReference r:id="rId6"/>
  </externalReferences>
  <definedNames>
    <definedName name="_0812">[1]Groz_NIN_12_2014!#REF!</definedName>
    <definedName name="_xlnm._FilterDatabase" localSheetId="0" hidden="1">'2023.gada budzeta plans_apvieno'!#REF!</definedName>
    <definedName name="_xlnm._FilterDatabase" localSheetId="1" hidden="1">Saistibas!$C$5:$AV$143</definedName>
    <definedName name="Apmaksa" localSheetId="0">[2]Apmaksa!$A:$A</definedName>
    <definedName name="Apmaksa">[3]Apmaksa!$A$1:$A$65536</definedName>
    <definedName name="Darijums" localSheetId="0">[2]Darijums!$A:$A</definedName>
    <definedName name="Darijums">[3]Darijums!$A$1:$A$65536</definedName>
    <definedName name="Excel_BuiltIn__FilterDatabase" localSheetId="0">[1]Groz_NIN_12_2014!#REF!</definedName>
    <definedName name="Excel_BuiltIn__FilterDatabase">[1]Groz_NIN_12_2014!#REF!</definedName>
    <definedName name="Firmas" localSheetId="0">[2]Firma!$A:$A</definedName>
    <definedName name="Firmas">[3]Firma!$A$1:$A$65536</definedName>
    <definedName name="KolonnasNosaukums1">[4]!Piedāvājums[[#Headers],[Apraksts]]</definedName>
    <definedName name="Parvadataji" localSheetId="0">[2]Ligumi!$A:$A</definedName>
    <definedName name="Parvadataji">[3]Ligumi!$A$1:$A$65536</definedName>
    <definedName name="_xlnm.Print_Area" localSheetId="0">'2023.gada budzeta plans_apvieno'!$C$1:$S$280</definedName>
    <definedName name="_xlnm.Print_Titles" localSheetId="0">'2023.gada budzeta plans_apvieno'!$5:$5</definedName>
    <definedName name="Saist_apmers_ar_galvojumu">[3]Ligumi!$A$1:$A$65536</definedName>
    <definedName name="Z_1893421C_DBAA_4C10_AA6C_4D0F39122205_.wvu.FilterData" localSheetId="0">[1]Groz_NIN_12_2014!#REF!</definedName>
    <definedName name="Z_1893421C_DBAA_4C10_AA6C_4D0F39122205_.wvu.FilterData">[1]Groz_NIN_12_2014!#REF!</definedName>
    <definedName name="Z_483F8D4B_D649_4D59_A67B_5E8B6C0D2E28_.wvu.FilterData" localSheetId="0">[1]Groz_NIN_12_2014!#REF!</definedName>
    <definedName name="Z_483F8D4B_D649_4D59_A67B_5E8B6C0D2E28_.wvu.FilterData">[1]Groz_NIN_12_2014!#REF!</definedName>
    <definedName name="Z_56A06D27_97E5_4D01_ADCE_F8E0A2A870EF_.wvu.FilterData" localSheetId="0">[1]Groz_NIN_12_2014!#REF!</definedName>
    <definedName name="Z_56A06D27_97E5_4D01_ADCE_F8E0A2A870EF_.wvu.FilterData">[1]Groz_NIN_12_2014!#REF!</definedName>
    <definedName name="Z_81EB1DB6_89AB_4045_90FA_EF2BA7E792F9_.wvu.FilterData" localSheetId="0">[1]Groz_NIN_12_2014!#REF!</definedName>
    <definedName name="Z_81EB1DB6_89AB_4045_90FA_EF2BA7E792F9_.wvu.FilterData">[1]Groz_NIN_12_2014!#REF!</definedName>
    <definedName name="Z_81EB1DB6_89AB_4045_90FA_EF2BA7E792F9_.wvu.PrintArea" localSheetId="0">[1]Groz_NIN_12_2014!#REF!</definedName>
    <definedName name="Z_81EB1DB6_89AB_4045_90FA_EF2BA7E792F9_.wvu.PrintArea">[1]Groz_NIN_12_2014!#REF!</definedName>
    <definedName name="Z_8545B4E6_A517_4BD7_BFB7_42FEB5F229AD_.wvu.FilterData" localSheetId="0">[1]Groz_NIN_12_2014!#REF!</definedName>
    <definedName name="Z_8545B4E6_A517_4BD7_BFB7_42FEB5F229AD_.wvu.FilterData">[1]Groz_NIN_12_2014!#REF!</definedName>
    <definedName name="Z_877A1030_2452_46B0_88DF_8A068656C08E_.wvu.FilterData" localSheetId="0">[1]Groz_NIN_12_2014!#REF!</definedName>
    <definedName name="Z_877A1030_2452_46B0_88DF_8A068656C08E_.wvu.FilterData">[1]Groz_NIN_12_2014!#REF!</definedName>
    <definedName name="Z_ABD8A783_3A6C_4629_9559_1E4E89E80131_.wvu.FilterData" localSheetId="0">[1]Groz_NIN_12_2014!#REF!</definedName>
    <definedName name="Z_ABD8A783_3A6C_4629_9559_1E4E89E80131_.wvu.FilterData">[1]Groz_NIN_12_2014!#REF!</definedName>
    <definedName name="Z_AF277C95_CBD9_4696_AC72_D010599E9831_.wvu.FilterData" localSheetId="0">[1]Groz_NIN_12_2014!#REF!</definedName>
    <definedName name="Z_AF277C95_CBD9_4696_AC72_D010599E9831_.wvu.FilterData">[1]Groz_NIN_12_2014!#REF!</definedName>
    <definedName name="Z_B7CBCF06_FF41_423A_9AB3_E1D1F70C6FC5_.wvu.FilterData" localSheetId="0">[1]Groz_NIN_12_2014!#REF!</definedName>
    <definedName name="Z_B7CBCF06_FF41_423A_9AB3_E1D1F70C6FC5_.wvu.FilterData">[1]Groz_NIN_12_2014!#REF!</definedName>
    <definedName name="Z_C5511FB8_86C5_41F3_ADCD_B10310F066F5_.wvu.FilterData" localSheetId="0">[1]Groz_NIN_12_2014!#REF!</definedName>
    <definedName name="Z_C5511FB8_86C5_41F3_ADCD_B10310F066F5_.wvu.FilterData">[1]Groz_NIN_12_2014!#REF!</definedName>
    <definedName name="Z_DB8ECBD1_2D44_4F97_BCC9_F610BA0A3109_.wvu.FilterData" localSheetId="0">[1]Groz_NIN_12_2014!#REF!</definedName>
    <definedName name="Z_DB8ECBD1_2D44_4F97_BCC9_F610BA0A3109_.wvu.FilterData">[1]Groz_NIN_12_2014!#REF!</definedName>
    <definedName name="Z_DEE3A27E_689A_4E9F_A3EB_C84F1E3B413E_.wvu.FilterData" localSheetId="0">[1]Groz_NIN_12_2014!#REF!</definedName>
    <definedName name="Z_DEE3A27E_689A_4E9F_A3EB_C84F1E3B413E_.wvu.FilterData">[1]Groz_NIN_12_2014!#REF!</definedName>
    <definedName name="Z_F1F489B9_0F61_4F1F_A151_75EF77465344_.wvu.Cols" localSheetId="0">[1]Groz_NIN_12_2014!#REF!</definedName>
    <definedName name="Z_F1F489B9_0F61_4F1F_A151_75EF77465344_.wvu.Cols">[1]Groz_NIN_12_2014!#REF!</definedName>
    <definedName name="Z_F1F489B9_0F61_4F1F_A151_75EF77465344_.wvu.FilterData" localSheetId="0">[1]Groz_NIN_12_2014!#REF!</definedName>
    <definedName name="Z_F1F489B9_0F61_4F1F_A151_75EF77465344_.wvu.FilterData">[1]Groz_NIN_12_2014!#REF!</definedName>
    <definedName name="Z_F1F489B9_0F61_4F1F_A151_75EF77465344_.wvu.PrintArea" localSheetId="0">[1]Groz_NIN_12_2014!#REF!</definedName>
    <definedName name="Z_F1F489B9_0F61_4F1F_A151_75EF77465344_.wvu.PrintArea">[1]Groz_NIN_12_2014!#REF!</definedName>
    <definedName name="Z_F1F489B9_0F61_4F1F_A151_75EF77465344_.wvu.PrintTitles" localSheetId="0">[1]Groz_NIN_12_2014!#REF!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6" i="1" l="1"/>
  <c r="Z64" i="1"/>
  <c r="AC127" i="2"/>
  <c r="AB127" i="2"/>
  <c r="N127" i="2"/>
  <c r="W127" i="2" s="1"/>
  <c r="BA126" i="2"/>
  <c r="AF126" i="2"/>
  <c r="Y127" i="2" s="1"/>
  <c r="AE126" i="2"/>
  <c r="AD126" i="2"/>
  <c r="AC126" i="2"/>
  <c r="AB126" i="2"/>
  <c r="AA126" i="2"/>
  <c r="Z126" i="2"/>
  <c r="Y126" i="2"/>
  <c r="X126" i="2"/>
  <c r="X127" i="2" s="1"/>
  <c r="W126" i="2"/>
  <c r="BB126" i="2" s="1"/>
  <c r="BE126" i="2" s="1"/>
  <c r="V126" i="2"/>
  <c r="U126" i="2"/>
  <c r="U127" i="2" s="1"/>
  <c r="T6" i="2"/>
  <c r="AY6" i="2"/>
  <c r="AZ6" i="2" s="1"/>
  <c r="BA6" i="2"/>
  <c r="BB6" i="2"/>
  <c r="BE6" i="2" s="1"/>
  <c r="N7" i="2"/>
  <c r="P7" i="2"/>
  <c r="T7" i="2"/>
  <c r="U7" i="2"/>
  <c r="V7" i="2"/>
  <c r="W7" i="2"/>
  <c r="X7" i="2"/>
  <c r="Y7" i="2"/>
  <c r="Z7" i="2"/>
  <c r="AA7" i="2"/>
  <c r="BA7" i="2" s="1"/>
  <c r="AB7" i="2"/>
  <c r="AC7" i="2"/>
  <c r="AD7" i="2"/>
  <c r="AE7" i="2"/>
  <c r="AF7" i="2"/>
  <c r="AG7" i="2"/>
  <c r="T8" i="2"/>
  <c r="AY8" i="2" s="1"/>
  <c r="BA8" i="2"/>
  <c r="N9" i="2"/>
  <c r="P9" i="2"/>
  <c r="T9" i="2"/>
  <c r="AC9" i="2"/>
  <c r="T10" i="2"/>
  <c r="AY10" i="2" s="1"/>
  <c r="BA10" i="2"/>
  <c r="N11" i="2"/>
  <c r="P11" i="2"/>
  <c r="T11" i="2"/>
  <c r="BA11" i="2"/>
  <c r="T12" i="2"/>
  <c r="BA12" i="2"/>
  <c r="P13" i="2"/>
  <c r="N13" i="2" s="1"/>
  <c r="T13" i="2"/>
  <c r="BB13" i="2" s="1"/>
  <c r="BD13" i="2" s="1"/>
  <c r="AY13" i="2"/>
  <c r="AZ13" i="2" s="1"/>
  <c r="BA13" i="2"/>
  <c r="T14" i="2"/>
  <c r="BA14" i="2"/>
  <c r="N15" i="2"/>
  <c r="X15" i="2" s="1"/>
  <c r="P15" i="2"/>
  <c r="T15" i="2"/>
  <c r="V15" i="2"/>
  <c r="W15" i="2"/>
  <c r="Y15" i="2"/>
  <c r="Z15" i="2"/>
  <c r="AB15" i="2"/>
  <c r="T16" i="2"/>
  <c r="BA16" i="2"/>
  <c r="N17" i="2"/>
  <c r="X17" i="2" s="1"/>
  <c r="P17" i="2"/>
  <c r="T17" i="2"/>
  <c r="V17" i="2"/>
  <c r="W17" i="2"/>
  <c r="Y17" i="2"/>
  <c r="Z17" i="2"/>
  <c r="AB17" i="2"/>
  <c r="AC17" i="2"/>
  <c r="T18" i="2"/>
  <c r="BA18" i="2"/>
  <c r="N19" i="2"/>
  <c r="X19" i="2" s="1"/>
  <c r="P19" i="2"/>
  <c r="T19" i="2"/>
  <c r="V19" i="2"/>
  <c r="W19" i="2"/>
  <c r="Y19" i="2"/>
  <c r="Z19" i="2"/>
  <c r="AB19" i="2"/>
  <c r="AC19" i="2"/>
  <c r="AD19" i="2"/>
  <c r="AH19" i="2"/>
  <c r="AI19" i="2"/>
  <c r="AK19" i="2"/>
  <c r="AL19" i="2"/>
  <c r="AN19" i="2"/>
  <c r="AO19" i="2"/>
  <c r="AP19" i="2"/>
  <c r="T20" i="2"/>
  <c r="AY20" i="2"/>
  <c r="AZ20" i="2" s="1"/>
  <c r="BA20" i="2"/>
  <c r="BB20" i="2" s="1"/>
  <c r="BE20" i="2" s="1"/>
  <c r="P21" i="2"/>
  <c r="N21" i="2" s="1"/>
  <c r="T21" i="2"/>
  <c r="T22" i="2"/>
  <c r="AY22" i="2"/>
  <c r="BD22" i="2" s="1"/>
  <c r="AZ22" i="2"/>
  <c r="BA22" i="2"/>
  <c r="BB22" i="2"/>
  <c r="BE22" i="2" s="1"/>
  <c r="N23" i="2"/>
  <c r="Z23" i="2" s="1"/>
  <c r="P23" i="2"/>
  <c r="T23" i="2"/>
  <c r="X23" i="2"/>
  <c r="Y23" i="2"/>
  <c r="AB23" i="2"/>
  <c r="AD23" i="2"/>
  <c r="T24" i="2"/>
  <c r="AY24" i="2"/>
  <c r="AZ24" i="2" s="1"/>
  <c r="BA24" i="2"/>
  <c r="BB24" i="2" s="1"/>
  <c r="BE24" i="2" s="1"/>
  <c r="P25" i="2"/>
  <c r="N25" i="2" s="1"/>
  <c r="T25" i="2"/>
  <c r="BA25" i="2"/>
  <c r="T26" i="2"/>
  <c r="AY26" i="2"/>
  <c r="AZ26" i="2"/>
  <c r="BA26" i="2"/>
  <c r="BB26" i="2" s="1"/>
  <c r="P27" i="2"/>
  <c r="N27" i="2" s="1"/>
  <c r="T27" i="2"/>
  <c r="Y27" i="2"/>
  <c r="Z27" i="2"/>
  <c r="T28" i="2"/>
  <c r="AY28" i="2"/>
  <c r="BD28" i="2" s="1"/>
  <c r="BA28" i="2"/>
  <c r="BB28" i="2"/>
  <c r="BE28" i="2" s="1"/>
  <c r="N29" i="2"/>
  <c r="Z29" i="2" s="1"/>
  <c r="P29" i="2"/>
  <c r="T29" i="2"/>
  <c r="X29" i="2"/>
  <c r="Y29" i="2"/>
  <c r="AB29" i="2"/>
  <c r="AD29" i="2"/>
  <c r="T30" i="2"/>
  <c r="AY30" i="2"/>
  <c r="AZ30" i="2" s="1"/>
  <c r="BA30" i="2"/>
  <c r="BB30" i="2" s="1"/>
  <c r="BE30" i="2" s="1"/>
  <c r="P31" i="2"/>
  <c r="N31" i="2" s="1"/>
  <c r="T31" i="2"/>
  <c r="BA31" i="2"/>
  <c r="T32" i="2"/>
  <c r="BA32" i="2"/>
  <c r="N33" i="2"/>
  <c r="P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Y33" i="2"/>
  <c r="T34" i="2"/>
  <c r="BB34" i="2" s="1"/>
  <c r="BE34" i="2" s="1"/>
  <c r="AY34" i="2"/>
  <c r="AZ34" i="2" s="1"/>
  <c r="BA34" i="2"/>
  <c r="P35" i="2"/>
  <c r="N35" i="2" s="1"/>
  <c r="T35" i="2"/>
  <c r="AQ35" i="2"/>
  <c r="T36" i="2"/>
  <c r="AY36" i="2" s="1"/>
  <c r="BA36" i="2"/>
  <c r="BB36" i="2"/>
  <c r="BE36" i="2" s="1"/>
  <c r="N37" i="2"/>
  <c r="AB37" i="2" s="1"/>
  <c r="P37" i="2"/>
  <c r="T37" i="2"/>
  <c r="Z37" i="2"/>
  <c r="AA37" i="2"/>
  <c r="AD37" i="2"/>
  <c r="AF37" i="2"/>
  <c r="T38" i="2"/>
  <c r="BB38" i="2" s="1"/>
  <c r="BE38" i="2" s="1"/>
  <c r="AY38" i="2"/>
  <c r="AZ38" i="2" s="1"/>
  <c r="BA38" i="2"/>
  <c r="P39" i="2"/>
  <c r="N39" i="2" s="1"/>
  <c r="T39" i="2"/>
  <c r="U39" i="2"/>
  <c r="AF39" i="2"/>
  <c r="AG39" i="2"/>
  <c r="T40" i="2"/>
  <c r="AY40" i="2"/>
  <c r="BA40" i="2"/>
  <c r="BB40" i="2"/>
  <c r="BE40" i="2" s="1"/>
  <c r="N41" i="2"/>
  <c r="AB41" i="2" s="1"/>
  <c r="P41" i="2"/>
  <c r="T41" i="2"/>
  <c r="Z41" i="2"/>
  <c r="AA41" i="2"/>
  <c r="AD41" i="2"/>
  <c r="T42" i="2"/>
  <c r="AY42" i="2"/>
  <c r="AZ42" i="2"/>
  <c r="BA42" i="2"/>
  <c r="BB42" i="2" s="1"/>
  <c r="P43" i="2"/>
  <c r="N43" i="2" s="1"/>
  <c r="T43" i="2"/>
  <c r="Y43" i="2"/>
  <c r="BA43" i="2"/>
  <c r="T44" i="2"/>
  <c r="AY44" i="2" s="1"/>
  <c r="BA44" i="2"/>
  <c r="N45" i="2"/>
  <c r="P45" i="2"/>
  <c r="T45" i="2"/>
  <c r="T46" i="2"/>
  <c r="BB46" i="2" s="1"/>
  <c r="BE46" i="2" s="1"/>
  <c r="AY46" i="2"/>
  <c r="BA46" i="2"/>
  <c r="N47" i="2"/>
  <c r="Y47" i="2" s="1"/>
  <c r="P47" i="2"/>
  <c r="T47" i="2"/>
  <c r="W47" i="2"/>
  <c r="X47" i="2"/>
  <c r="Z47" i="2"/>
  <c r="AA47" i="2"/>
  <c r="AB47" i="2"/>
  <c r="AC47" i="2"/>
  <c r="AD47" i="2"/>
  <c r="AI47" i="2"/>
  <c r="T48" i="2"/>
  <c r="AY48" i="2" s="1"/>
  <c r="BA48" i="2"/>
  <c r="N49" i="2"/>
  <c r="AC49" i="2" s="1"/>
  <c r="P49" i="2"/>
  <c r="T49" i="2"/>
  <c r="T50" i="2"/>
  <c r="AY50" i="2"/>
  <c r="BA50" i="2"/>
  <c r="BB50" i="2" s="1"/>
  <c r="BE50" i="2" s="1"/>
  <c r="N51" i="2"/>
  <c r="V51" i="2" s="1"/>
  <c r="P51" i="2"/>
  <c r="T51" i="2"/>
  <c r="U51" i="2"/>
  <c r="Z51" i="2"/>
  <c r="BA51" i="2"/>
  <c r="T52" i="2"/>
  <c r="BB52" i="2" s="1"/>
  <c r="AY52" i="2"/>
  <c r="AZ52" i="2" s="1"/>
  <c r="BA52" i="2"/>
  <c r="BE52" i="2"/>
  <c r="N53" i="2"/>
  <c r="P53" i="2"/>
  <c r="T53" i="2"/>
  <c r="AC53" i="2"/>
  <c r="AD53" i="2"/>
  <c r="AO53" i="2"/>
  <c r="AP53" i="2"/>
  <c r="T54" i="2"/>
  <c r="AY54" i="2"/>
  <c r="BD54" i="2" s="1"/>
  <c r="BA54" i="2"/>
  <c r="BB54" i="2"/>
  <c r="BE54" i="2" s="1"/>
  <c r="P55" i="2"/>
  <c r="N55" i="2" s="1"/>
  <c r="T55" i="2"/>
  <c r="X55" i="2"/>
  <c r="Y55" i="2"/>
  <c r="T56" i="2"/>
  <c r="BA56" i="2"/>
  <c r="P57" i="2"/>
  <c r="N57" i="2" s="1"/>
  <c r="V57" i="2" s="1"/>
  <c r="T57" i="2"/>
  <c r="W57" i="2"/>
  <c r="AH57" i="2"/>
  <c r="AI57" i="2"/>
  <c r="T58" i="2"/>
  <c r="AY58" i="2" s="1"/>
  <c r="AZ58" i="2" s="1"/>
  <c r="BA58" i="2"/>
  <c r="BB58" i="2"/>
  <c r="BE58" i="2" s="1"/>
  <c r="BD58" i="2"/>
  <c r="P59" i="2"/>
  <c r="N59" i="2" s="1"/>
  <c r="T59" i="2"/>
  <c r="AN59" i="2"/>
  <c r="T60" i="2"/>
  <c r="BA60" i="2"/>
  <c r="N61" i="2"/>
  <c r="Y61" i="2" s="1"/>
  <c r="P61" i="2"/>
  <c r="T61" i="2"/>
  <c r="W61" i="2"/>
  <c r="X61" i="2"/>
  <c r="AA61" i="2"/>
  <c r="AC61" i="2"/>
  <c r="AD61" i="2"/>
  <c r="T62" i="2"/>
  <c r="AY62" i="2"/>
  <c r="AZ62" i="2" s="1"/>
  <c r="BA62" i="2"/>
  <c r="BB62" i="2" s="1"/>
  <c r="BE62" i="2" s="1"/>
  <c r="N63" i="2"/>
  <c r="W63" i="2" s="1"/>
  <c r="P63" i="2"/>
  <c r="T63" i="2"/>
  <c r="U63" i="2"/>
  <c r="V63" i="2"/>
  <c r="X63" i="2"/>
  <c r="Z63" i="2"/>
  <c r="AA63" i="2"/>
  <c r="AD63" i="2"/>
  <c r="AF63" i="2"/>
  <c r="AG63" i="2"/>
  <c r="AH63" i="2"/>
  <c r="AI63" i="2"/>
  <c r="AJ63" i="2"/>
  <c r="AK63" i="2"/>
  <c r="AL63" i="2"/>
  <c r="AM63" i="2"/>
  <c r="AN63" i="2"/>
  <c r="AO63" i="2"/>
  <c r="AP63" i="2"/>
  <c r="AQ63" i="2"/>
  <c r="AR63" i="2"/>
  <c r="AS63" i="2"/>
  <c r="AT63" i="2"/>
  <c r="AU63" i="2"/>
  <c r="T64" i="2"/>
  <c r="AY64" i="2"/>
  <c r="AZ64" i="2" s="1"/>
  <c r="BA64" i="2"/>
  <c r="BB64" i="2" s="1"/>
  <c r="N65" i="2"/>
  <c r="AC65" i="2" s="1"/>
  <c r="P65" i="2"/>
  <c r="T65" i="2"/>
  <c r="U65" i="2"/>
  <c r="Z65" i="2"/>
  <c r="AA65" i="2"/>
  <c r="AB65" i="2"/>
  <c r="AD65" i="2"/>
  <c r="AF65" i="2"/>
  <c r="AG65" i="2"/>
  <c r="T66" i="2"/>
  <c r="BB66" i="2" s="1"/>
  <c r="BE66" i="2" s="1"/>
  <c r="AY66" i="2"/>
  <c r="AZ66" i="2"/>
  <c r="BA66" i="2"/>
  <c r="P67" i="2"/>
  <c r="N67" i="2" s="1"/>
  <c r="T67" i="2"/>
  <c r="BA67" i="2"/>
  <c r="T68" i="2"/>
  <c r="AY68" i="2" s="1"/>
  <c r="AZ68" i="2"/>
  <c r="BA68" i="2"/>
  <c r="BB68" i="2" s="1"/>
  <c r="BE68" i="2" s="1"/>
  <c r="P69" i="2"/>
  <c r="N69" i="2" s="1"/>
  <c r="T69" i="2"/>
  <c r="BA69" i="2"/>
  <c r="T70" i="2"/>
  <c r="AY70" i="2"/>
  <c r="AZ70" i="2" s="1"/>
  <c r="BA70" i="2"/>
  <c r="BB70" i="2"/>
  <c r="BE70" i="2" s="1"/>
  <c r="P71" i="2"/>
  <c r="N71" i="2" s="1"/>
  <c r="AG71" i="2" s="1"/>
  <c r="T71" i="2"/>
  <c r="U71" i="2"/>
  <c r="AF71" i="2"/>
  <c r="T72" i="2"/>
  <c r="AY72" i="2" s="1"/>
  <c r="BD72" i="2" s="1"/>
  <c r="AZ72" i="2"/>
  <c r="BA72" i="2"/>
  <c r="BB72" i="2" s="1"/>
  <c r="BE72" i="2" s="1"/>
  <c r="P73" i="2"/>
  <c r="N73" i="2" s="1"/>
  <c r="T73" i="2"/>
  <c r="Y73" i="2"/>
  <c r="Z73" i="2"/>
  <c r="T74" i="2"/>
  <c r="AY74" i="2"/>
  <c r="AZ74" i="2" s="1"/>
  <c r="BA74" i="2"/>
  <c r="BB74" i="2"/>
  <c r="N75" i="2"/>
  <c r="AC75" i="2" s="1"/>
  <c r="P75" i="2"/>
  <c r="T75" i="2"/>
  <c r="U75" i="2"/>
  <c r="Z75" i="2"/>
  <c r="AA75" i="2"/>
  <c r="AB75" i="2"/>
  <c r="AD75" i="2"/>
  <c r="AG75" i="2"/>
  <c r="AL75" i="2"/>
  <c r="AM75" i="2"/>
  <c r="AN75" i="2"/>
  <c r="AP75" i="2"/>
  <c r="AS75" i="2"/>
  <c r="AT75" i="2"/>
  <c r="AV75" i="2"/>
  <c r="T76" i="2"/>
  <c r="AY76" i="2" s="1"/>
  <c r="BA76" i="2"/>
  <c r="P77" i="2"/>
  <c r="N77" i="2" s="1"/>
  <c r="U77" i="2" s="1"/>
  <c r="T77" i="2"/>
  <c r="BA77" i="2"/>
  <c r="T78" i="2"/>
  <c r="AY78" i="2" s="1"/>
  <c r="AZ78" i="2" s="1"/>
  <c r="BA78" i="2"/>
  <c r="BB78" i="2"/>
  <c r="BE78" i="2" s="1"/>
  <c r="BD78" i="2"/>
  <c r="P79" i="2"/>
  <c r="N79" i="2" s="1"/>
  <c r="T79" i="2"/>
  <c r="AA79" i="2"/>
  <c r="AB79" i="2"/>
  <c r="AM79" i="2"/>
  <c r="AN79" i="2"/>
  <c r="T80" i="2"/>
  <c r="AY80" i="2"/>
  <c r="AZ80" i="2" s="1"/>
  <c r="BA80" i="2"/>
  <c r="BB80" i="2"/>
  <c r="BE80" i="2" s="1"/>
  <c r="P81" i="2"/>
  <c r="N81" i="2" s="1"/>
  <c r="T81" i="2"/>
  <c r="U81" i="2"/>
  <c r="AF81" i="2"/>
  <c r="AG81" i="2"/>
  <c r="T82" i="2"/>
  <c r="AY82" i="2"/>
  <c r="AZ82" i="2" s="1"/>
  <c r="BA82" i="2"/>
  <c r="BB82" i="2"/>
  <c r="N83" i="2"/>
  <c r="AE83" i="2" s="1"/>
  <c r="P83" i="2"/>
  <c r="T83" i="2"/>
  <c r="U83" i="2"/>
  <c r="Z83" i="2"/>
  <c r="AA83" i="2"/>
  <c r="AB83" i="2"/>
  <c r="AC83" i="2"/>
  <c r="AD83" i="2"/>
  <c r="AF83" i="2"/>
  <c r="AG83" i="2"/>
  <c r="AK83" i="2"/>
  <c r="AL83" i="2"/>
  <c r="AM83" i="2"/>
  <c r="AN83" i="2"/>
  <c r="AO83" i="2"/>
  <c r="AP83" i="2"/>
  <c r="AQ83" i="2"/>
  <c r="AR83" i="2"/>
  <c r="AS83" i="2"/>
  <c r="AT83" i="2"/>
  <c r="AU83" i="2"/>
  <c r="AV83" i="2"/>
  <c r="T84" i="2"/>
  <c r="AY84" i="2" s="1"/>
  <c r="BA84" i="2"/>
  <c r="P85" i="2"/>
  <c r="N85" i="2" s="1"/>
  <c r="T85" i="2"/>
  <c r="AE85" i="2"/>
  <c r="AF85" i="2"/>
  <c r="T86" i="2"/>
  <c r="BA86" i="2"/>
  <c r="N87" i="2"/>
  <c r="P87" i="2"/>
  <c r="T87" i="2"/>
  <c r="U87" i="2"/>
  <c r="V87" i="2"/>
  <c r="W87" i="2"/>
  <c r="X87" i="2"/>
  <c r="Y87" i="2"/>
  <c r="Z87" i="2"/>
  <c r="AA87" i="2"/>
  <c r="AB87" i="2"/>
  <c r="AC87" i="2"/>
  <c r="AD87" i="2"/>
  <c r="AE87" i="2"/>
  <c r="AF87" i="2"/>
  <c r="AG87" i="2"/>
  <c r="AH87" i="2"/>
  <c r="BA87" i="2" s="1"/>
  <c r="AI87" i="2"/>
  <c r="AJ87" i="2"/>
  <c r="AK87" i="2"/>
  <c r="AL87" i="2"/>
  <c r="T88" i="2"/>
  <c r="AY88" i="2"/>
  <c r="AZ88" i="2"/>
  <c r="BA88" i="2"/>
  <c r="BB88" i="2" s="1"/>
  <c r="P89" i="2"/>
  <c r="N89" i="2" s="1"/>
  <c r="T89" i="2"/>
  <c r="BA89" i="2"/>
  <c r="T90" i="2"/>
  <c r="AY90" i="2" s="1"/>
  <c r="BA90" i="2"/>
  <c r="P91" i="2"/>
  <c r="N91" i="2" s="1"/>
  <c r="T91" i="2"/>
  <c r="AE91" i="2"/>
  <c r="AF91" i="2"/>
  <c r="T92" i="2"/>
  <c r="BA92" i="2"/>
  <c r="N93" i="2"/>
  <c r="U93" i="2" s="1"/>
  <c r="P93" i="2"/>
  <c r="T93" i="2"/>
  <c r="W93" i="2"/>
  <c r="X93" i="2"/>
  <c r="Y93" i="2"/>
  <c r="Z93" i="2"/>
  <c r="AA93" i="2"/>
  <c r="BA93" i="2" s="1"/>
  <c r="AB93" i="2"/>
  <c r="T94" i="2"/>
  <c r="AY94" i="2"/>
  <c r="BA94" i="2"/>
  <c r="BB94" i="2"/>
  <c r="BE94" i="2"/>
  <c r="N95" i="2"/>
  <c r="P95" i="2"/>
  <c r="T95" i="2"/>
  <c r="Z95" i="2"/>
  <c r="AA95" i="2"/>
  <c r="T96" i="2"/>
  <c r="BB96" i="2" s="1"/>
  <c r="AY96" i="2"/>
  <c r="BD96" i="2" s="1"/>
  <c r="BA96" i="2"/>
  <c r="BE96" i="2"/>
  <c r="N97" i="2"/>
  <c r="U97" i="2" s="1"/>
  <c r="AY97" i="2" s="1"/>
  <c r="P97" i="2"/>
  <c r="T97" i="2"/>
  <c r="BA97" i="2"/>
  <c r="R98" i="2"/>
  <c r="T98" i="2" s="1"/>
  <c r="BB98" i="2" s="1"/>
  <c r="BE98" i="2" s="1"/>
  <c r="AY98" i="2"/>
  <c r="BD98" i="2" s="1"/>
  <c r="BA98" i="2"/>
  <c r="P99" i="2"/>
  <c r="N99" i="2" s="1"/>
  <c r="T99" i="2"/>
  <c r="X99" i="2"/>
  <c r="Y99" i="2"/>
  <c r="T100" i="2"/>
  <c r="AY100" i="2" s="1"/>
  <c r="AZ100" i="2"/>
  <c r="BA100" i="2"/>
  <c r="BB100" i="2" s="1"/>
  <c r="BE100" i="2" s="1"/>
  <c r="P101" i="2"/>
  <c r="N101" i="2" s="1"/>
  <c r="T101" i="2"/>
  <c r="BB101" i="2" s="1"/>
  <c r="AY101" i="2"/>
  <c r="AZ101" i="2" s="1"/>
  <c r="BA101" i="2"/>
  <c r="T102" i="2"/>
  <c r="BA102" i="2"/>
  <c r="N103" i="2"/>
  <c r="AC103" i="2" s="1"/>
  <c r="P103" i="2"/>
  <c r="T103" i="2"/>
  <c r="V103" i="2"/>
  <c r="W103" i="2"/>
  <c r="AD103" i="2"/>
  <c r="T104" i="2"/>
  <c r="AY104" i="2"/>
  <c r="AZ104" i="2"/>
  <c r="BA104" i="2"/>
  <c r="BB104" i="2"/>
  <c r="BD104" i="2"/>
  <c r="BE104" i="2"/>
  <c r="P105" i="2"/>
  <c r="N105" i="2" s="1"/>
  <c r="U105" i="2" s="1"/>
  <c r="T105" i="2"/>
  <c r="BA105" i="2"/>
  <c r="T106" i="2"/>
  <c r="AY106" i="2"/>
  <c r="AZ106" i="2" s="1"/>
  <c r="BA106" i="2"/>
  <c r="BB106" i="2"/>
  <c r="P107" i="2"/>
  <c r="N107" i="2" s="1"/>
  <c r="U107" i="2" s="1"/>
  <c r="T107" i="2"/>
  <c r="BA107" i="2"/>
  <c r="T108" i="2"/>
  <c r="AY108" i="2"/>
  <c r="AZ108" i="2"/>
  <c r="BA108" i="2"/>
  <c r="BB108" i="2" s="1"/>
  <c r="BE108" i="2" s="1"/>
  <c r="P109" i="2"/>
  <c r="N109" i="2" s="1"/>
  <c r="T109" i="2"/>
  <c r="Z109" i="2"/>
  <c r="AA109" i="2"/>
  <c r="T110" i="2"/>
  <c r="AY110" i="2"/>
  <c r="AZ110" i="2"/>
  <c r="BA110" i="2"/>
  <c r="BB110" i="2"/>
  <c r="BE110" i="2" s="1"/>
  <c r="P111" i="2"/>
  <c r="N111" i="2" s="1"/>
  <c r="T111" i="2"/>
  <c r="Z111" i="2"/>
  <c r="BA111" i="2"/>
  <c r="T112" i="2"/>
  <c r="BA112" i="2"/>
  <c r="N113" i="2"/>
  <c r="V113" i="2" s="1"/>
  <c r="P113" i="2"/>
  <c r="T113" i="2"/>
  <c r="AC113" i="2"/>
  <c r="AD113" i="2"/>
  <c r="T114" i="2"/>
  <c r="BB114" i="2" s="1"/>
  <c r="BE114" i="2" s="1"/>
  <c r="AY114" i="2"/>
  <c r="BD114" i="2" s="1"/>
  <c r="AZ114" i="2"/>
  <c r="BA114" i="2"/>
  <c r="N115" i="2"/>
  <c r="AC115" i="2" s="1"/>
  <c r="P115" i="2"/>
  <c r="T115" i="2"/>
  <c r="X115" i="2"/>
  <c r="Y115" i="2"/>
  <c r="T116" i="2"/>
  <c r="AH116" i="2"/>
  <c r="W117" i="2" s="1"/>
  <c r="AY116" i="2"/>
  <c r="AZ116" i="2" s="1"/>
  <c r="P117" i="2"/>
  <c r="N117" i="2" s="1"/>
  <c r="T117" i="2"/>
  <c r="X117" i="2"/>
  <c r="AB117" i="2"/>
  <c r="T118" i="2"/>
  <c r="BB118" i="2" s="1"/>
  <c r="BE118" i="2" s="1"/>
  <c r="AY118" i="2"/>
  <c r="BA118" i="2"/>
  <c r="P119" i="2"/>
  <c r="N119" i="2" s="1"/>
  <c r="U119" i="2" s="1"/>
  <c r="BB119" i="2" s="1"/>
  <c r="T119" i="2"/>
  <c r="BA119" i="2"/>
  <c r="T120" i="2"/>
  <c r="AY120" i="2"/>
  <c r="AZ120" i="2"/>
  <c r="BA120" i="2"/>
  <c r="BB120" i="2"/>
  <c r="BE120" i="2" s="1"/>
  <c r="P121" i="2"/>
  <c r="N121" i="2" s="1"/>
  <c r="Z121" i="2" s="1"/>
  <c r="T121" i="2"/>
  <c r="AA121" i="2"/>
  <c r="T122" i="2"/>
  <c r="U122" i="2"/>
  <c r="V122" i="2"/>
  <c r="V123" i="2" s="1"/>
  <c r="W122" i="2"/>
  <c r="BA122" i="2"/>
  <c r="N123" i="2"/>
  <c r="P123" i="2"/>
  <c r="T123" i="2"/>
  <c r="W123" i="2"/>
  <c r="BA123" i="2"/>
  <c r="AD124" i="2"/>
  <c r="AY124" i="2"/>
  <c r="AZ124" i="2" s="1"/>
  <c r="P125" i="2"/>
  <c r="N125" i="2" s="1"/>
  <c r="X125" i="2" s="1"/>
  <c r="AC125" i="2"/>
  <c r="W128" i="2"/>
  <c r="X128" i="2"/>
  <c r="Y128" i="2"/>
  <c r="Z128" i="2"/>
  <c r="AA128" i="2"/>
  <c r="AY128" i="2"/>
  <c r="AZ128" i="2"/>
  <c r="BA128" i="2"/>
  <c r="P129" i="2"/>
  <c r="N129" i="2" s="1"/>
  <c r="Z129" i="2" s="1"/>
  <c r="X130" i="2"/>
  <c r="Y130" i="2"/>
  <c r="Z130" i="2"/>
  <c r="AA130" i="2"/>
  <c r="AB130" i="2"/>
  <c r="AC130" i="2"/>
  <c r="AB131" i="2" s="1"/>
  <c r="AD130" i="2"/>
  <c r="AD131" i="2" s="1"/>
  <c r="AE130" i="2"/>
  <c r="AF130" i="2"/>
  <c r="AG130" i="2"/>
  <c r="AH130" i="2"/>
  <c r="AI130" i="2"/>
  <c r="AJ130" i="2"/>
  <c r="AK130" i="2"/>
  <c r="AL130" i="2"/>
  <c r="P131" i="2"/>
  <c r="N131" i="2" s="1"/>
  <c r="AL131" i="2" s="1"/>
  <c r="U132" i="2"/>
  <c r="V132" i="2"/>
  <c r="W132" i="2"/>
  <c r="X132" i="2"/>
  <c r="Y132" i="2"/>
  <c r="Y133" i="2" s="1"/>
  <c r="Z132" i="2"/>
  <c r="AA132" i="2"/>
  <c r="BA132" i="2"/>
  <c r="P133" i="2"/>
  <c r="N133" i="2" s="1"/>
  <c r="AA133" i="2" s="1"/>
  <c r="BA133" i="2" s="1"/>
  <c r="Z133" i="2"/>
  <c r="J134" i="2"/>
  <c r="X134" i="2"/>
  <c r="AB134" i="2"/>
  <c r="AC134" i="2"/>
  <c r="AI134" i="2"/>
  <c r="AJ134" i="2"/>
  <c r="AN134" i="2"/>
  <c r="AO134" i="2"/>
  <c r="N135" i="2"/>
  <c r="P135" i="2"/>
  <c r="T136" i="2"/>
  <c r="AY136" i="2"/>
  <c r="BD136" i="2" s="1"/>
  <c r="BA136" i="2"/>
  <c r="BB136" i="2"/>
  <c r="T137" i="2"/>
  <c r="AY137" i="2"/>
  <c r="AZ137" i="2"/>
  <c r="BA137" i="2"/>
  <c r="T138" i="2"/>
  <c r="AY138" i="2"/>
  <c r="BD138" i="2" s="1"/>
  <c r="AZ138" i="2"/>
  <c r="BA138" i="2"/>
  <c r="BB138" i="2"/>
  <c r="T139" i="2"/>
  <c r="BB139" i="2" s="1"/>
  <c r="AY139" i="2"/>
  <c r="BD139" i="2" s="1"/>
  <c r="AZ139" i="2"/>
  <c r="BA139" i="2"/>
  <c r="J140" i="2"/>
  <c r="T140" i="2"/>
  <c r="BB140" i="2" s="1"/>
  <c r="BA140" i="2"/>
  <c r="T141" i="2"/>
  <c r="BB141" i="2" s="1"/>
  <c r="AY141" i="2"/>
  <c r="BD141" i="2" s="1"/>
  <c r="BA141" i="2"/>
  <c r="AZ142" i="2"/>
  <c r="BD142" i="2"/>
  <c r="K143" i="2"/>
  <c r="R143" i="2"/>
  <c r="S143" i="2"/>
  <c r="T143" i="2"/>
  <c r="U143" i="2"/>
  <c r="AP143" i="2"/>
  <c r="AP168" i="2" s="1"/>
  <c r="AQ143" i="2"/>
  <c r="AQ168" i="2" s="1"/>
  <c r="AR143" i="2"/>
  <c r="AS143" i="2"/>
  <c r="AS168" i="2" s="1"/>
  <c r="AT143" i="2"/>
  <c r="AT168" i="2" s="1"/>
  <c r="AU143" i="2"/>
  <c r="AV143" i="2"/>
  <c r="AW143" i="2"/>
  <c r="AX143" i="2"/>
  <c r="R144" i="2"/>
  <c r="R145" i="2" s="1"/>
  <c r="S144" i="2"/>
  <c r="S145" i="2" s="1"/>
  <c r="AW144" i="2"/>
  <c r="AW169" i="2" s="1"/>
  <c r="AX144" i="2"/>
  <c r="AX169" i="2" s="1"/>
  <c r="AY150" i="2"/>
  <c r="BA150" i="2"/>
  <c r="BB150" i="2"/>
  <c r="BD150" i="2"/>
  <c r="N151" i="2"/>
  <c r="V151" i="2" s="1"/>
  <c r="U151" i="2"/>
  <c r="W151" i="2"/>
  <c r="X151" i="2"/>
  <c r="Y151" i="2"/>
  <c r="Z151" i="2"/>
  <c r="AA151" i="2"/>
  <c r="AY152" i="2"/>
  <c r="BA152" i="2"/>
  <c r="BB152" i="2"/>
  <c r="BD152" i="2"/>
  <c r="N153" i="2"/>
  <c r="AY153" i="2"/>
  <c r="BA153" i="2"/>
  <c r="BB153" i="2"/>
  <c r="BD153" i="2"/>
  <c r="AY154" i="2"/>
  <c r="BD154" i="2" s="1"/>
  <c r="BA154" i="2"/>
  <c r="BB154" i="2"/>
  <c r="N155" i="2"/>
  <c r="AY155" i="2"/>
  <c r="BA155" i="2"/>
  <c r="BB155" i="2" s="1"/>
  <c r="AY156" i="2"/>
  <c r="BA156" i="2"/>
  <c r="BB156" i="2"/>
  <c r="BD156" i="2" s="1"/>
  <c r="N157" i="2"/>
  <c r="AY157" i="2"/>
  <c r="BA157" i="2"/>
  <c r="BB157" i="2"/>
  <c r="BD157" i="2"/>
  <c r="AY158" i="2"/>
  <c r="BA158" i="2"/>
  <c r="BB158" i="2" s="1"/>
  <c r="N159" i="2"/>
  <c r="U159" i="2"/>
  <c r="V159" i="2"/>
  <c r="W159" i="2"/>
  <c r="X159" i="2"/>
  <c r="Y159" i="2"/>
  <c r="Z159" i="2"/>
  <c r="AA159" i="2"/>
  <c r="AB159" i="2"/>
  <c r="AC159" i="2"/>
  <c r="AD159" i="2"/>
  <c r="AE159" i="2"/>
  <c r="AF159" i="2"/>
  <c r="AG159" i="2"/>
  <c r="AH159" i="2"/>
  <c r="AI159" i="2"/>
  <c r="AJ159" i="2"/>
  <c r="AK159" i="2"/>
  <c r="AL159" i="2"/>
  <c r="AL164" i="2" s="1"/>
  <c r="AL170" i="2" s="1"/>
  <c r="AM159" i="2"/>
  <c r="AM164" i="2" s="1"/>
  <c r="AM170" i="2" s="1"/>
  <c r="AN159" i="2"/>
  <c r="AN164" i="2" s="1"/>
  <c r="AN170" i="2" s="1"/>
  <c r="AO159" i="2"/>
  <c r="AO164" i="2" s="1"/>
  <c r="AP159" i="2"/>
  <c r="AQ159" i="2"/>
  <c r="AR159" i="2"/>
  <c r="AS159" i="2"/>
  <c r="AT159" i="2"/>
  <c r="AU159" i="2"/>
  <c r="AV159" i="2"/>
  <c r="AW159" i="2"/>
  <c r="AX159" i="2"/>
  <c r="AX164" i="2" s="1"/>
  <c r="AX170" i="2" s="1"/>
  <c r="AY160" i="2"/>
  <c r="BA160" i="2"/>
  <c r="BB160" i="2"/>
  <c r="BD160" i="2" s="1"/>
  <c r="N161" i="2"/>
  <c r="AY161" i="2"/>
  <c r="BA161" i="2"/>
  <c r="BB161" i="2"/>
  <c r="BD161" i="2"/>
  <c r="X162" i="2"/>
  <c r="X163" i="2" s="1"/>
  <c r="X164" i="2" s="1"/>
  <c r="X170" i="2" s="1"/>
  <c r="Y162" i="2"/>
  <c r="Z162" i="2"/>
  <c r="AA162" i="2"/>
  <c r="AB162" i="2"/>
  <c r="AC162" i="2"/>
  <c r="AD162" i="2"/>
  <c r="AD163" i="2" s="1"/>
  <c r="AD164" i="2" s="1"/>
  <c r="AD170" i="2" s="1"/>
  <c r="AE162" i="2"/>
  <c r="AF162" i="2"/>
  <c r="AG162" i="2"/>
  <c r="N163" i="2"/>
  <c r="AM163" i="2" s="1"/>
  <c r="AE163" i="2"/>
  <c r="AE164" i="2" s="1"/>
  <c r="AE170" i="2" s="1"/>
  <c r="AF163" i="2"/>
  <c r="AI163" i="2"/>
  <c r="AI164" i="2" s="1"/>
  <c r="AJ163" i="2"/>
  <c r="AJ164" i="2" s="1"/>
  <c r="AJ170" i="2" s="1"/>
  <c r="AL163" i="2"/>
  <c r="AN163" i="2"/>
  <c r="AO163" i="2"/>
  <c r="AP163" i="2"/>
  <c r="AP164" i="2" s="1"/>
  <c r="AP170" i="2" s="1"/>
  <c r="AQ163" i="2"/>
  <c r="AR163" i="2"/>
  <c r="AU163" i="2"/>
  <c r="AU164" i="2" s="1"/>
  <c r="AV163" i="2"/>
  <c r="AW163" i="2"/>
  <c r="AX163" i="2"/>
  <c r="T164" i="2"/>
  <c r="AF164" i="2"/>
  <c r="AF170" i="2" s="1"/>
  <c r="AQ164" i="2"/>
  <c r="AQ170" i="2" s="1"/>
  <c r="AR164" i="2"/>
  <c r="AR170" i="2" s="1"/>
  <c r="AV164" i="2"/>
  <c r="AW164" i="2"/>
  <c r="AW170" i="2" s="1"/>
  <c r="U168" i="2"/>
  <c r="AR168" i="2"/>
  <c r="AU168" i="2"/>
  <c r="AV168" i="2"/>
  <c r="AW168" i="2"/>
  <c r="AI170" i="2"/>
  <c r="AO170" i="2"/>
  <c r="AU170" i="2"/>
  <c r="AV170" i="2"/>
  <c r="Q176" i="2"/>
  <c r="AY126" i="2" l="1"/>
  <c r="Z127" i="2"/>
  <c r="AA127" i="2"/>
  <c r="AD127" i="2"/>
  <c r="W143" i="2"/>
  <c r="AE127" i="2"/>
  <c r="AF127" i="2"/>
  <c r="AX145" i="2"/>
  <c r="AX147" i="2" s="1"/>
  <c r="AW145" i="2"/>
  <c r="AW147" i="2" s="1"/>
  <c r="V127" i="2"/>
  <c r="AY127" i="2" s="1"/>
  <c r="AW171" i="2"/>
  <c r="AW173" i="2" s="1"/>
  <c r="AI143" i="2"/>
  <c r="AY86" i="2"/>
  <c r="BB86" i="2"/>
  <c r="BE86" i="2" s="1"/>
  <c r="T144" i="2"/>
  <c r="T145" i="2" s="1"/>
  <c r="T170" i="2"/>
  <c r="AG164" i="2"/>
  <c r="AG170" i="2" s="1"/>
  <c r="AY159" i="2"/>
  <c r="U164" i="2"/>
  <c r="U170" i="2" s="1"/>
  <c r="V107" i="2"/>
  <c r="AY140" i="2"/>
  <c r="X131" i="2"/>
  <c r="U125" i="2"/>
  <c r="V125" i="2"/>
  <c r="AD143" i="2"/>
  <c r="W125" i="2"/>
  <c r="Z125" i="2"/>
  <c r="BA124" i="2"/>
  <c r="BB124" i="2" s="1"/>
  <c r="BE124" i="2" s="1"/>
  <c r="AA125" i="2"/>
  <c r="AB125" i="2"/>
  <c r="BD120" i="2"/>
  <c r="AC117" i="2"/>
  <c r="AH113" i="2"/>
  <c r="AZ98" i="2"/>
  <c r="BD36" i="2"/>
  <c r="AZ36" i="2"/>
  <c r="W131" i="2"/>
  <c r="AZ8" i="2"/>
  <c r="BD155" i="2"/>
  <c r="X133" i="2"/>
  <c r="W107" i="2"/>
  <c r="AY107" i="2" s="1"/>
  <c r="X107" i="2"/>
  <c r="BB137" i="2"/>
  <c r="BD137" i="2" s="1"/>
  <c r="AF134" i="2"/>
  <c r="AG134" i="2"/>
  <c r="AH134" i="2"/>
  <c r="Y134" i="2"/>
  <c r="Y143" i="2" s="1"/>
  <c r="AK134" i="2"/>
  <c r="AJ135" i="2" s="1"/>
  <c r="Z134" i="2"/>
  <c r="AL134" i="2"/>
  <c r="AA134" i="2"/>
  <c r="AA143" i="2" s="1"/>
  <c r="AM134" i="2"/>
  <c r="AD134" i="2"/>
  <c r="J143" i="2"/>
  <c r="AE134" i="2"/>
  <c r="W133" i="2"/>
  <c r="AF121" i="2"/>
  <c r="W113" i="2"/>
  <c r="W109" i="2"/>
  <c r="X109" i="2"/>
  <c r="Y109" i="2"/>
  <c r="AB109" i="2"/>
  <c r="AC109" i="2"/>
  <c r="U109" i="2"/>
  <c r="V109" i="2"/>
  <c r="AY109" i="2" s="1"/>
  <c r="BD106" i="2"/>
  <c r="BE106" i="2"/>
  <c r="BB97" i="2"/>
  <c r="BD97" i="2" s="1"/>
  <c r="AF35" i="2"/>
  <c r="AR35" i="2"/>
  <c r="U35" i="2"/>
  <c r="AG35" i="2"/>
  <c r="AS35" i="2"/>
  <c r="V35" i="2"/>
  <c r="AH35" i="2"/>
  <c r="W35" i="2"/>
  <c r="AI35" i="2"/>
  <c r="X35" i="2"/>
  <c r="AJ35" i="2"/>
  <c r="Y35" i="2"/>
  <c r="AK35" i="2"/>
  <c r="Z35" i="2"/>
  <c r="AL35" i="2"/>
  <c r="AA35" i="2"/>
  <c r="AM35" i="2"/>
  <c r="AB35" i="2"/>
  <c r="AN35" i="2"/>
  <c r="AC35" i="2"/>
  <c r="AO35" i="2"/>
  <c r="AD35" i="2"/>
  <c r="AE35" i="2"/>
  <c r="AP35" i="2"/>
  <c r="AY32" i="2"/>
  <c r="BB32" i="2"/>
  <c r="BE32" i="2" s="1"/>
  <c r="W135" i="2"/>
  <c r="AC143" i="2"/>
  <c r="AA131" i="2"/>
  <c r="AY7" i="2"/>
  <c r="AX168" i="2"/>
  <c r="AX171" i="2" s="1"/>
  <c r="AX173" i="2" s="1"/>
  <c r="Z163" i="2"/>
  <c r="BA130" i="2"/>
  <c r="BB130" i="2" s="1"/>
  <c r="BE130" i="2" s="1"/>
  <c r="AD125" i="2"/>
  <c r="AE121" i="2"/>
  <c r="AY119" i="2"/>
  <c r="W111" i="2"/>
  <c r="X111" i="2"/>
  <c r="Y111" i="2"/>
  <c r="U111" i="2"/>
  <c r="V111" i="2"/>
  <c r="BB111" i="2" s="1"/>
  <c r="BD100" i="2"/>
  <c r="BB60" i="2"/>
  <c r="BE60" i="2" s="1"/>
  <c r="AY60" i="2"/>
  <c r="U31" i="2"/>
  <c r="V31" i="2"/>
  <c r="W31" i="2"/>
  <c r="X31" i="2"/>
  <c r="Y31" i="2"/>
  <c r="U11" i="2"/>
  <c r="AY11" i="2" s="1"/>
  <c r="N143" i="2"/>
  <c r="AA163" i="2"/>
  <c r="AB163" i="2"/>
  <c r="BA162" i="2"/>
  <c r="AC163" i="2"/>
  <c r="BD158" i="2"/>
  <c r="Y163" i="2"/>
  <c r="Y164" i="2" s="1"/>
  <c r="Y170" i="2" s="1"/>
  <c r="BA159" i="2"/>
  <c r="BB159" i="2" s="1"/>
  <c r="AY132" i="2"/>
  <c r="Z131" i="2"/>
  <c r="Y129" i="2"/>
  <c r="U115" i="2"/>
  <c r="V115" i="2"/>
  <c r="W115" i="2"/>
  <c r="Z115" i="2"/>
  <c r="AA115" i="2"/>
  <c r="AB115" i="2"/>
  <c r="Z103" i="2"/>
  <c r="AA103" i="2"/>
  <c r="BA103" i="2" s="1"/>
  <c r="AB103" i="2"/>
  <c r="U103" i="2"/>
  <c r="X103" i="2"/>
  <c r="AY103" i="2" s="1"/>
  <c r="Y103" i="2"/>
  <c r="U95" i="2"/>
  <c r="V95" i="2"/>
  <c r="W95" i="2"/>
  <c r="X95" i="2"/>
  <c r="Y95" i="2"/>
  <c r="AB95" i="2"/>
  <c r="BA95" i="2" s="1"/>
  <c r="AY87" i="2"/>
  <c r="BB87" i="2"/>
  <c r="AZ84" i="2"/>
  <c r="AZ46" i="2"/>
  <c r="BD46" i="2"/>
  <c r="U25" i="2"/>
  <c r="V25" i="2"/>
  <c r="BD128" i="2"/>
  <c r="W163" i="2"/>
  <c r="AY162" i="2"/>
  <c r="BD162" i="2" s="1"/>
  <c r="U163" i="2"/>
  <c r="V163" i="2"/>
  <c r="V164" i="2" s="1"/>
  <c r="V170" i="2" s="1"/>
  <c r="AZ136" i="2"/>
  <c r="V133" i="2"/>
  <c r="AK131" i="2"/>
  <c r="Y131" i="2"/>
  <c r="X129" i="2"/>
  <c r="X143" i="2"/>
  <c r="Y125" i="2"/>
  <c r="AY77" i="2"/>
  <c r="BB77" i="2"/>
  <c r="U67" i="2"/>
  <c r="AY67" i="2" s="1"/>
  <c r="V67" i="2"/>
  <c r="AY56" i="2"/>
  <c r="BB56" i="2"/>
  <c r="BE56" i="2" s="1"/>
  <c r="AY14" i="2"/>
  <c r="BB14" i="2"/>
  <c r="BE14" i="2" s="1"/>
  <c r="Z164" i="2"/>
  <c r="Z170" i="2" s="1"/>
  <c r="U133" i="2"/>
  <c r="AH131" i="2"/>
  <c r="AJ143" i="2"/>
  <c r="V131" i="2"/>
  <c r="AY130" i="2"/>
  <c r="W129" i="2"/>
  <c r="BB128" i="2"/>
  <c r="BE128" i="2" s="1"/>
  <c r="Z113" i="2"/>
  <c r="AA113" i="2"/>
  <c r="AB113" i="2"/>
  <c r="AE113" i="2"/>
  <c r="AF113" i="2"/>
  <c r="U113" i="2"/>
  <c r="AG113" i="2"/>
  <c r="X113" i="2"/>
  <c r="Y113" i="2"/>
  <c r="BD108" i="2"/>
  <c r="AZ97" i="2"/>
  <c r="AC59" i="2"/>
  <c r="AO59" i="2"/>
  <c r="AD59" i="2"/>
  <c r="AP59" i="2"/>
  <c r="AE59" i="2"/>
  <c r="AQ59" i="2"/>
  <c r="AF59" i="2"/>
  <c r="AR59" i="2"/>
  <c r="U59" i="2"/>
  <c r="AG59" i="2"/>
  <c r="AS59" i="2"/>
  <c r="V59" i="2"/>
  <c r="AH59" i="2"/>
  <c r="W59" i="2"/>
  <c r="AI59" i="2"/>
  <c r="X59" i="2"/>
  <c r="AJ59" i="2"/>
  <c r="Y59" i="2"/>
  <c r="AK59" i="2"/>
  <c r="Z59" i="2"/>
  <c r="AL59" i="2"/>
  <c r="AA59" i="2"/>
  <c r="AB59" i="2"/>
  <c r="AM59" i="2"/>
  <c r="AZ33" i="2"/>
  <c r="AB143" i="2"/>
  <c r="W105" i="2"/>
  <c r="X105" i="2"/>
  <c r="BB162" i="2"/>
  <c r="AZ141" i="2"/>
  <c r="AO143" i="2"/>
  <c r="AO135" i="2"/>
  <c r="AJ131" i="2"/>
  <c r="AG131" i="2"/>
  <c r="AA129" i="2"/>
  <c r="BA129" i="2" s="1"/>
  <c r="W121" i="2"/>
  <c r="AY121" i="2" s="1"/>
  <c r="AI121" i="2"/>
  <c r="X121" i="2"/>
  <c r="Y121" i="2"/>
  <c r="AB121" i="2"/>
  <c r="AC121" i="2"/>
  <c r="AD121" i="2"/>
  <c r="U121" i="2"/>
  <c r="AG121" i="2"/>
  <c r="V121" i="2"/>
  <c r="AH121" i="2"/>
  <c r="BD118" i="2"/>
  <c r="AZ118" i="2"/>
  <c r="BD110" i="2"/>
  <c r="BB102" i="2"/>
  <c r="BE102" i="2" s="1"/>
  <c r="AY102" i="2"/>
  <c r="T168" i="2"/>
  <c r="AN135" i="2"/>
  <c r="AN143" i="2"/>
  <c r="AI131" i="2"/>
  <c r="AF131" i="2"/>
  <c r="W168" i="2"/>
  <c r="AF117" i="2"/>
  <c r="U117" i="2"/>
  <c r="AG117" i="2"/>
  <c r="V117" i="2"/>
  <c r="AH117" i="2"/>
  <c r="Y117" i="2"/>
  <c r="AH143" i="2"/>
  <c r="BA116" i="2"/>
  <c r="BB116" i="2" s="1"/>
  <c r="Z117" i="2"/>
  <c r="AA117" i="2"/>
  <c r="AD117" i="2"/>
  <c r="AE117" i="2"/>
  <c r="BD101" i="2"/>
  <c r="BD94" i="2"/>
  <c r="AZ94" i="2"/>
  <c r="AE45" i="2"/>
  <c r="AF45" i="2"/>
  <c r="U45" i="2"/>
  <c r="AG45" i="2"/>
  <c r="V45" i="2"/>
  <c r="AH45" i="2"/>
  <c r="W45" i="2"/>
  <c r="AI45" i="2"/>
  <c r="X45" i="2"/>
  <c r="Y45" i="2"/>
  <c r="Z45" i="2"/>
  <c r="AA45" i="2"/>
  <c r="AB45" i="2"/>
  <c r="AC45" i="2"/>
  <c r="AD45" i="2"/>
  <c r="W164" i="2"/>
  <c r="W170" i="2" s="1"/>
  <c r="AC131" i="2"/>
  <c r="AE131" i="2"/>
  <c r="V129" i="2"/>
  <c r="BD124" i="2"/>
  <c r="BB122" i="2"/>
  <c r="BE122" i="2" s="1"/>
  <c r="V143" i="2"/>
  <c r="U123" i="2"/>
  <c r="AY122" i="2"/>
  <c r="BB112" i="2"/>
  <c r="BE112" i="2" s="1"/>
  <c r="AY112" i="2"/>
  <c r="V105" i="2"/>
  <c r="AY105" i="2" s="1"/>
  <c r="AB99" i="2"/>
  <c r="U99" i="2"/>
  <c r="V99" i="2"/>
  <c r="W99" i="2"/>
  <c r="Z99" i="2"/>
  <c r="AA99" i="2"/>
  <c r="AZ96" i="2"/>
  <c r="BB92" i="2"/>
  <c r="BE92" i="2" s="1"/>
  <c r="AY92" i="2"/>
  <c r="BD64" i="2"/>
  <c r="BE64" i="2"/>
  <c r="BD50" i="2"/>
  <c r="AF21" i="2"/>
  <c r="U21" i="2"/>
  <c r="AG21" i="2"/>
  <c r="V21" i="2"/>
  <c r="AH21" i="2"/>
  <c r="W21" i="2"/>
  <c r="AI21" i="2"/>
  <c r="X21" i="2"/>
  <c r="Y21" i="2"/>
  <c r="Z21" i="2"/>
  <c r="AA21" i="2"/>
  <c r="AB21" i="2"/>
  <c r="AC21" i="2"/>
  <c r="AD21" i="2"/>
  <c r="AE21" i="2"/>
  <c r="AA73" i="2"/>
  <c r="BA73" i="2" s="1"/>
  <c r="AB73" i="2"/>
  <c r="U73" i="2"/>
  <c r="V73" i="2"/>
  <c r="W73" i="2"/>
  <c r="X73" i="2"/>
  <c r="AZ48" i="2"/>
  <c r="AK163" i="2"/>
  <c r="AK164" i="2" s="1"/>
  <c r="AK170" i="2" s="1"/>
  <c r="BB132" i="2"/>
  <c r="BE132" i="2" s="1"/>
  <c r="BB107" i="2"/>
  <c r="AZ90" i="2"/>
  <c r="U85" i="2"/>
  <c r="AG85" i="2"/>
  <c r="V85" i="2"/>
  <c r="AH85" i="2"/>
  <c r="W85" i="2"/>
  <c r="AY85" i="2" s="1"/>
  <c r="AI85" i="2"/>
  <c r="X85" i="2"/>
  <c r="AJ85" i="2"/>
  <c r="Y85" i="2"/>
  <c r="AK85" i="2"/>
  <c r="Z85" i="2"/>
  <c r="AL85" i="2"/>
  <c r="AA85" i="2"/>
  <c r="AB85" i="2"/>
  <c r="AC85" i="2"/>
  <c r="AD85" i="2"/>
  <c r="V81" i="2"/>
  <c r="AY81" i="2" s="1"/>
  <c r="AH81" i="2"/>
  <c r="W81" i="2"/>
  <c r="AI81" i="2"/>
  <c r="X81" i="2"/>
  <c r="Y81" i="2"/>
  <c r="Z81" i="2"/>
  <c r="AA81" i="2"/>
  <c r="AB81" i="2"/>
  <c r="AC81" i="2"/>
  <c r="AD81" i="2"/>
  <c r="AE81" i="2"/>
  <c r="AC79" i="2"/>
  <c r="AO79" i="2"/>
  <c r="AD79" i="2"/>
  <c r="AP79" i="2"/>
  <c r="AE79" i="2"/>
  <c r="AQ79" i="2"/>
  <c r="AF79" i="2"/>
  <c r="AR79" i="2"/>
  <c r="U79" i="2"/>
  <c r="AG79" i="2"/>
  <c r="AS79" i="2"/>
  <c r="V79" i="2"/>
  <c r="AH79" i="2"/>
  <c r="AT79" i="2"/>
  <c r="W79" i="2"/>
  <c r="AI79" i="2"/>
  <c r="AU79" i="2"/>
  <c r="X79" i="2"/>
  <c r="AJ79" i="2"/>
  <c r="AV79" i="2"/>
  <c r="Y79" i="2"/>
  <c r="AK79" i="2"/>
  <c r="Z79" i="2"/>
  <c r="AL79" i="2"/>
  <c r="Z55" i="2"/>
  <c r="AA55" i="2"/>
  <c r="AB55" i="2"/>
  <c r="AC55" i="2"/>
  <c r="AD55" i="2"/>
  <c r="AE55" i="2"/>
  <c r="U55" i="2"/>
  <c r="V55" i="2"/>
  <c r="W55" i="2"/>
  <c r="AE53" i="2"/>
  <c r="AQ53" i="2"/>
  <c r="AF53" i="2"/>
  <c r="AR53" i="2"/>
  <c r="U53" i="2"/>
  <c r="AG53" i="2"/>
  <c r="AS53" i="2"/>
  <c r="V53" i="2"/>
  <c r="AH53" i="2"/>
  <c r="AT53" i="2"/>
  <c r="W53" i="2"/>
  <c r="AI53" i="2"/>
  <c r="X53" i="2"/>
  <c r="AJ53" i="2"/>
  <c r="Y53" i="2"/>
  <c r="AK53" i="2"/>
  <c r="Z53" i="2"/>
  <c r="AL53" i="2"/>
  <c r="AA53" i="2"/>
  <c r="BA53" i="2" s="1"/>
  <c r="AM53" i="2"/>
  <c r="AB53" i="2"/>
  <c r="AN53" i="2"/>
  <c r="AT163" i="2"/>
  <c r="AT164" i="2" s="1"/>
  <c r="AT170" i="2" s="1"/>
  <c r="AH163" i="2"/>
  <c r="AH164" i="2" s="1"/>
  <c r="AH170" i="2" s="1"/>
  <c r="AC151" i="2"/>
  <c r="AC164" i="2" s="1"/>
  <c r="AC170" i="2" s="1"/>
  <c r="AS71" i="2"/>
  <c r="BD66" i="2"/>
  <c r="AZ54" i="2"/>
  <c r="U43" i="2"/>
  <c r="V43" i="2"/>
  <c r="W43" i="2"/>
  <c r="X43" i="2"/>
  <c r="AZ28" i="2"/>
  <c r="AY18" i="2"/>
  <c r="BB18" i="2"/>
  <c r="BE18" i="2" s="1"/>
  <c r="AY16" i="2"/>
  <c r="BB16" i="2"/>
  <c r="BE16" i="2" s="1"/>
  <c r="BB7" i="2"/>
  <c r="AS163" i="2"/>
  <c r="AS164" i="2" s="1"/>
  <c r="AS170" i="2" s="1"/>
  <c r="AG163" i="2"/>
  <c r="AB151" i="2"/>
  <c r="U89" i="2"/>
  <c r="V89" i="2"/>
  <c r="AY89" i="2" s="1"/>
  <c r="W89" i="2"/>
  <c r="BD82" i="2"/>
  <c r="BE82" i="2"/>
  <c r="BD74" i="2"/>
  <c r="BE74" i="2"/>
  <c r="AR71" i="2"/>
  <c r="AY69" i="2"/>
  <c r="AD49" i="2"/>
  <c r="BD42" i="2"/>
  <c r="BE42" i="2"/>
  <c r="BD40" i="2"/>
  <c r="BD88" i="2"/>
  <c r="BE88" i="2"/>
  <c r="U69" i="2"/>
  <c r="V69" i="2"/>
  <c r="X57" i="2"/>
  <c r="AJ57" i="2"/>
  <c r="Y57" i="2"/>
  <c r="Z57" i="2"/>
  <c r="AA57" i="2"/>
  <c r="AB57" i="2"/>
  <c r="AC57" i="2"/>
  <c r="AD57" i="2"/>
  <c r="AE57" i="2"/>
  <c r="AF57" i="2"/>
  <c r="U57" i="2"/>
  <c r="AG57" i="2"/>
  <c r="AZ10" i="2"/>
  <c r="BD68" i="2"/>
  <c r="AE49" i="2"/>
  <c r="AF49" i="2"/>
  <c r="U49" i="2"/>
  <c r="V49" i="2"/>
  <c r="W49" i="2"/>
  <c r="X49" i="2"/>
  <c r="Y49" i="2"/>
  <c r="Z49" i="2"/>
  <c r="AA49" i="2"/>
  <c r="AB49" i="2"/>
  <c r="BA33" i="2"/>
  <c r="BB33" i="2" s="1"/>
  <c r="BD33" i="2" s="1"/>
  <c r="AZ76" i="2"/>
  <c r="V71" i="2"/>
  <c r="AY71" i="2" s="1"/>
  <c r="AH71" i="2"/>
  <c r="AT71" i="2"/>
  <c r="W71" i="2"/>
  <c r="AI71" i="2"/>
  <c r="AU71" i="2"/>
  <c r="X71" i="2"/>
  <c r="AJ71" i="2"/>
  <c r="AV71" i="2"/>
  <c r="AV144" i="2" s="1"/>
  <c r="Y71" i="2"/>
  <c r="AK71" i="2"/>
  <c r="Z71" i="2"/>
  <c r="AL71" i="2"/>
  <c r="AA71" i="2"/>
  <c r="AM71" i="2"/>
  <c r="AB71" i="2"/>
  <c r="AN71" i="2"/>
  <c r="AC71" i="2"/>
  <c r="AO71" i="2"/>
  <c r="AD71" i="2"/>
  <c r="AP71" i="2"/>
  <c r="AE71" i="2"/>
  <c r="AQ71" i="2"/>
  <c r="BA41" i="2"/>
  <c r="AA27" i="2"/>
  <c r="AB27" i="2"/>
  <c r="AC27" i="2"/>
  <c r="AD27" i="2"/>
  <c r="U27" i="2"/>
  <c r="V27" i="2"/>
  <c r="W27" i="2"/>
  <c r="X27" i="2"/>
  <c r="U91" i="2"/>
  <c r="AG91" i="2"/>
  <c r="V91" i="2"/>
  <c r="AH91" i="2"/>
  <c r="W91" i="2"/>
  <c r="AI91" i="2"/>
  <c r="X91" i="2"/>
  <c r="AJ91" i="2"/>
  <c r="AY91" i="2" s="1"/>
  <c r="Y91" i="2"/>
  <c r="AK91" i="2"/>
  <c r="Z91" i="2"/>
  <c r="AA91" i="2"/>
  <c r="AB91" i="2"/>
  <c r="AC91" i="2"/>
  <c r="AD91" i="2"/>
  <c r="AZ44" i="2"/>
  <c r="BD44" i="2"/>
  <c r="V39" i="2"/>
  <c r="AY39" i="2" s="1"/>
  <c r="AH39" i="2"/>
  <c r="W39" i="2"/>
  <c r="AI39" i="2"/>
  <c r="X39" i="2"/>
  <c r="Y39" i="2"/>
  <c r="Z39" i="2"/>
  <c r="AA39" i="2"/>
  <c r="BA39" i="2" s="1"/>
  <c r="AB39" i="2"/>
  <c r="AC39" i="2"/>
  <c r="AD39" i="2"/>
  <c r="AE39" i="2"/>
  <c r="BD26" i="2"/>
  <c r="BE26" i="2"/>
  <c r="BB15" i="2"/>
  <c r="BB12" i="2"/>
  <c r="BE12" i="2" s="1"/>
  <c r="U9" i="2"/>
  <c r="V9" i="2"/>
  <c r="W9" i="2"/>
  <c r="X9" i="2"/>
  <c r="Y9" i="2"/>
  <c r="Z9" i="2"/>
  <c r="AA9" i="2"/>
  <c r="AB9" i="2"/>
  <c r="V93" i="2"/>
  <c r="BB93" i="2" s="1"/>
  <c r="Y83" i="2"/>
  <c r="AK75" i="2"/>
  <c r="Y75" i="2"/>
  <c r="AK65" i="2"/>
  <c r="Y65" i="2"/>
  <c r="AE63" i="2"/>
  <c r="V61" i="2"/>
  <c r="BD52" i="2"/>
  <c r="Y51" i="2"/>
  <c r="AZ50" i="2"/>
  <c r="AH47" i="2"/>
  <c r="V47" i="2"/>
  <c r="Y41" i="2"/>
  <c r="AZ40" i="2"/>
  <c r="Y37" i="2"/>
  <c r="AI29" i="2"/>
  <c r="W29" i="2"/>
  <c r="AI23" i="2"/>
  <c r="W23" i="2"/>
  <c r="AS19" i="2"/>
  <c r="AG19" i="2"/>
  <c r="U19" i="2"/>
  <c r="U17" i="2"/>
  <c r="U15" i="2"/>
  <c r="AY15" i="2" s="1"/>
  <c r="AY12" i="2"/>
  <c r="AJ83" i="2"/>
  <c r="X83" i="2"/>
  <c r="AJ75" i="2"/>
  <c r="X75" i="2"/>
  <c r="AJ65" i="2"/>
  <c r="BA65" i="2" s="1"/>
  <c r="X65" i="2"/>
  <c r="BB65" i="2" s="1"/>
  <c r="U61" i="2"/>
  <c r="X51" i="2"/>
  <c r="BB51" i="2" s="1"/>
  <c r="BB48" i="2"/>
  <c r="BE48" i="2" s="1"/>
  <c r="AG47" i="2"/>
  <c r="U47" i="2"/>
  <c r="BB44" i="2"/>
  <c r="BE44" i="2" s="1"/>
  <c r="X41" i="2"/>
  <c r="X37" i="2"/>
  <c r="BD34" i="2"/>
  <c r="BD30" i="2"/>
  <c r="AH29" i="2"/>
  <c r="V29" i="2"/>
  <c r="BD24" i="2"/>
  <c r="AH23" i="2"/>
  <c r="V23" i="2"/>
  <c r="BD20" i="2"/>
  <c r="AR19" i="2"/>
  <c r="AR144" i="2" s="1"/>
  <c r="AR169" i="2" s="1"/>
  <c r="AR171" i="2" s="1"/>
  <c r="AR173" i="2" s="1"/>
  <c r="AF19" i="2"/>
  <c r="BB10" i="2"/>
  <c r="BE10" i="2" s="1"/>
  <c r="BB8" i="2"/>
  <c r="BE8" i="2" s="1"/>
  <c r="AI83" i="2"/>
  <c r="W83" i="2"/>
  <c r="AU75" i="2"/>
  <c r="AI75" i="2"/>
  <c r="W75" i="2"/>
  <c r="AI65" i="2"/>
  <c r="W65" i="2"/>
  <c r="AC63" i="2"/>
  <c r="AF61" i="2"/>
  <c r="W51" i="2"/>
  <c r="AF47" i="2"/>
  <c r="BA47" i="2" s="1"/>
  <c r="W41" i="2"/>
  <c r="AI37" i="2"/>
  <c r="W37" i="2"/>
  <c r="AG29" i="2"/>
  <c r="U29" i="2"/>
  <c r="AG23" i="2"/>
  <c r="U23" i="2"/>
  <c r="AQ19" i="2"/>
  <c r="AE19" i="2"/>
  <c r="BB90" i="2"/>
  <c r="BE90" i="2" s="1"/>
  <c r="BB84" i="2"/>
  <c r="BE84" i="2" s="1"/>
  <c r="AH83" i="2"/>
  <c r="BA83" i="2" s="1"/>
  <c r="V83" i="2"/>
  <c r="BD80" i="2"/>
  <c r="BB76" i="2"/>
  <c r="BE76" i="2" s="1"/>
  <c r="AH75" i="2"/>
  <c r="V75" i="2"/>
  <c r="AY75" i="2" s="1"/>
  <c r="BD70" i="2"/>
  <c r="AH65" i="2"/>
  <c r="V65" i="2"/>
  <c r="AB63" i="2"/>
  <c r="BA63" i="2" s="1"/>
  <c r="BD62" i="2"/>
  <c r="AE61" i="2"/>
  <c r="AE47" i="2"/>
  <c r="V41" i="2"/>
  <c r="BD38" i="2"/>
  <c r="AH37" i="2"/>
  <c r="V37" i="2"/>
  <c r="AF29" i="2"/>
  <c r="AF23" i="2"/>
  <c r="U41" i="2"/>
  <c r="BB41" i="2" s="1"/>
  <c r="AG37" i="2"/>
  <c r="U37" i="2"/>
  <c r="AY37" i="2" s="1"/>
  <c r="AE29" i="2"/>
  <c r="AE23" i="2"/>
  <c r="AC15" i="2"/>
  <c r="BD6" i="2"/>
  <c r="AR75" i="2"/>
  <c r="AF75" i="2"/>
  <c r="AQ75" i="2"/>
  <c r="AE75" i="2"/>
  <c r="AE65" i="2"/>
  <c r="Y63" i="2"/>
  <c r="BB63" i="2" s="1"/>
  <c r="AB61" i="2"/>
  <c r="AE37" i="2"/>
  <c r="AC29" i="2"/>
  <c r="AC23" i="2"/>
  <c r="AM19" i="2"/>
  <c r="AA19" i="2"/>
  <c r="AA17" i="2"/>
  <c r="BA17" i="2" s="1"/>
  <c r="AA15" i="2"/>
  <c r="BA15" i="2" s="1"/>
  <c r="AO75" i="2"/>
  <c r="Z61" i="2"/>
  <c r="AC41" i="2"/>
  <c r="AC37" i="2"/>
  <c r="BA37" i="2" s="1"/>
  <c r="AA29" i="2"/>
  <c r="AA23" i="2"/>
  <c r="BA23" i="2" s="1"/>
  <c r="AJ19" i="2"/>
  <c r="BD127" i="2" l="1"/>
  <c r="AZ127" i="2"/>
  <c r="BA127" i="2"/>
  <c r="BB127" i="2" s="1"/>
  <c r="BD126" i="2"/>
  <c r="AZ126" i="2"/>
  <c r="AZ103" i="2"/>
  <c r="BD89" i="2"/>
  <c r="AZ89" i="2"/>
  <c r="BE116" i="2"/>
  <c r="BD116" i="2"/>
  <c r="AZ91" i="2"/>
  <c r="AZ81" i="2"/>
  <c r="AZ85" i="2"/>
  <c r="AZ109" i="2"/>
  <c r="BD107" i="2"/>
  <c r="AZ107" i="2"/>
  <c r="AZ39" i="2"/>
  <c r="AZ71" i="2"/>
  <c r="BD71" i="2"/>
  <c r="AZ121" i="2"/>
  <c r="AZ67" i="2"/>
  <c r="BD67" i="2"/>
  <c r="AA168" i="2"/>
  <c r="T147" i="2"/>
  <c r="AZ37" i="2"/>
  <c r="AZ11" i="2"/>
  <c r="BD11" i="2"/>
  <c r="AZ75" i="2"/>
  <c r="AZ105" i="2"/>
  <c r="Y168" i="2"/>
  <c r="AV169" i="2"/>
  <c r="AV171" i="2" s="1"/>
  <c r="AV173" i="2" s="1"/>
  <c r="AV145" i="2"/>
  <c r="AV147" i="2" s="1"/>
  <c r="BD90" i="2"/>
  <c r="BB73" i="2"/>
  <c r="AZ56" i="2"/>
  <c r="BD56" i="2"/>
  <c r="AC168" i="2"/>
  <c r="AG135" i="2"/>
  <c r="AG143" i="2"/>
  <c r="AZ86" i="2"/>
  <c r="BD86" i="2"/>
  <c r="BA29" i="2"/>
  <c r="BB29" i="2" s="1"/>
  <c r="BA61" i="2"/>
  <c r="BB61" i="2" s="1"/>
  <c r="AY51" i="2"/>
  <c r="BD12" i="2"/>
  <c r="AZ12" i="2"/>
  <c r="AY27" i="2"/>
  <c r="BB89" i="2"/>
  <c r="BD92" i="2"/>
  <c r="AZ92" i="2"/>
  <c r="AY163" i="2"/>
  <c r="AZ87" i="2"/>
  <c r="BD87" i="2"/>
  <c r="AY31" i="2"/>
  <c r="BB31" i="2"/>
  <c r="AY134" i="2"/>
  <c r="AN144" i="2"/>
  <c r="AN169" i="2" s="1"/>
  <c r="AF135" i="2"/>
  <c r="AF144" i="2" s="1"/>
  <c r="AF169" i="2" s="1"/>
  <c r="AF143" i="2"/>
  <c r="BD159" i="2"/>
  <c r="AI135" i="2"/>
  <c r="AI144" i="2" s="1"/>
  <c r="BB47" i="2"/>
  <c r="AY47" i="2"/>
  <c r="AB164" i="2"/>
  <c r="AB170" i="2" s="1"/>
  <c r="AY151" i="2"/>
  <c r="BA151" i="2"/>
  <c r="BB43" i="2"/>
  <c r="AY43" i="2"/>
  <c r="BD122" i="2"/>
  <c r="AZ122" i="2"/>
  <c r="AZ60" i="2"/>
  <c r="BD60" i="2"/>
  <c r="AE143" i="2"/>
  <c r="BA143" i="2" s="1"/>
  <c r="AE135" i="2"/>
  <c r="AD168" i="2"/>
  <c r="AI168" i="2"/>
  <c r="BB11" i="2"/>
  <c r="AY65" i="2"/>
  <c r="AE144" i="2"/>
  <c r="AE169" i="2" s="1"/>
  <c r="AY17" i="2"/>
  <c r="BB17" i="2"/>
  <c r="AB144" i="2"/>
  <c r="AB169" i="2" s="1"/>
  <c r="AU144" i="2"/>
  <c r="BB71" i="2"/>
  <c r="BB123" i="2"/>
  <c r="AY123" i="2"/>
  <c r="BA117" i="2"/>
  <c r="BB117" i="2" s="1"/>
  <c r="AB168" i="2"/>
  <c r="AZ130" i="2"/>
  <c r="BD130" i="2"/>
  <c r="BA115" i="2"/>
  <c r="BB115" i="2" s="1"/>
  <c r="X135" i="2"/>
  <c r="X144" i="2" s="1"/>
  <c r="V135" i="2"/>
  <c r="BA109" i="2"/>
  <c r="AR145" i="2"/>
  <c r="AR147" i="2" s="1"/>
  <c r="AZ15" i="2"/>
  <c r="BD15" i="2"/>
  <c r="BA75" i="2"/>
  <c r="AQ144" i="2"/>
  <c r="BB19" i="2"/>
  <c r="AY19" i="2"/>
  <c r="BA9" i="2"/>
  <c r="BB9" i="2" s="1"/>
  <c r="AA144" i="2"/>
  <c r="BA57" i="2"/>
  <c r="BB57" i="2" s="1"/>
  <c r="AY53" i="2"/>
  <c r="BB53" i="2"/>
  <c r="BA55" i="2"/>
  <c r="BA99" i="2"/>
  <c r="V168" i="2"/>
  <c r="AB135" i="2"/>
  <c r="AY131" i="2"/>
  <c r="AZ77" i="2"/>
  <c r="BD77" i="2"/>
  <c r="BA35" i="2"/>
  <c r="BB35" i="2" s="1"/>
  <c r="AD135" i="2"/>
  <c r="AD144" i="2" s="1"/>
  <c r="AY125" i="2"/>
  <c r="BB67" i="2"/>
  <c r="BB23" i="2"/>
  <c r="AY23" i="2"/>
  <c r="AG144" i="2"/>
  <c r="AG169" i="2" s="1"/>
  <c r="Z144" i="2"/>
  <c r="Z169" i="2" s="1"/>
  <c r="BA27" i="2"/>
  <c r="BB27" i="2" s="1"/>
  <c r="BA49" i="2"/>
  <c r="BB49" i="2" s="1"/>
  <c r="BD10" i="2"/>
  <c r="AZ69" i="2"/>
  <c r="AY41" i="2"/>
  <c r="BB113" i="2"/>
  <c r="AY113" i="2"/>
  <c r="AJ168" i="2"/>
  <c r="AL144" i="2"/>
  <c r="AL169" i="2" s="1"/>
  <c r="AY35" i="2"/>
  <c r="AM143" i="2"/>
  <c r="AM135" i="2"/>
  <c r="AY61" i="2"/>
  <c r="AS144" i="2"/>
  <c r="Y144" i="2"/>
  <c r="Y169" i="2" s="1"/>
  <c r="AY73" i="2"/>
  <c r="BB39" i="2"/>
  <c r="BD39" i="2" s="1"/>
  <c r="BA79" i="2"/>
  <c r="BB79" i="2" s="1"/>
  <c r="BD48" i="2"/>
  <c r="AY45" i="2"/>
  <c r="AH168" i="2"/>
  <c r="X168" i="2"/>
  <c r="AY25" i="2"/>
  <c r="BB25" i="2"/>
  <c r="BA163" i="2"/>
  <c r="BB163" i="2" s="1"/>
  <c r="AY111" i="2"/>
  <c r="AZ32" i="2"/>
  <c r="BD32" i="2"/>
  <c r="BA134" i="2"/>
  <c r="BB134" i="2" s="1"/>
  <c r="BE134" i="2" s="1"/>
  <c r="AA135" i="2"/>
  <c r="AC135" i="2"/>
  <c r="AC144" i="2" s="1"/>
  <c r="BB75" i="2"/>
  <c r="BD75" i="2" s="1"/>
  <c r="AY29" i="2"/>
  <c r="BA71" i="2"/>
  <c r="AZ16" i="2"/>
  <c r="BD16" i="2"/>
  <c r="AY83" i="2"/>
  <c r="AN168" i="2"/>
  <c r="AO168" i="2"/>
  <c r="BB133" i="2"/>
  <c r="AY133" i="2"/>
  <c r="BB95" i="2"/>
  <c r="AY95" i="2"/>
  <c r="AY115" i="2"/>
  <c r="AL135" i="2"/>
  <c r="AL143" i="2"/>
  <c r="BD140" i="2"/>
  <c r="AZ140" i="2"/>
  <c r="T169" i="2"/>
  <c r="AP144" i="2"/>
  <c r="Z135" i="2"/>
  <c r="Z143" i="2"/>
  <c r="W144" i="2"/>
  <c r="BB99" i="2"/>
  <c r="AM144" i="2"/>
  <c r="AM169" i="2" s="1"/>
  <c r="BD76" i="2"/>
  <c r="AZ18" i="2"/>
  <c r="BD18" i="2"/>
  <c r="BA45" i="2"/>
  <c r="BB45" i="2" s="1"/>
  <c r="T171" i="2"/>
  <c r="U179" i="2"/>
  <c r="AY93" i="2"/>
  <c r="BA113" i="2"/>
  <c r="BB109" i="2"/>
  <c r="BD109" i="2" s="1"/>
  <c r="AK143" i="2"/>
  <c r="AK135" i="2"/>
  <c r="AK144" i="2" s="1"/>
  <c r="AK169" i="2" s="1"/>
  <c r="BD8" i="2"/>
  <c r="AY63" i="2"/>
  <c r="BB105" i="2"/>
  <c r="BD105" i="2" s="1"/>
  <c r="AY21" i="2"/>
  <c r="U144" i="2"/>
  <c r="AY9" i="2"/>
  <c r="BA91" i="2"/>
  <c r="BB91" i="2" s="1"/>
  <c r="BD91" i="2" s="1"/>
  <c r="AY57" i="2"/>
  <c r="BB69" i="2"/>
  <c r="BD69" i="2" s="1"/>
  <c r="AY79" i="2"/>
  <c r="BA121" i="2"/>
  <c r="BB121" i="2" s="1"/>
  <c r="BD121" i="2" s="1"/>
  <c r="BA59" i="2"/>
  <c r="AZ14" i="2"/>
  <c r="BD14" i="2"/>
  <c r="BD84" i="2"/>
  <c r="BB103" i="2"/>
  <c r="BD103" i="2" s="1"/>
  <c r="BD132" i="2"/>
  <c r="AZ132" i="2"/>
  <c r="Y135" i="2"/>
  <c r="BA125" i="2"/>
  <c r="BB125" i="2" s="1"/>
  <c r="BB37" i="2"/>
  <c r="BD37" i="2" s="1"/>
  <c r="BA19" i="2"/>
  <c r="AZ7" i="2"/>
  <c r="BD7" i="2"/>
  <c r="AJ144" i="2"/>
  <c r="AJ169" i="2" s="1"/>
  <c r="BB83" i="2"/>
  <c r="AY49" i="2"/>
  <c r="AT144" i="2"/>
  <c r="AY55" i="2"/>
  <c r="BB55" i="2"/>
  <c r="BA81" i="2"/>
  <c r="BB81" i="2" s="1"/>
  <c r="BD81" i="2" s="1"/>
  <c r="BA85" i="2"/>
  <c r="BB85" i="2" s="1"/>
  <c r="BD85" i="2" s="1"/>
  <c r="BA21" i="2"/>
  <c r="BB21" i="2" s="1"/>
  <c r="BD112" i="2"/>
  <c r="AZ112" i="2"/>
  <c r="BB129" i="2"/>
  <c r="AY129" i="2"/>
  <c r="AY99" i="2"/>
  <c r="AY117" i="2"/>
  <c r="BD102" i="2"/>
  <c r="AZ102" i="2"/>
  <c r="AY59" i="2"/>
  <c r="BB59" i="2"/>
  <c r="AA164" i="2"/>
  <c r="AA170" i="2" s="1"/>
  <c r="BD119" i="2"/>
  <c r="AZ119" i="2"/>
  <c r="BA131" i="2"/>
  <c r="BB131" i="2" s="1"/>
  <c r="AO144" i="2"/>
  <c r="AO169" i="2" s="1"/>
  <c r="AH135" i="2"/>
  <c r="AH144" i="2" s="1"/>
  <c r="AN145" i="2" l="1"/>
  <c r="AN147" i="2" s="1"/>
  <c r="AN171" i="2"/>
  <c r="AN173" i="2" s="1"/>
  <c r="AC169" i="2"/>
  <c r="AC145" i="2"/>
  <c r="AC147" i="2" s="1"/>
  <c r="AI169" i="2"/>
  <c r="AI145" i="2"/>
  <c r="AI147" i="2" s="1"/>
  <c r="X169" i="2"/>
  <c r="X145" i="2"/>
  <c r="X147" i="2" s="1"/>
  <c r="AH169" i="2"/>
  <c r="AH171" i="2" s="1"/>
  <c r="AH173" i="2" s="1"/>
  <c r="AH145" i="2"/>
  <c r="AH147" i="2" s="1"/>
  <c r="AD169" i="2"/>
  <c r="AD145" i="2"/>
  <c r="AD147" i="2" s="1"/>
  <c r="BB143" i="2"/>
  <c r="AG168" i="2"/>
  <c r="AG171" i="2" s="1"/>
  <c r="AG173" i="2" s="1"/>
  <c r="AG145" i="2"/>
  <c r="AG147" i="2" s="1"/>
  <c r="AY143" i="2"/>
  <c r="BD129" i="2"/>
  <c r="AZ129" i="2"/>
  <c r="W169" i="2"/>
  <c r="W171" i="2" s="1"/>
  <c r="W145" i="2"/>
  <c r="W147" i="2" s="1"/>
  <c r="BD115" i="2"/>
  <c r="AZ115" i="2"/>
  <c r="AZ111" i="2"/>
  <c r="BD111" i="2"/>
  <c r="AZ73" i="2"/>
  <c r="BD73" i="2"/>
  <c r="AJ171" i="2"/>
  <c r="AJ173" i="2" s="1"/>
  <c r="BD19" i="2"/>
  <c r="AZ19" i="2"/>
  <c r="AZ17" i="2"/>
  <c r="BD17" i="2"/>
  <c r="AF145" i="2"/>
  <c r="AF147" i="2" s="1"/>
  <c r="AF168" i="2"/>
  <c r="AF171" i="2" s="1"/>
  <c r="AF173" i="2" s="1"/>
  <c r="AL145" i="2"/>
  <c r="AL147" i="2" s="1"/>
  <c r="AL168" i="2"/>
  <c r="AL171" i="2" s="1"/>
  <c r="AL173" i="2" s="1"/>
  <c r="BD117" i="2"/>
  <c r="AZ117" i="2"/>
  <c r="AZ9" i="2"/>
  <c r="BD9" i="2"/>
  <c r="AQ169" i="2"/>
  <c r="AQ171" i="2" s="1"/>
  <c r="AQ173" i="2" s="1"/>
  <c r="AQ145" i="2"/>
  <c r="AQ147" i="2" s="1"/>
  <c r="T173" i="2"/>
  <c r="AZ43" i="2"/>
  <c r="BD43" i="2"/>
  <c r="BD134" i="2"/>
  <c r="AZ134" i="2"/>
  <c r="BA144" i="2"/>
  <c r="AA169" i="2"/>
  <c r="AA171" i="2" s="1"/>
  <c r="AA173" i="2" s="1"/>
  <c r="AZ99" i="2"/>
  <c r="BD99" i="2"/>
  <c r="Z145" i="2"/>
  <c r="Z147" i="2" s="1"/>
  <c r="Z168" i="2"/>
  <c r="Z171" i="2" s="1"/>
  <c r="BD23" i="2"/>
  <c r="AZ23" i="2"/>
  <c r="Y171" i="2"/>
  <c r="AS169" i="2"/>
  <c r="AS171" i="2" s="1"/>
  <c r="AS173" i="2" s="1"/>
  <c r="AS145" i="2"/>
  <c r="AS147" i="2" s="1"/>
  <c r="AB171" i="2"/>
  <c r="AB173" i="2" s="1"/>
  <c r="BD65" i="2"/>
  <c r="AZ65" i="2"/>
  <c r="AP145" i="2"/>
  <c r="AP147" i="2" s="1"/>
  <c r="AP169" i="2"/>
  <c r="AP171" i="2" s="1"/>
  <c r="AP173" i="2" s="1"/>
  <c r="AZ25" i="2"/>
  <c r="BD25" i="2"/>
  <c r="U180" i="2"/>
  <c r="BD133" i="2"/>
  <c r="AZ133" i="2"/>
  <c r="BD29" i="2"/>
  <c r="AZ29" i="2"/>
  <c r="BD61" i="2"/>
  <c r="AZ61" i="2"/>
  <c r="BD123" i="2"/>
  <c r="AZ123" i="2"/>
  <c r="AC171" i="2"/>
  <c r="AC173" i="2" s="1"/>
  <c r="AZ35" i="2"/>
  <c r="BD35" i="2"/>
  <c r="AK145" i="2"/>
  <c r="AK147" i="2" s="1"/>
  <c r="AK168" i="2"/>
  <c r="AK171" i="2" s="1"/>
  <c r="AK173" i="2" s="1"/>
  <c r="BD93" i="2"/>
  <c r="AZ93" i="2"/>
  <c r="BD113" i="2"/>
  <c r="AZ113" i="2"/>
  <c r="BD131" i="2"/>
  <c r="AZ131" i="2"/>
  <c r="AB145" i="2"/>
  <c r="AB147" i="2" s="1"/>
  <c r="U169" i="2"/>
  <c r="U171" i="2" s="1"/>
  <c r="U145" i="2"/>
  <c r="BD95" i="2"/>
  <c r="AZ95" i="2"/>
  <c r="AZ27" i="2"/>
  <c r="BD27" i="2"/>
  <c r="Y145" i="2"/>
  <c r="Y147" i="2" s="1"/>
  <c r="BA170" i="2"/>
  <c r="BB170" i="2" s="1"/>
  <c r="AZ21" i="2"/>
  <c r="BD21" i="2"/>
  <c r="X171" i="2"/>
  <c r="AY164" i="2"/>
  <c r="AZ41" i="2"/>
  <c r="BD41" i="2"/>
  <c r="AY170" i="2"/>
  <c r="AI171" i="2"/>
  <c r="AI173" i="2" s="1"/>
  <c r="BA164" i="2"/>
  <c r="BB151" i="2"/>
  <c r="BB164" i="2" s="1"/>
  <c r="AZ31" i="2"/>
  <c r="BD31" i="2"/>
  <c r="BA168" i="2"/>
  <c r="AZ49" i="2"/>
  <c r="BD49" i="2"/>
  <c r="AZ57" i="2"/>
  <c r="BD57" i="2"/>
  <c r="BD83" i="2"/>
  <c r="AZ83" i="2"/>
  <c r="AJ145" i="2"/>
  <c r="AJ147" i="2" s="1"/>
  <c r="AO145" i="2"/>
  <c r="AO147" i="2" s="1"/>
  <c r="BD125" i="2"/>
  <c r="AZ125" i="2"/>
  <c r="AZ51" i="2"/>
  <c r="BD51" i="2"/>
  <c r="AA145" i="2"/>
  <c r="AZ59" i="2"/>
  <c r="BD59" i="2"/>
  <c r="AZ63" i="2"/>
  <c r="BD63" i="2"/>
  <c r="AO171" i="2"/>
  <c r="AO173" i="2" s="1"/>
  <c r="AM145" i="2"/>
  <c r="AM147" i="2" s="1"/>
  <c r="AM168" i="2"/>
  <c r="AM171" i="2" s="1"/>
  <c r="AM173" i="2" s="1"/>
  <c r="AD171" i="2"/>
  <c r="AD173" i="2" s="1"/>
  <c r="AZ55" i="2"/>
  <c r="BD55" i="2"/>
  <c r="BD79" i="2"/>
  <c r="AZ79" i="2"/>
  <c r="BA135" i="2"/>
  <c r="AZ45" i="2"/>
  <c r="BD45" i="2"/>
  <c r="AZ53" i="2"/>
  <c r="BD53" i="2"/>
  <c r="AY135" i="2"/>
  <c r="BB135" i="2"/>
  <c r="AZ47" i="2"/>
  <c r="BD47" i="2"/>
  <c r="V144" i="2"/>
  <c r="BB144" i="2" s="1"/>
  <c r="AU145" i="2"/>
  <c r="AU147" i="2" s="1"/>
  <c r="AU169" i="2"/>
  <c r="AU171" i="2" s="1"/>
  <c r="AU173" i="2" s="1"/>
  <c r="AE145" i="2"/>
  <c r="AE147" i="2" s="1"/>
  <c r="AE168" i="2"/>
  <c r="AE171" i="2" s="1"/>
  <c r="AE173" i="2" s="1"/>
  <c r="BD163" i="2"/>
  <c r="AT145" i="2"/>
  <c r="AT147" i="2" s="1"/>
  <c r="AT169" i="2"/>
  <c r="AT171" i="2" s="1"/>
  <c r="AT173" i="2" s="1"/>
  <c r="X173" i="2" l="1"/>
  <c r="X176" i="2"/>
  <c r="Y176" i="2"/>
  <c r="Y173" i="2"/>
  <c r="BA169" i="2"/>
  <c r="BA171" i="2" s="1"/>
  <c r="AY168" i="2"/>
  <c r="U173" i="2"/>
  <c r="U176" i="2"/>
  <c r="AY171" i="2"/>
  <c r="W173" i="2"/>
  <c r="W176" i="2"/>
  <c r="AA147" i="2"/>
  <c r="BA145" i="2"/>
  <c r="BA147" i="2" s="1"/>
  <c r="BD164" i="2"/>
  <c r="U147" i="2"/>
  <c r="V169" i="2"/>
  <c r="V171" i="2" s="1"/>
  <c r="AY144" i="2"/>
  <c r="V145" i="2"/>
  <c r="V147" i="2" s="1"/>
  <c r="AY169" i="2"/>
  <c r="BD151" i="2"/>
  <c r="BB168" i="2"/>
  <c r="BB169" i="2"/>
  <c r="Z176" i="2"/>
  <c r="Z173" i="2"/>
  <c r="BD135" i="2"/>
  <c r="AZ135" i="2"/>
  <c r="BD143" i="2"/>
  <c r="AZ143" i="2"/>
  <c r="BB171" i="2" l="1"/>
  <c r="AZ144" i="2"/>
  <c r="BD144" i="2"/>
  <c r="V173" i="2"/>
  <c r="V176" i="2"/>
  <c r="BB145" i="2"/>
  <c r="BB147" i="2" s="1"/>
  <c r="AY145" i="2"/>
  <c r="AY147" i="2" l="1"/>
  <c r="BD145" i="2"/>
  <c r="AZ145" i="2"/>
  <c r="AZ147" i="2" s="1"/>
  <c r="N278" i="1" l="1"/>
  <c r="Q278" i="1" s="1"/>
  <c r="G278" i="1"/>
  <c r="E278" i="1"/>
  <c r="J278" i="1" s="1"/>
  <c r="AA276" i="1"/>
  <c r="X276" i="1"/>
  <c r="U276" i="1"/>
  <c r="R276" i="1"/>
  <c r="O276" i="1"/>
  <c r="L276" i="1"/>
  <c r="AA275" i="1"/>
  <c r="X275" i="1"/>
  <c r="U275" i="1"/>
  <c r="R275" i="1"/>
  <c r="O275" i="1"/>
  <c r="L275" i="1"/>
  <c r="Z274" i="1"/>
  <c r="W274" i="1"/>
  <c r="X274" i="1" s="1"/>
  <c r="T274" i="1"/>
  <c r="U274" i="1" s="1"/>
  <c r="Q274" i="1"/>
  <c r="N274" i="1"/>
  <c r="K274" i="1"/>
  <c r="J274" i="1"/>
  <c r="I274" i="1"/>
  <c r="H274" i="1"/>
  <c r="G274" i="1"/>
  <c r="F274" i="1"/>
  <c r="E274" i="1"/>
  <c r="N273" i="1"/>
  <c r="Q273" i="1" s="1"/>
  <c r="R273" i="1" s="1"/>
  <c r="G273" i="1"/>
  <c r="N272" i="1"/>
  <c r="K271" i="1"/>
  <c r="I271" i="1"/>
  <c r="H271" i="1"/>
  <c r="F271" i="1"/>
  <c r="N270" i="1"/>
  <c r="Q270" i="1" s="1"/>
  <c r="E270" i="1"/>
  <c r="J270" i="1" s="1"/>
  <c r="L270" i="1" s="1"/>
  <c r="N269" i="1"/>
  <c r="O269" i="1" s="1"/>
  <c r="E269" i="1"/>
  <c r="J269" i="1" s="1"/>
  <c r="N268" i="1"/>
  <c r="Q268" i="1" s="1"/>
  <c r="T268" i="1" s="1"/>
  <c r="W268" i="1" s="1"/>
  <c r="Z268" i="1" s="1"/>
  <c r="E268" i="1"/>
  <c r="N267" i="1"/>
  <c r="Q267" i="1" s="1"/>
  <c r="T267" i="1" s="1"/>
  <c r="U267" i="1" s="1"/>
  <c r="L267" i="1"/>
  <c r="N266" i="1"/>
  <c r="K266" i="1"/>
  <c r="J266" i="1"/>
  <c r="E266" i="1"/>
  <c r="N265" i="1"/>
  <c r="O265" i="1" s="1"/>
  <c r="K265" i="1"/>
  <c r="K263" i="1" s="1"/>
  <c r="N264" i="1"/>
  <c r="F264" i="1"/>
  <c r="F263" i="1" s="1"/>
  <c r="E264" i="1"/>
  <c r="J263" i="1"/>
  <c r="I263" i="1"/>
  <c r="H263" i="1"/>
  <c r="G263" i="1"/>
  <c r="E263" i="1"/>
  <c r="N262" i="1"/>
  <c r="Q262" i="1" s="1"/>
  <c r="K262" i="1"/>
  <c r="K260" i="1" s="1"/>
  <c r="J262" i="1"/>
  <c r="J260" i="1" s="1"/>
  <c r="N261" i="1"/>
  <c r="Q261" i="1" s="1"/>
  <c r="T261" i="1" s="1"/>
  <c r="F261" i="1"/>
  <c r="F260" i="1" s="1"/>
  <c r="E261" i="1"/>
  <c r="I260" i="1"/>
  <c r="H260" i="1"/>
  <c r="G260" i="1"/>
  <c r="N259" i="1"/>
  <c r="Q259" i="1" s="1"/>
  <c r="R259" i="1" s="1"/>
  <c r="K259" i="1"/>
  <c r="K257" i="1" s="1"/>
  <c r="N258" i="1"/>
  <c r="Q258" i="1" s="1"/>
  <c r="F258" i="1"/>
  <c r="L258" i="1" s="1"/>
  <c r="J257" i="1"/>
  <c r="I257" i="1"/>
  <c r="I249" i="1" s="1"/>
  <c r="H257" i="1"/>
  <c r="G257" i="1"/>
  <c r="E257" i="1"/>
  <c r="N256" i="1"/>
  <c r="Q256" i="1" s="1"/>
  <c r="N255" i="1"/>
  <c r="O255" i="1" s="1"/>
  <c r="K255" i="1"/>
  <c r="J255" i="1"/>
  <c r="N254" i="1"/>
  <c r="Q254" i="1" s="1"/>
  <c r="N253" i="1"/>
  <c r="Q253" i="1" s="1"/>
  <c r="F253" i="1"/>
  <c r="E253" i="1"/>
  <c r="N252" i="1"/>
  <c r="Q252" i="1" s="1"/>
  <c r="E252" i="1"/>
  <c r="N251" i="1"/>
  <c r="Q251" i="1" s="1"/>
  <c r="K251" i="1"/>
  <c r="J251" i="1"/>
  <c r="N250" i="1"/>
  <c r="Q250" i="1" s="1"/>
  <c r="F250" i="1"/>
  <c r="E250" i="1"/>
  <c r="G249" i="1"/>
  <c r="N248" i="1"/>
  <c r="O248" i="1" s="1"/>
  <c r="O247" i="1"/>
  <c r="N247" i="1"/>
  <c r="Q247" i="1" s="1"/>
  <c r="L247" i="1"/>
  <c r="N246" i="1"/>
  <c r="E246" i="1"/>
  <c r="N245" i="1"/>
  <c r="E245" i="1"/>
  <c r="N244" i="1"/>
  <c r="Q244" i="1" s="1"/>
  <c r="I244" i="1"/>
  <c r="L244" i="1" s="1"/>
  <c r="N243" i="1"/>
  <c r="J243" i="1"/>
  <c r="N242" i="1"/>
  <c r="O242" i="1" s="1"/>
  <c r="L242" i="1"/>
  <c r="N241" i="1"/>
  <c r="O241" i="1" s="1"/>
  <c r="F241" i="1"/>
  <c r="E241" i="1"/>
  <c r="L241" i="1" s="1"/>
  <c r="H240" i="1"/>
  <c r="G240" i="1"/>
  <c r="N239" i="1"/>
  <c r="Q239" i="1" s="1"/>
  <c r="K239" i="1"/>
  <c r="L239" i="1" s="1"/>
  <c r="N238" i="1"/>
  <c r="Q238" i="1" s="1"/>
  <c r="K238" i="1"/>
  <c r="L238" i="1" s="1"/>
  <c r="N237" i="1"/>
  <c r="Q237" i="1" s="1"/>
  <c r="K237" i="1"/>
  <c r="F237" i="1"/>
  <c r="F236" i="1" s="1"/>
  <c r="E237" i="1"/>
  <c r="E256" i="1" s="1"/>
  <c r="L256" i="1" s="1"/>
  <c r="J236" i="1"/>
  <c r="I236" i="1"/>
  <c r="H236" i="1"/>
  <c r="G236" i="1"/>
  <c r="N235" i="1"/>
  <c r="I235" i="1"/>
  <c r="L235" i="1" s="1"/>
  <c r="N234" i="1"/>
  <c r="J234" i="1"/>
  <c r="J232" i="1" s="1"/>
  <c r="N233" i="1"/>
  <c r="Q233" i="1" s="1"/>
  <c r="L233" i="1"/>
  <c r="H232" i="1"/>
  <c r="G232" i="1"/>
  <c r="F232" i="1"/>
  <c r="E232" i="1"/>
  <c r="N231" i="1"/>
  <c r="Q231" i="1" s="1"/>
  <c r="T231" i="1" s="1"/>
  <c r="I231" i="1"/>
  <c r="I228" i="1" s="1"/>
  <c r="N230" i="1"/>
  <c r="Q230" i="1" s="1"/>
  <c r="T230" i="1" s="1"/>
  <c r="U230" i="1" s="1"/>
  <c r="J230" i="1"/>
  <c r="J228" i="1" s="1"/>
  <c r="N229" i="1"/>
  <c r="N228" i="1" s="1"/>
  <c r="L229" i="1"/>
  <c r="H228" i="1"/>
  <c r="G228" i="1"/>
  <c r="F228" i="1"/>
  <c r="E228" i="1"/>
  <c r="N227" i="1"/>
  <c r="Q227" i="1" s="1"/>
  <c r="K227" i="1"/>
  <c r="K225" i="1" s="1"/>
  <c r="N226" i="1"/>
  <c r="Q226" i="1" s="1"/>
  <c r="F226" i="1"/>
  <c r="L226" i="1" s="1"/>
  <c r="J225" i="1"/>
  <c r="I225" i="1"/>
  <c r="H225" i="1"/>
  <c r="G225" i="1"/>
  <c r="E225" i="1"/>
  <c r="N224" i="1"/>
  <c r="Q224" i="1" s="1"/>
  <c r="T224" i="1" s="1"/>
  <c r="K224" i="1"/>
  <c r="K222" i="1" s="1"/>
  <c r="J224" i="1"/>
  <c r="N223" i="1"/>
  <c r="Q223" i="1" s="1"/>
  <c r="R223" i="1" s="1"/>
  <c r="F223" i="1"/>
  <c r="E223" i="1"/>
  <c r="E222" i="1" s="1"/>
  <c r="I222" i="1"/>
  <c r="H222" i="1"/>
  <c r="G222" i="1"/>
  <c r="N221" i="1"/>
  <c r="O221" i="1" s="1"/>
  <c r="K221" i="1"/>
  <c r="L221" i="1" s="1"/>
  <c r="N219" i="1"/>
  <c r="Q219" i="1" s="1"/>
  <c r="J219" i="1"/>
  <c r="L219" i="1" s="1"/>
  <c r="N218" i="1"/>
  <c r="O218" i="1" s="1"/>
  <c r="J218" i="1"/>
  <c r="L218" i="1" s="1"/>
  <c r="N217" i="1"/>
  <c r="Q217" i="1" s="1"/>
  <c r="F217" i="1"/>
  <c r="E217" i="1"/>
  <c r="N216" i="1"/>
  <c r="O216" i="1" s="1"/>
  <c r="F216" i="1"/>
  <c r="L216" i="1" s="1"/>
  <c r="N215" i="1"/>
  <c r="O215" i="1" s="1"/>
  <c r="K215" i="1"/>
  <c r="L215" i="1" s="1"/>
  <c r="N214" i="1"/>
  <c r="Q214" i="1" s="1"/>
  <c r="R214" i="1" s="1"/>
  <c r="I214" i="1"/>
  <c r="E214" i="1"/>
  <c r="N213" i="1"/>
  <c r="Q213" i="1" s="1"/>
  <c r="I213" i="1"/>
  <c r="E213" i="1"/>
  <c r="N212" i="1"/>
  <c r="Q212" i="1" s="1"/>
  <c r="R212" i="1" s="1"/>
  <c r="K212" i="1"/>
  <c r="L212" i="1" s="1"/>
  <c r="H211" i="1"/>
  <c r="F211" i="1"/>
  <c r="N210" i="1"/>
  <c r="O210" i="1" s="1"/>
  <c r="E210" i="1"/>
  <c r="E208" i="1" s="1"/>
  <c r="N209" i="1"/>
  <c r="Q209" i="1" s="1"/>
  <c r="K209" i="1"/>
  <c r="J208" i="1"/>
  <c r="I208" i="1"/>
  <c r="H208" i="1"/>
  <c r="G208" i="1"/>
  <c r="N207" i="1"/>
  <c r="O207" i="1" s="1"/>
  <c r="K207" i="1"/>
  <c r="N206" i="1"/>
  <c r="F206" i="1"/>
  <c r="L206" i="1" s="1"/>
  <c r="N205" i="1"/>
  <c r="O205" i="1" s="1"/>
  <c r="F205" i="1"/>
  <c r="L205" i="1" s="1"/>
  <c r="N204" i="1"/>
  <c r="Q204" i="1" s="1"/>
  <c r="R204" i="1" s="1"/>
  <c r="K204" i="1"/>
  <c r="K203" i="1" s="1"/>
  <c r="J204" i="1"/>
  <c r="F204" i="1"/>
  <c r="N203" i="1"/>
  <c r="O203" i="1" s="1"/>
  <c r="J203" i="1"/>
  <c r="I202" i="1"/>
  <c r="H202" i="1"/>
  <c r="H201" i="1" s="1"/>
  <c r="G202" i="1"/>
  <c r="E202" i="1"/>
  <c r="N200" i="1"/>
  <c r="Q200" i="1" s="1"/>
  <c r="T200" i="1" s="1"/>
  <c r="K200" i="1"/>
  <c r="L200" i="1" s="1"/>
  <c r="N199" i="1"/>
  <c r="O199" i="1" s="1"/>
  <c r="J199" i="1"/>
  <c r="L199" i="1" s="1"/>
  <c r="N198" i="1"/>
  <c r="K198" i="1"/>
  <c r="J198" i="1"/>
  <c r="N197" i="1"/>
  <c r="Q197" i="1" s="1"/>
  <c r="T197" i="1" s="1"/>
  <c r="K197" i="1"/>
  <c r="L197" i="1" s="1"/>
  <c r="N196" i="1"/>
  <c r="K196" i="1"/>
  <c r="L196" i="1" s="1"/>
  <c r="N195" i="1"/>
  <c r="O195" i="1" s="1"/>
  <c r="E195" i="1"/>
  <c r="J195" i="1" s="1"/>
  <c r="L195" i="1" s="1"/>
  <c r="N194" i="1"/>
  <c r="O194" i="1" s="1"/>
  <c r="G194" i="1"/>
  <c r="J194" i="1" s="1"/>
  <c r="E194" i="1"/>
  <c r="N193" i="1"/>
  <c r="O193" i="1" s="1"/>
  <c r="J193" i="1"/>
  <c r="L193" i="1" s="1"/>
  <c r="N192" i="1"/>
  <c r="Q192" i="1" s="1"/>
  <c r="R192" i="1" s="1"/>
  <c r="K192" i="1"/>
  <c r="J192" i="1"/>
  <c r="L192" i="1" s="1"/>
  <c r="N191" i="1"/>
  <c r="O191" i="1" s="1"/>
  <c r="K191" i="1"/>
  <c r="J191" i="1"/>
  <c r="N190" i="1"/>
  <c r="K190" i="1"/>
  <c r="J190" i="1"/>
  <c r="I189" i="1"/>
  <c r="I188" i="1" s="1"/>
  <c r="H189" i="1"/>
  <c r="G189" i="1"/>
  <c r="G188" i="1" s="1"/>
  <c r="F189" i="1"/>
  <c r="F188" i="1" s="1"/>
  <c r="E189" i="1"/>
  <c r="E188" i="1" s="1"/>
  <c r="H188" i="1"/>
  <c r="N187" i="1"/>
  <c r="Q187" i="1" s="1"/>
  <c r="R187" i="1" s="1"/>
  <c r="G187" i="1"/>
  <c r="F187" i="1"/>
  <c r="E187" i="1"/>
  <c r="N186" i="1"/>
  <c r="H186" i="1"/>
  <c r="G186" i="1"/>
  <c r="N185" i="1"/>
  <c r="O185" i="1" s="1"/>
  <c r="H185" i="1"/>
  <c r="G185" i="1"/>
  <c r="L185" i="1" s="1"/>
  <c r="N184" i="1"/>
  <c r="Q184" i="1" s="1"/>
  <c r="N183" i="1"/>
  <c r="Q183" i="1" s="1"/>
  <c r="H183" i="1"/>
  <c r="J183" i="1" s="1"/>
  <c r="N182" i="1"/>
  <c r="O182" i="1" s="1"/>
  <c r="H182" i="1"/>
  <c r="N181" i="1"/>
  <c r="Q181" i="1" s="1"/>
  <c r="J181" i="1"/>
  <c r="G181" i="1"/>
  <c r="L181" i="1" s="1"/>
  <c r="N180" i="1"/>
  <c r="Q180" i="1" s="1"/>
  <c r="T180" i="1" s="1"/>
  <c r="E180" i="1"/>
  <c r="N179" i="1"/>
  <c r="Q179" i="1" s="1"/>
  <c r="R179" i="1" s="1"/>
  <c r="L179" i="1"/>
  <c r="N178" i="1"/>
  <c r="Q178" i="1" s="1"/>
  <c r="K178" i="1"/>
  <c r="K175" i="1" s="1"/>
  <c r="J178" i="1"/>
  <c r="N177" i="1"/>
  <c r="I177" i="1"/>
  <c r="L177" i="1" s="1"/>
  <c r="N176" i="1"/>
  <c r="I176" i="1"/>
  <c r="N174" i="1"/>
  <c r="E174" i="1"/>
  <c r="N173" i="1"/>
  <c r="E173" i="1"/>
  <c r="N172" i="1"/>
  <c r="Q172" i="1" s="1"/>
  <c r="E172" i="1"/>
  <c r="N171" i="1"/>
  <c r="Q171" i="1" s="1"/>
  <c r="K171" i="1"/>
  <c r="L171" i="1" s="1"/>
  <c r="N170" i="1"/>
  <c r="O170" i="1" s="1"/>
  <c r="L170" i="1"/>
  <c r="F169" i="1"/>
  <c r="AA168" i="1"/>
  <c r="Z167" i="1"/>
  <c r="W167" i="1"/>
  <c r="T167" i="1"/>
  <c r="Q167" i="1"/>
  <c r="R167" i="1" s="1"/>
  <c r="O167" i="1"/>
  <c r="G167" i="1"/>
  <c r="Z166" i="1"/>
  <c r="W166" i="1"/>
  <c r="T166" i="1"/>
  <c r="Q166" i="1"/>
  <c r="O166" i="1"/>
  <c r="E166" i="1"/>
  <c r="Z165" i="1"/>
  <c r="W165" i="1"/>
  <c r="T165" i="1"/>
  <c r="Q165" i="1"/>
  <c r="N165" i="1"/>
  <c r="R165" i="1" s="1"/>
  <c r="E165" i="1"/>
  <c r="J165" i="1" s="1"/>
  <c r="L165" i="1" s="1"/>
  <c r="N164" i="1"/>
  <c r="O164" i="1" s="1"/>
  <c r="E164" i="1"/>
  <c r="N163" i="1"/>
  <c r="O163" i="1" s="1"/>
  <c r="N162" i="1"/>
  <c r="Q162" i="1" s="1"/>
  <c r="N161" i="1"/>
  <c r="Q161" i="1" s="1"/>
  <c r="E161" i="1"/>
  <c r="N160" i="1"/>
  <c r="J160" i="1"/>
  <c r="L160" i="1" s="1"/>
  <c r="N159" i="1"/>
  <c r="Q159" i="1" s="1"/>
  <c r="L159" i="1"/>
  <c r="N158" i="1"/>
  <c r="K158" i="1"/>
  <c r="K157" i="1" s="1"/>
  <c r="E158" i="1"/>
  <c r="J158" i="1" s="1"/>
  <c r="I157" i="1"/>
  <c r="G157" i="1"/>
  <c r="F157" i="1"/>
  <c r="N156" i="1"/>
  <c r="Q156" i="1" s="1"/>
  <c r="K156" i="1"/>
  <c r="J156" i="1"/>
  <c r="N155" i="1"/>
  <c r="Q155" i="1" s="1"/>
  <c r="K155" i="1"/>
  <c r="N154" i="1"/>
  <c r="K154" i="1"/>
  <c r="L154" i="1" s="1"/>
  <c r="N152" i="1"/>
  <c r="O152" i="1" s="1"/>
  <c r="F152" i="1"/>
  <c r="F151" i="1" s="1"/>
  <c r="K151" i="1"/>
  <c r="J151" i="1"/>
  <c r="I151" i="1"/>
  <c r="H151" i="1"/>
  <c r="G151" i="1"/>
  <c r="N150" i="1"/>
  <c r="Q150" i="1" s="1"/>
  <c r="F150" i="1"/>
  <c r="E150" i="1"/>
  <c r="N149" i="1"/>
  <c r="Q149" i="1" s="1"/>
  <c r="R149" i="1" s="1"/>
  <c r="K149" i="1"/>
  <c r="L149" i="1" s="1"/>
  <c r="N148" i="1"/>
  <c r="J147" i="1"/>
  <c r="J146" i="1" s="1"/>
  <c r="I147" i="1"/>
  <c r="H147" i="1"/>
  <c r="H146" i="1" s="1"/>
  <c r="G147" i="1"/>
  <c r="G146" i="1" s="1"/>
  <c r="F147" i="1"/>
  <c r="E147" i="1"/>
  <c r="E146" i="1" s="1"/>
  <c r="I146" i="1"/>
  <c r="N145" i="1"/>
  <c r="Q145" i="1" s="1"/>
  <c r="K145" i="1"/>
  <c r="J145" i="1"/>
  <c r="L145" i="1" s="1"/>
  <c r="N144" i="1"/>
  <c r="Q144" i="1" s="1"/>
  <c r="L144" i="1"/>
  <c r="L143" i="1" s="1"/>
  <c r="N143" i="1"/>
  <c r="K143" i="1"/>
  <c r="J143" i="1"/>
  <c r="I143" i="1"/>
  <c r="H143" i="1"/>
  <c r="G143" i="1"/>
  <c r="F143" i="1"/>
  <c r="E143" i="1"/>
  <c r="N142" i="1"/>
  <c r="K142" i="1"/>
  <c r="J142" i="1"/>
  <c r="J133" i="1" s="1"/>
  <c r="N141" i="1"/>
  <c r="O141" i="1" s="1"/>
  <c r="K141" i="1"/>
  <c r="L141" i="1" s="1"/>
  <c r="N140" i="1"/>
  <c r="O140" i="1" s="1"/>
  <c r="K140" i="1"/>
  <c r="L140" i="1" s="1"/>
  <c r="N139" i="1"/>
  <c r="K139" i="1"/>
  <c r="L139" i="1" s="1"/>
  <c r="N138" i="1"/>
  <c r="Q138" i="1" s="1"/>
  <c r="K138" i="1"/>
  <c r="L138" i="1" s="1"/>
  <c r="N137" i="1"/>
  <c r="Q137" i="1" s="1"/>
  <c r="T137" i="1" s="1"/>
  <c r="K137" i="1"/>
  <c r="L137" i="1" s="1"/>
  <c r="N136" i="1"/>
  <c r="Q136" i="1" s="1"/>
  <c r="K136" i="1"/>
  <c r="L136" i="1" s="1"/>
  <c r="N135" i="1"/>
  <c r="O135" i="1" s="1"/>
  <c r="K135" i="1"/>
  <c r="L135" i="1" s="1"/>
  <c r="N134" i="1"/>
  <c r="O134" i="1" s="1"/>
  <c r="K134" i="1"/>
  <c r="L134" i="1" s="1"/>
  <c r="I133" i="1"/>
  <c r="H133" i="1"/>
  <c r="G133" i="1"/>
  <c r="F133" i="1"/>
  <c r="E133" i="1"/>
  <c r="Z126" i="1"/>
  <c r="AA126" i="1" s="1"/>
  <c r="X126" i="1"/>
  <c r="N125" i="1"/>
  <c r="L125" i="1"/>
  <c r="N124" i="1"/>
  <c r="Q124" i="1" s="1"/>
  <c r="L124" i="1"/>
  <c r="N123" i="1"/>
  <c r="O123" i="1" s="1"/>
  <c r="L123" i="1"/>
  <c r="N122" i="1"/>
  <c r="Q122" i="1" s="1"/>
  <c r="R122" i="1" s="1"/>
  <c r="L122" i="1"/>
  <c r="N121" i="1"/>
  <c r="O121" i="1" s="1"/>
  <c r="L121" i="1"/>
  <c r="N120" i="1"/>
  <c r="H120" i="1"/>
  <c r="H184" i="1" s="1"/>
  <c r="L184" i="1" s="1"/>
  <c r="N119" i="1"/>
  <c r="H119" i="1"/>
  <c r="H254" i="1" s="1"/>
  <c r="N118" i="1"/>
  <c r="O118" i="1" s="1"/>
  <c r="H118" i="1"/>
  <c r="H248" i="1" s="1"/>
  <c r="N117" i="1"/>
  <c r="Q117" i="1" s="1"/>
  <c r="R117" i="1" s="1"/>
  <c r="H117" i="1"/>
  <c r="H164" i="1" s="1"/>
  <c r="J164" i="1" s="1"/>
  <c r="N116" i="1"/>
  <c r="Q116" i="1" s="1"/>
  <c r="H116" i="1"/>
  <c r="H173" i="1" s="1"/>
  <c r="N115" i="1"/>
  <c r="O115" i="1" s="1"/>
  <c r="H115" i="1"/>
  <c r="H180" i="1" s="1"/>
  <c r="N114" i="1"/>
  <c r="Q114" i="1" s="1"/>
  <c r="T114" i="1" s="1"/>
  <c r="H114" i="1"/>
  <c r="H163" i="1" s="1"/>
  <c r="J163" i="1" s="1"/>
  <c r="N113" i="1"/>
  <c r="O113" i="1" s="1"/>
  <c r="H113" i="1"/>
  <c r="K112" i="1"/>
  <c r="J112" i="1"/>
  <c r="I112" i="1"/>
  <c r="G112" i="1"/>
  <c r="F112" i="1"/>
  <c r="E112" i="1"/>
  <c r="N111" i="1"/>
  <c r="Q111" i="1" s="1"/>
  <c r="T111" i="1" s="1"/>
  <c r="N110" i="1"/>
  <c r="K109" i="1"/>
  <c r="J109" i="1"/>
  <c r="I109" i="1"/>
  <c r="H109" i="1"/>
  <c r="G109" i="1"/>
  <c r="F109" i="1"/>
  <c r="N107" i="1"/>
  <c r="Q107" i="1" s="1"/>
  <c r="T107" i="1" s="1"/>
  <c r="I107" i="1"/>
  <c r="K107" i="1" s="1"/>
  <c r="L107" i="1" s="1"/>
  <c r="N106" i="1"/>
  <c r="O106" i="1" s="1"/>
  <c r="I106" i="1"/>
  <c r="L106" i="1" s="1"/>
  <c r="N105" i="1"/>
  <c r="O105" i="1" s="1"/>
  <c r="K105" i="1"/>
  <c r="L105" i="1" s="1"/>
  <c r="N104" i="1"/>
  <c r="K104" i="1"/>
  <c r="L104" i="1" s="1"/>
  <c r="J103" i="1"/>
  <c r="I103" i="1"/>
  <c r="H103" i="1"/>
  <c r="G103" i="1"/>
  <c r="F103" i="1"/>
  <c r="E103" i="1"/>
  <c r="N102" i="1"/>
  <c r="K102" i="1"/>
  <c r="L102" i="1" s="1"/>
  <c r="N101" i="1"/>
  <c r="O101" i="1" s="1"/>
  <c r="K101" i="1"/>
  <c r="L101" i="1" s="1"/>
  <c r="N100" i="1"/>
  <c r="K100" i="1"/>
  <c r="J99" i="1"/>
  <c r="I99" i="1"/>
  <c r="H99" i="1"/>
  <c r="G99" i="1"/>
  <c r="F99" i="1"/>
  <c r="E99" i="1"/>
  <c r="N98" i="1"/>
  <c r="Q98" i="1" s="1"/>
  <c r="T98" i="1" s="1"/>
  <c r="K98" i="1"/>
  <c r="L98" i="1" s="1"/>
  <c r="AA97" i="1"/>
  <c r="X97" i="1"/>
  <c r="U97" i="1"/>
  <c r="R97" i="1"/>
  <c r="O97" i="1"/>
  <c r="K97" i="1"/>
  <c r="E97" i="1"/>
  <c r="J96" i="1"/>
  <c r="I96" i="1"/>
  <c r="H96" i="1"/>
  <c r="G96" i="1"/>
  <c r="F96" i="1"/>
  <c r="E96" i="1"/>
  <c r="N95" i="1"/>
  <c r="K95" i="1"/>
  <c r="L95" i="1" s="1"/>
  <c r="N94" i="1"/>
  <c r="Q94" i="1" s="1"/>
  <c r="K94" i="1"/>
  <c r="L94" i="1" s="1"/>
  <c r="J93" i="1"/>
  <c r="I93" i="1"/>
  <c r="H93" i="1"/>
  <c r="G93" i="1"/>
  <c r="F93" i="1"/>
  <c r="E93" i="1"/>
  <c r="E92" i="1" s="1"/>
  <c r="N91" i="1"/>
  <c r="O91" i="1" s="1"/>
  <c r="K91" i="1"/>
  <c r="L91" i="1" s="1"/>
  <c r="N90" i="1"/>
  <c r="Q90" i="1" s="1"/>
  <c r="K90" i="1"/>
  <c r="L90" i="1" s="1"/>
  <c r="J89" i="1"/>
  <c r="I89" i="1"/>
  <c r="H89" i="1"/>
  <c r="G89" i="1"/>
  <c r="F89" i="1"/>
  <c r="E89" i="1"/>
  <c r="N88" i="1"/>
  <c r="Q88" i="1" s="1"/>
  <c r="L88" i="1"/>
  <c r="N87" i="1"/>
  <c r="O87" i="1" s="1"/>
  <c r="L87" i="1"/>
  <c r="N86" i="1"/>
  <c r="Q86" i="1" s="1"/>
  <c r="R86" i="1" s="1"/>
  <c r="L86" i="1"/>
  <c r="N85" i="1"/>
  <c r="Q85" i="1" s="1"/>
  <c r="T85" i="1" s="1"/>
  <c r="W85" i="1" s="1"/>
  <c r="L85" i="1"/>
  <c r="N84" i="1"/>
  <c r="Q84" i="1" s="1"/>
  <c r="T84" i="1" s="1"/>
  <c r="L84" i="1"/>
  <c r="N83" i="1"/>
  <c r="Q83" i="1" s="1"/>
  <c r="T83" i="1" s="1"/>
  <c r="W83" i="1" s="1"/>
  <c r="L83" i="1"/>
  <c r="N82" i="1"/>
  <c r="Q82" i="1" s="1"/>
  <c r="R82" i="1" s="1"/>
  <c r="L82" i="1"/>
  <c r="E82" i="1"/>
  <c r="N81" i="1"/>
  <c r="Q81" i="1" s="1"/>
  <c r="L81" i="1"/>
  <c r="N80" i="1"/>
  <c r="O80" i="1" s="1"/>
  <c r="L80" i="1"/>
  <c r="N79" i="1"/>
  <c r="Q79" i="1" s="1"/>
  <c r="L79" i="1"/>
  <c r="N78" i="1"/>
  <c r="O78" i="1" s="1"/>
  <c r="L78" i="1"/>
  <c r="N77" i="1"/>
  <c r="Q77" i="1" s="1"/>
  <c r="T77" i="1" s="1"/>
  <c r="L77" i="1"/>
  <c r="N76" i="1"/>
  <c r="O76" i="1" s="1"/>
  <c r="L76" i="1"/>
  <c r="N75" i="1"/>
  <c r="Q75" i="1" s="1"/>
  <c r="T75" i="1" s="1"/>
  <c r="W75" i="1" s="1"/>
  <c r="K75" i="1"/>
  <c r="K67" i="1" s="1"/>
  <c r="G75" i="1"/>
  <c r="N74" i="1"/>
  <c r="Q74" i="1" s="1"/>
  <c r="G74" i="1"/>
  <c r="N73" i="1"/>
  <c r="Q73" i="1" s="1"/>
  <c r="T73" i="1" s="1"/>
  <c r="G73" i="1"/>
  <c r="L73" i="1" s="1"/>
  <c r="E73" i="1"/>
  <c r="E272" i="1" s="1"/>
  <c r="N72" i="1"/>
  <c r="Q72" i="1" s="1"/>
  <c r="L72" i="1"/>
  <c r="E72" i="1"/>
  <c r="N71" i="1"/>
  <c r="Q71" i="1" s="1"/>
  <c r="T71" i="1" s="1"/>
  <c r="L71" i="1"/>
  <c r="N70" i="1"/>
  <c r="Q70" i="1" s="1"/>
  <c r="T70" i="1" s="1"/>
  <c r="W70" i="1" s="1"/>
  <c r="L70" i="1"/>
  <c r="N69" i="1"/>
  <c r="Q69" i="1" s="1"/>
  <c r="G69" i="1"/>
  <c r="L69" i="1" s="1"/>
  <c r="N68" i="1"/>
  <c r="Q68" i="1" s="1"/>
  <c r="F68" i="1"/>
  <c r="F67" i="1" s="1"/>
  <c r="J67" i="1"/>
  <c r="I67" i="1"/>
  <c r="H67" i="1"/>
  <c r="E67" i="1"/>
  <c r="N66" i="1"/>
  <c r="Q66" i="1" s="1"/>
  <c r="F66" i="1"/>
  <c r="L66" i="1" s="1"/>
  <c r="E66" i="1"/>
  <c r="N65" i="1"/>
  <c r="Q65" i="1" s="1"/>
  <c r="L65" i="1"/>
  <c r="N64" i="1"/>
  <c r="O64" i="1" s="1"/>
  <c r="L64" i="1"/>
  <c r="N63" i="1"/>
  <c r="Q63" i="1" s="1"/>
  <c r="T63" i="1" s="1"/>
  <c r="L63" i="1"/>
  <c r="N62" i="1"/>
  <c r="O62" i="1" s="1"/>
  <c r="L62" i="1"/>
  <c r="AA61" i="1"/>
  <c r="X61" i="1"/>
  <c r="U61" i="1"/>
  <c r="R61" i="1"/>
  <c r="N60" i="1"/>
  <c r="O60" i="1" s="1"/>
  <c r="L60" i="1"/>
  <c r="N59" i="1"/>
  <c r="Q59" i="1" s="1"/>
  <c r="T59" i="1" s="1"/>
  <c r="L59" i="1"/>
  <c r="N58" i="1"/>
  <c r="Q58" i="1" s="1"/>
  <c r="F58" i="1"/>
  <c r="N57" i="1"/>
  <c r="O57" i="1" s="1"/>
  <c r="L57" i="1"/>
  <c r="N56" i="1"/>
  <c r="O56" i="1" s="1"/>
  <c r="L56" i="1"/>
  <c r="N55" i="1"/>
  <c r="L55" i="1"/>
  <c r="N54" i="1"/>
  <c r="O54" i="1" s="1"/>
  <c r="L54" i="1"/>
  <c r="E54" i="1"/>
  <c r="E52" i="1" s="1"/>
  <c r="N53" i="1"/>
  <c r="Q53" i="1" s="1"/>
  <c r="F53" i="1"/>
  <c r="L53" i="1" s="1"/>
  <c r="E53" i="1"/>
  <c r="K52" i="1"/>
  <c r="J52" i="1"/>
  <c r="I52" i="1"/>
  <c r="H52" i="1"/>
  <c r="G52" i="1"/>
  <c r="AA51" i="1"/>
  <c r="X51" i="1"/>
  <c r="U51" i="1"/>
  <c r="R51" i="1"/>
  <c r="O51" i="1"/>
  <c r="Z50" i="1"/>
  <c r="Z49" i="1" s="1"/>
  <c r="W50" i="1"/>
  <c r="T50" i="1"/>
  <c r="U50" i="1" s="1"/>
  <c r="R50" i="1"/>
  <c r="O50" i="1"/>
  <c r="Q49" i="1"/>
  <c r="N49" i="1"/>
  <c r="O49" i="1" s="1"/>
  <c r="L49" i="1"/>
  <c r="K49" i="1"/>
  <c r="J49" i="1"/>
  <c r="I49" i="1"/>
  <c r="I45" i="1" s="1"/>
  <c r="I44" i="1" s="1"/>
  <c r="H49" i="1"/>
  <c r="H45" i="1" s="1"/>
  <c r="H44" i="1" s="1"/>
  <c r="G49" i="1"/>
  <c r="F49" i="1"/>
  <c r="E49" i="1"/>
  <c r="N48" i="1"/>
  <c r="Q48" i="1" s="1"/>
  <c r="T48" i="1" s="1"/>
  <c r="F48" i="1"/>
  <c r="L48" i="1" s="1"/>
  <c r="N47" i="1"/>
  <c r="Q47" i="1" s="1"/>
  <c r="L47" i="1"/>
  <c r="N46" i="1"/>
  <c r="O46" i="1" s="1"/>
  <c r="L46" i="1"/>
  <c r="J45" i="1"/>
  <c r="J44" i="1" s="1"/>
  <c r="N43" i="1"/>
  <c r="Q43" i="1" s="1"/>
  <c r="K43" i="1"/>
  <c r="L43" i="1" s="1"/>
  <c r="N42" i="1"/>
  <c r="O42" i="1" s="1"/>
  <c r="L42" i="1"/>
  <c r="K42" i="1"/>
  <c r="N41" i="1"/>
  <c r="Q41" i="1" s="1"/>
  <c r="T41" i="1" s="1"/>
  <c r="L41" i="1"/>
  <c r="N40" i="1"/>
  <c r="Q40" i="1" s="1"/>
  <c r="L40" i="1"/>
  <c r="K39" i="1"/>
  <c r="J39" i="1"/>
  <c r="I39" i="1"/>
  <c r="H39" i="1"/>
  <c r="G39" i="1"/>
  <c r="F39" i="1"/>
  <c r="E39" i="1"/>
  <c r="N38" i="1"/>
  <c r="Q38" i="1" s="1"/>
  <c r="L38" i="1"/>
  <c r="N37" i="1"/>
  <c r="Q37" i="1" s="1"/>
  <c r="L37" i="1"/>
  <c r="L36" i="1" s="1"/>
  <c r="K36" i="1"/>
  <c r="J36" i="1"/>
  <c r="I36" i="1"/>
  <c r="H36" i="1"/>
  <c r="G36" i="1"/>
  <c r="F36" i="1"/>
  <c r="E36" i="1"/>
  <c r="N35" i="1"/>
  <c r="Q35" i="1" s="1"/>
  <c r="L35" i="1"/>
  <c r="N34" i="1"/>
  <c r="K34" i="1"/>
  <c r="N33" i="1"/>
  <c r="O33" i="1" s="1"/>
  <c r="L33" i="1"/>
  <c r="N32" i="1"/>
  <c r="L32" i="1"/>
  <c r="N31" i="1"/>
  <c r="Q31" i="1" s="1"/>
  <c r="T31" i="1" s="1"/>
  <c r="L31" i="1"/>
  <c r="N30" i="1"/>
  <c r="O30" i="1" s="1"/>
  <c r="L30" i="1"/>
  <c r="N29" i="1"/>
  <c r="Q29" i="1" s="1"/>
  <c r="R29" i="1" s="1"/>
  <c r="L29" i="1"/>
  <c r="J28" i="1"/>
  <c r="I28" i="1"/>
  <c r="H28" i="1"/>
  <c r="G28" i="1"/>
  <c r="F28" i="1"/>
  <c r="E28" i="1"/>
  <c r="N27" i="1"/>
  <c r="Q27" i="1" s="1"/>
  <c r="R27" i="1" s="1"/>
  <c r="L27" i="1"/>
  <c r="N26" i="1"/>
  <c r="Q26" i="1" s="1"/>
  <c r="L26" i="1"/>
  <c r="N25" i="1"/>
  <c r="Q25" i="1" s="1"/>
  <c r="L25" i="1"/>
  <c r="K24" i="1"/>
  <c r="J24" i="1"/>
  <c r="I24" i="1"/>
  <c r="H24" i="1"/>
  <c r="H23" i="1" s="1"/>
  <c r="G24" i="1"/>
  <c r="G23" i="1" s="1"/>
  <c r="F24" i="1"/>
  <c r="E24" i="1"/>
  <c r="E23" i="1" s="1"/>
  <c r="N22" i="1"/>
  <c r="Q22" i="1" s="1"/>
  <c r="T22" i="1" s="1"/>
  <c r="L22" i="1"/>
  <c r="E22" i="1"/>
  <c r="E152" i="1" s="1"/>
  <c r="N21" i="1"/>
  <c r="Q21" i="1" s="1"/>
  <c r="L21" i="1"/>
  <c r="K20" i="1"/>
  <c r="J20" i="1"/>
  <c r="I20" i="1"/>
  <c r="H20" i="1"/>
  <c r="G20" i="1"/>
  <c r="F20" i="1"/>
  <c r="N19" i="1"/>
  <c r="Q19" i="1" s="1"/>
  <c r="T19" i="1" s="1"/>
  <c r="K19" i="1"/>
  <c r="L19" i="1" s="1"/>
  <c r="N18" i="1"/>
  <c r="O18" i="1" s="1"/>
  <c r="K18" i="1"/>
  <c r="J17" i="1"/>
  <c r="I17" i="1"/>
  <c r="H17" i="1"/>
  <c r="G17" i="1"/>
  <c r="F17" i="1"/>
  <c r="E17" i="1"/>
  <c r="N16" i="1"/>
  <c r="Q16" i="1" s="1"/>
  <c r="K16" i="1"/>
  <c r="L16" i="1" s="1"/>
  <c r="N15" i="1"/>
  <c r="Q15" i="1" s="1"/>
  <c r="T15" i="1" s="1"/>
  <c r="K15" i="1"/>
  <c r="J14" i="1"/>
  <c r="I14" i="1"/>
  <c r="H14" i="1"/>
  <c r="G14" i="1"/>
  <c r="F14" i="1"/>
  <c r="E14" i="1"/>
  <c r="N13" i="1"/>
  <c r="Q13" i="1" s="1"/>
  <c r="K13" i="1"/>
  <c r="L13" i="1" s="1"/>
  <c r="N12" i="1"/>
  <c r="K12" i="1"/>
  <c r="J11" i="1"/>
  <c r="I11" i="1"/>
  <c r="H11" i="1"/>
  <c r="G11" i="1"/>
  <c r="F11" i="1"/>
  <c r="E11" i="1"/>
  <c r="Z9" i="1"/>
  <c r="W9" i="1"/>
  <c r="T9" i="1"/>
  <c r="Q9" i="1"/>
  <c r="N9" i="1"/>
  <c r="O9" i="1" s="1"/>
  <c r="K9" i="1"/>
  <c r="L9" i="1" s="1"/>
  <c r="N8" i="1"/>
  <c r="Q8" i="1" s="1"/>
  <c r="K8" i="1"/>
  <c r="L8" i="1" s="1"/>
  <c r="J7" i="1"/>
  <c r="I7" i="1"/>
  <c r="H7" i="1"/>
  <c r="G7" i="1"/>
  <c r="F7" i="1"/>
  <c r="E7" i="1"/>
  <c r="K189" i="1" l="1"/>
  <c r="L198" i="1"/>
  <c r="K234" i="1"/>
  <c r="K232" i="1" s="1"/>
  <c r="L191" i="1"/>
  <c r="L251" i="1"/>
  <c r="L114" i="1"/>
  <c r="I211" i="1"/>
  <c r="I201" i="1" s="1"/>
  <c r="O258" i="1"/>
  <c r="F23" i="1"/>
  <c r="E45" i="1"/>
  <c r="I175" i="1"/>
  <c r="F52" i="1"/>
  <c r="O124" i="1"/>
  <c r="F153" i="1"/>
  <c r="R49" i="1"/>
  <c r="AA166" i="1"/>
  <c r="F225" i="1"/>
  <c r="I232" i="1"/>
  <c r="O273" i="1"/>
  <c r="AA274" i="1"/>
  <c r="I6" i="1"/>
  <c r="L217" i="1"/>
  <c r="Q242" i="1"/>
  <c r="T242" i="1" s="1"/>
  <c r="N257" i="1"/>
  <c r="U165" i="1"/>
  <c r="Q265" i="1"/>
  <c r="T265" i="1" s="1"/>
  <c r="Q269" i="1"/>
  <c r="T269" i="1" s="1"/>
  <c r="U269" i="1" s="1"/>
  <c r="X9" i="1"/>
  <c r="J202" i="1"/>
  <c r="O230" i="1"/>
  <c r="L266" i="1"/>
  <c r="J6" i="1"/>
  <c r="G92" i="1"/>
  <c r="Q140" i="1"/>
  <c r="R140" i="1" s="1"/>
  <c r="K243" i="1"/>
  <c r="K240" i="1" s="1"/>
  <c r="O261" i="1"/>
  <c r="E20" i="1"/>
  <c r="J92" i="1"/>
  <c r="O162" i="1"/>
  <c r="N96" i="1"/>
  <c r="O96" i="1" s="1"/>
  <c r="E240" i="1"/>
  <c r="L255" i="1"/>
  <c r="L186" i="1"/>
  <c r="R9" i="1"/>
  <c r="Q30" i="1"/>
  <c r="R30" i="1" s="1"/>
  <c r="G45" i="1"/>
  <c r="O116" i="1"/>
  <c r="U9" i="1"/>
  <c r="K96" i="1"/>
  <c r="H92" i="1"/>
  <c r="L142" i="1"/>
  <c r="L133" i="1" s="1"/>
  <c r="L117" i="1"/>
  <c r="K45" i="1"/>
  <c r="K44" i="1" s="1"/>
  <c r="J167" i="1"/>
  <c r="L167" i="1" s="1"/>
  <c r="N189" i="1"/>
  <c r="N188" i="1" s="1"/>
  <c r="F202" i="1"/>
  <c r="K103" i="1"/>
  <c r="J189" i="1"/>
  <c r="J188" i="1" s="1"/>
  <c r="O227" i="1"/>
  <c r="K230" i="1"/>
  <c r="K228" i="1" s="1"/>
  <c r="O233" i="1"/>
  <c r="K17" i="1"/>
  <c r="J23" i="1"/>
  <c r="L156" i="1"/>
  <c r="X167" i="1"/>
  <c r="Q218" i="1"/>
  <c r="T218" i="1" s="1"/>
  <c r="W218" i="1" s="1"/>
  <c r="L227" i="1"/>
  <c r="L225" i="1" s="1"/>
  <c r="L264" i="1"/>
  <c r="R237" i="1"/>
  <c r="T237" i="1"/>
  <c r="U237" i="1" s="1"/>
  <c r="T227" i="1"/>
  <c r="W227" i="1" s="1"/>
  <c r="X227" i="1" s="1"/>
  <c r="R227" i="1"/>
  <c r="K7" i="1"/>
  <c r="R70" i="1"/>
  <c r="L97" i="1"/>
  <c r="K148" i="1"/>
  <c r="L163" i="1"/>
  <c r="L204" i="1"/>
  <c r="T214" i="1"/>
  <c r="U214" i="1" s="1"/>
  <c r="K249" i="1"/>
  <c r="L18" i="1"/>
  <c r="Q56" i="1"/>
  <c r="R56" i="1" s="1"/>
  <c r="U70" i="1"/>
  <c r="O73" i="1"/>
  <c r="J166" i="1"/>
  <c r="L166" i="1" s="1"/>
  <c r="AA9" i="1"/>
  <c r="I92" i="1"/>
  <c r="L190" i="1"/>
  <c r="F257" i="1"/>
  <c r="F249" i="1" s="1"/>
  <c r="Q78" i="1"/>
  <c r="T78" i="1" s="1"/>
  <c r="U78" i="1" s="1"/>
  <c r="O90" i="1"/>
  <c r="L93" i="1"/>
  <c r="O138" i="1"/>
  <c r="O156" i="1"/>
  <c r="K169" i="1"/>
  <c r="K153" i="1" s="1"/>
  <c r="O237" i="1"/>
  <c r="L262" i="1"/>
  <c r="N263" i="1"/>
  <c r="O263" i="1" s="1"/>
  <c r="O65" i="1"/>
  <c r="O88" i="1"/>
  <c r="L203" i="1"/>
  <c r="H6" i="1"/>
  <c r="E44" i="1"/>
  <c r="Q205" i="1"/>
  <c r="R205" i="1" s="1"/>
  <c r="Q216" i="1"/>
  <c r="O224" i="1"/>
  <c r="O22" i="1"/>
  <c r="Q42" i="1"/>
  <c r="T42" i="1" s="1"/>
  <c r="U42" i="1" s="1"/>
  <c r="F45" i="1"/>
  <c r="F44" i="1" s="1"/>
  <c r="F108" i="1" s="1"/>
  <c r="F127" i="1" s="1"/>
  <c r="O165" i="1"/>
  <c r="O86" i="1"/>
  <c r="O94" i="1"/>
  <c r="Q121" i="1"/>
  <c r="T121" i="1" s="1"/>
  <c r="U121" i="1" s="1"/>
  <c r="O47" i="1"/>
  <c r="Q54" i="1"/>
  <c r="T54" i="1" s="1"/>
  <c r="W54" i="1" s="1"/>
  <c r="Z54" i="1" s="1"/>
  <c r="Q96" i="1"/>
  <c r="T179" i="1"/>
  <c r="R200" i="1"/>
  <c r="O213" i="1"/>
  <c r="L230" i="1"/>
  <c r="Q101" i="1"/>
  <c r="T101" i="1" s="1"/>
  <c r="J180" i="1"/>
  <c r="L180" i="1" s="1"/>
  <c r="Q118" i="1"/>
  <c r="T118" i="1" s="1"/>
  <c r="W118" i="1" s="1"/>
  <c r="X118" i="1" s="1"/>
  <c r="Q170" i="1"/>
  <c r="T170" i="1" s="1"/>
  <c r="K14" i="1"/>
  <c r="Q76" i="1"/>
  <c r="R76" i="1" s="1"/>
  <c r="F92" i="1"/>
  <c r="L103" i="1"/>
  <c r="L158" i="1"/>
  <c r="Q255" i="1"/>
  <c r="T255" i="1" s="1"/>
  <c r="W255" i="1" s="1"/>
  <c r="Q257" i="1"/>
  <c r="R257" i="1" s="1"/>
  <c r="W42" i="1"/>
  <c r="X42" i="1" s="1"/>
  <c r="T47" i="1"/>
  <c r="W47" i="1" s="1"/>
  <c r="Z47" i="1" s="1"/>
  <c r="R47" i="1"/>
  <c r="R58" i="1"/>
  <c r="T58" i="1"/>
  <c r="W58" i="1" s="1"/>
  <c r="X58" i="1" s="1"/>
  <c r="T213" i="1"/>
  <c r="U213" i="1" s="1"/>
  <c r="Q211" i="1"/>
  <c r="T72" i="1"/>
  <c r="W72" i="1" s="1"/>
  <c r="Z72" i="1" s="1"/>
  <c r="AA72" i="1" s="1"/>
  <c r="R72" i="1"/>
  <c r="R217" i="1"/>
  <c r="T217" i="1"/>
  <c r="R69" i="1"/>
  <c r="T69" i="1"/>
  <c r="U69" i="1" s="1"/>
  <c r="T26" i="1"/>
  <c r="W26" i="1" s="1"/>
  <c r="Z26" i="1" s="1"/>
  <c r="R26" i="1"/>
  <c r="T233" i="1"/>
  <c r="R233" i="1"/>
  <c r="R43" i="1"/>
  <c r="T43" i="1"/>
  <c r="U43" i="1" s="1"/>
  <c r="T251" i="1"/>
  <c r="R251" i="1"/>
  <c r="T38" i="1"/>
  <c r="W38" i="1" s="1"/>
  <c r="R38" i="1"/>
  <c r="Z70" i="1"/>
  <c r="AA70" i="1" s="1"/>
  <c r="X70" i="1"/>
  <c r="W269" i="1"/>
  <c r="Z269" i="1" s="1"/>
  <c r="R136" i="1"/>
  <c r="T136" i="1"/>
  <c r="W136" i="1" s="1"/>
  <c r="Z136" i="1" s="1"/>
  <c r="W77" i="1"/>
  <c r="U77" i="1"/>
  <c r="W84" i="1"/>
  <c r="U84" i="1"/>
  <c r="W261" i="1"/>
  <c r="Z261" i="1" s="1"/>
  <c r="U261" i="1"/>
  <c r="Q20" i="1"/>
  <c r="R21" i="1"/>
  <c r="T124" i="1"/>
  <c r="R124" i="1"/>
  <c r="T250" i="1"/>
  <c r="R250" i="1"/>
  <c r="T253" i="1"/>
  <c r="R253" i="1"/>
  <c r="T25" i="1"/>
  <c r="W25" i="1" s="1"/>
  <c r="Z25" i="1" s="1"/>
  <c r="R25" i="1"/>
  <c r="T13" i="1"/>
  <c r="W13" i="1" s="1"/>
  <c r="R13" i="1"/>
  <c r="T65" i="1"/>
  <c r="R65" i="1"/>
  <c r="R144" i="1"/>
  <c r="T144" i="1"/>
  <c r="U144" i="1" s="1"/>
  <c r="N249" i="1"/>
  <c r="O249" i="1" s="1"/>
  <c r="Q18" i="1"/>
  <c r="Q17" i="1" s="1"/>
  <c r="T56" i="1"/>
  <c r="Q62" i="1"/>
  <c r="O69" i="1"/>
  <c r="O84" i="1"/>
  <c r="Q199" i="1"/>
  <c r="T199" i="1" s="1"/>
  <c r="N211" i="1"/>
  <c r="T223" i="1"/>
  <c r="W223" i="1" s="1"/>
  <c r="Z223" i="1" s="1"/>
  <c r="Q229" i="1"/>
  <c r="T229" i="1" s="1"/>
  <c r="O250" i="1"/>
  <c r="O251" i="1"/>
  <c r="R84" i="1"/>
  <c r="R22" i="1"/>
  <c r="N24" i="1"/>
  <c r="O24" i="1" s="1"/>
  <c r="O26" i="1"/>
  <c r="O31" i="1"/>
  <c r="O38" i="1"/>
  <c r="R59" i="1"/>
  <c r="O71" i="1"/>
  <c r="R73" i="1"/>
  <c r="O107" i="1"/>
  <c r="O111" i="1"/>
  <c r="O136" i="1"/>
  <c r="O159" i="1"/>
  <c r="Q195" i="1"/>
  <c r="R195" i="1" s="1"/>
  <c r="N202" i="1"/>
  <c r="Q221" i="1"/>
  <c r="T221" i="1" s="1"/>
  <c r="N225" i="1"/>
  <c r="O225" i="1" s="1"/>
  <c r="O253" i="1"/>
  <c r="R267" i="1"/>
  <c r="R269" i="1"/>
  <c r="N20" i="1"/>
  <c r="O20" i="1" s="1"/>
  <c r="R31" i="1"/>
  <c r="R107" i="1"/>
  <c r="O114" i="1"/>
  <c r="N147" i="1"/>
  <c r="N146" i="1" s="1"/>
  <c r="O146" i="1" s="1"/>
  <c r="Q163" i="1"/>
  <c r="N208" i="1"/>
  <c r="O208" i="1" s="1"/>
  <c r="O77" i="1"/>
  <c r="R114" i="1"/>
  <c r="Q134" i="1"/>
  <c r="T134" i="1" s="1"/>
  <c r="U134" i="1" s="1"/>
  <c r="N133" i="1"/>
  <c r="O133" i="1" s="1"/>
  <c r="O144" i="1"/>
  <c r="O148" i="1"/>
  <c r="O147" i="1" s="1"/>
  <c r="O150" i="1"/>
  <c r="O8" i="1"/>
  <c r="O19" i="1"/>
  <c r="O29" i="1"/>
  <c r="O63" i="1"/>
  <c r="R77" i="1"/>
  <c r="O82" i="1"/>
  <c r="Q91" i="1"/>
  <c r="Q89" i="1" s="1"/>
  <c r="Q148" i="1"/>
  <c r="Q190" i="1"/>
  <c r="R190" i="1" s="1"/>
  <c r="Q193" i="1"/>
  <c r="R193" i="1" s="1"/>
  <c r="O244" i="1"/>
  <c r="Q248" i="1"/>
  <c r="O13" i="1"/>
  <c r="O15" i="1"/>
  <c r="O21" i="1"/>
  <c r="O41" i="1"/>
  <c r="R54" i="1"/>
  <c r="O72" i="1"/>
  <c r="O74" i="1"/>
  <c r="Q105" i="1"/>
  <c r="Q123" i="1"/>
  <c r="O180" i="1"/>
  <c r="O184" i="1"/>
  <c r="Q207" i="1"/>
  <c r="T207" i="1" s="1"/>
  <c r="O212" i="1"/>
  <c r="O226" i="1"/>
  <c r="R261" i="1"/>
  <c r="O25" i="1"/>
  <c r="O27" i="1"/>
  <c r="O43" i="1"/>
  <c r="Q46" i="1"/>
  <c r="O48" i="1"/>
  <c r="Q87" i="1"/>
  <c r="T117" i="1"/>
  <c r="U117" i="1" s="1"/>
  <c r="Q164" i="1"/>
  <c r="T164" i="1" s="1"/>
  <c r="W164" i="1" s="1"/>
  <c r="Q210" i="1"/>
  <c r="T210" i="1" s="1"/>
  <c r="Q215" i="1"/>
  <c r="N222" i="1"/>
  <c r="O222" i="1" s="1"/>
  <c r="Q241" i="1"/>
  <c r="R241" i="1" s="1"/>
  <c r="O268" i="1"/>
  <c r="O58" i="1"/>
  <c r="O68" i="1"/>
  <c r="Q80" i="1"/>
  <c r="T80" i="1" s="1"/>
  <c r="U80" i="1" s="1"/>
  <c r="U83" i="1"/>
  <c r="O85" i="1"/>
  <c r="O137" i="1"/>
  <c r="Q141" i="1"/>
  <c r="O217" i="1"/>
  <c r="O231" i="1"/>
  <c r="R268" i="1"/>
  <c r="O66" i="1"/>
  <c r="N89" i="1"/>
  <c r="O89" i="1" s="1"/>
  <c r="Q115" i="1"/>
  <c r="R115" i="1" s="1"/>
  <c r="Q135" i="1"/>
  <c r="O178" i="1"/>
  <c r="O187" i="1"/>
  <c r="O219" i="1"/>
  <c r="N236" i="1"/>
  <c r="O236" i="1" s="1"/>
  <c r="O252" i="1"/>
  <c r="R75" i="1"/>
  <c r="R98" i="1"/>
  <c r="Q106" i="1"/>
  <c r="T106" i="1" s="1"/>
  <c r="Q185" i="1"/>
  <c r="T185" i="1" s="1"/>
  <c r="U185" i="1" s="1"/>
  <c r="Q191" i="1"/>
  <c r="T191" i="1" s="1"/>
  <c r="Q194" i="1"/>
  <c r="T194" i="1" s="1"/>
  <c r="W15" i="1"/>
  <c r="U15" i="1"/>
  <c r="T53" i="1"/>
  <c r="R53" i="1"/>
  <c r="X72" i="1"/>
  <c r="W98" i="1"/>
  <c r="U98" i="1"/>
  <c r="T96" i="1"/>
  <c r="L39" i="1"/>
  <c r="Q33" i="1"/>
  <c r="AA50" i="1"/>
  <c r="X50" i="1"/>
  <c r="W49" i="1"/>
  <c r="K28" i="1"/>
  <c r="K23" i="1" s="1"/>
  <c r="K3" i="1" s="1"/>
  <c r="L34" i="1"/>
  <c r="T40" i="1"/>
  <c r="R40" i="1"/>
  <c r="W59" i="1"/>
  <c r="U59" i="1"/>
  <c r="Z83" i="1"/>
  <c r="AA83" i="1" s="1"/>
  <c r="X83" i="1"/>
  <c r="L52" i="1"/>
  <c r="Q95" i="1"/>
  <c r="O95" i="1"/>
  <c r="N93" i="1"/>
  <c r="G6" i="1"/>
  <c r="Q34" i="1"/>
  <c r="O34" i="1"/>
  <c r="R48" i="1"/>
  <c r="Z75" i="1"/>
  <c r="X75" i="1"/>
  <c r="N11" i="1"/>
  <c r="Q12" i="1"/>
  <c r="O12" i="1"/>
  <c r="W48" i="1"/>
  <c r="U48" i="1"/>
  <c r="F6" i="1"/>
  <c r="T8" i="1"/>
  <c r="R8" i="1"/>
  <c r="Q7" i="1"/>
  <c r="Z85" i="1"/>
  <c r="X85" i="1"/>
  <c r="K11" i="1"/>
  <c r="L12" i="1"/>
  <c r="T16" i="1"/>
  <c r="R16" i="1"/>
  <c r="W22" i="1"/>
  <c r="U22" i="1"/>
  <c r="Q24" i="1"/>
  <c r="W31" i="1"/>
  <c r="U31" i="1"/>
  <c r="T35" i="1"/>
  <c r="R35" i="1"/>
  <c r="W63" i="1"/>
  <c r="U63" i="1"/>
  <c r="W73" i="1"/>
  <c r="U73" i="1"/>
  <c r="I23" i="1"/>
  <c r="W71" i="1"/>
  <c r="U71" i="1"/>
  <c r="R19" i="1"/>
  <c r="T27" i="1"/>
  <c r="T37" i="1"/>
  <c r="R37" i="1"/>
  <c r="Q36" i="1"/>
  <c r="O55" i="1"/>
  <c r="N52" i="1"/>
  <c r="Q55" i="1"/>
  <c r="Q52" i="1" s="1"/>
  <c r="W19" i="1"/>
  <c r="U19" i="1"/>
  <c r="W41" i="1"/>
  <c r="U41" i="1"/>
  <c r="L7" i="1"/>
  <c r="N28" i="1"/>
  <c r="O28" i="1" s="1"/>
  <c r="O32" i="1"/>
  <c r="R79" i="1"/>
  <c r="T79" i="1"/>
  <c r="Q32" i="1"/>
  <c r="W107" i="1"/>
  <c r="U107" i="1"/>
  <c r="Q110" i="1"/>
  <c r="O110" i="1"/>
  <c r="N109" i="1"/>
  <c r="O109" i="1" s="1"/>
  <c r="W114" i="1"/>
  <c r="U114" i="1"/>
  <c r="Q125" i="1"/>
  <c r="O125" i="1"/>
  <c r="R166" i="1"/>
  <c r="U166" i="1"/>
  <c r="N14" i="1"/>
  <c r="O14" i="1" s="1"/>
  <c r="T21" i="1"/>
  <c r="T29" i="1"/>
  <c r="N36" i="1"/>
  <c r="O36" i="1" s="1"/>
  <c r="N39" i="1"/>
  <c r="O39" i="1" s="1"/>
  <c r="T49" i="1"/>
  <c r="U49" i="1" s="1"/>
  <c r="O59" i="1"/>
  <c r="Q64" i="1"/>
  <c r="R83" i="1"/>
  <c r="T116" i="1"/>
  <c r="R116" i="1"/>
  <c r="X136" i="1"/>
  <c r="Q14" i="1"/>
  <c r="F245" i="1"/>
  <c r="F240" i="1" s="1"/>
  <c r="L58" i="1"/>
  <c r="F210" i="1"/>
  <c r="L68" i="1"/>
  <c r="L89" i="1"/>
  <c r="W111" i="1"/>
  <c r="U111" i="1"/>
  <c r="N112" i="1"/>
  <c r="O112" i="1" s="1"/>
  <c r="Q119" i="1"/>
  <c r="O119" i="1"/>
  <c r="I174" i="1"/>
  <c r="Q158" i="1"/>
  <c r="O158" i="1"/>
  <c r="N157" i="1"/>
  <c r="L15" i="1"/>
  <c r="O35" i="1"/>
  <c r="O37" i="1"/>
  <c r="O40" i="1"/>
  <c r="O53" i="1"/>
  <c r="T68" i="1"/>
  <c r="R68" i="1"/>
  <c r="G214" i="1"/>
  <c r="J214" i="1" s="1"/>
  <c r="L75" i="1"/>
  <c r="T76" i="1"/>
  <c r="O79" i="1"/>
  <c r="T86" i="1"/>
  <c r="T90" i="1"/>
  <c r="R90" i="1"/>
  <c r="F146" i="1"/>
  <c r="L150" i="1"/>
  <c r="N7" i="1"/>
  <c r="N17" i="1"/>
  <c r="O17" i="1" s="1"/>
  <c r="L20" i="1"/>
  <c r="L24" i="1"/>
  <c r="R63" i="1"/>
  <c r="T82" i="1"/>
  <c r="T88" i="1"/>
  <c r="R88" i="1"/>
  <c r="K89" i="1"/>
  <c r="N103" i="1"/>
  <c r="O103" i="1" s="1"/>
  <c r="Q104" i="1"/>
  <c r="O104" i="1"/>
  <c r="R111" i="1"/>
  <c r="H162" i="1"/>
  <c r="L113" i="1"/>
  <c r="E108" i="1"/>
  <c r="E110" i="1" s="1"/>
  <c r="R101" i="1"/>
  <c r="W117" i="1"/>
  <c r="W137" i="1"/>
  <c r="U137" i="1"/>
  <c r="W179" i="1"/>
  <c r="U179" i="1"/>
  <c r="E6" i="1"/>
  <c r="R15" i="1"/>
  <c r="O16" i="1"/>
  <c r="R41" i="1"/>
  <c r="Q60" i="1"/>
  <c r="T66" i="1"/>
  <c r="R66" i="1"/>
  <c r="N67" i="1"/>
  <c r="O67" i="1" s="1"/>
  <c r="U75" i="1"/>
  <c r="O81" i="1"/>
  <c r="R85" i="1"/>
  <c r="R145" i="1"/>
  <c r="T145" i="1"/>
  <c r="H108" i="1"/>
  <c r="L152" i="1"/>
  <c r="E151" i="1"/>
  <c r="Q57" i="1"/>
  <c r="R71" i="1"/>
  <c r="G213" i="1"/>
  <c r="L74" i="1"/>
  <c r="U85" i="1"/>
  <c r="T94" i="1"/>
  <c r="R94" i="1"/>
  <c r="L100" i="1"/>
  <c r="K99" i="1"/>
  <c r="T81" i="1"/>
  <c r="R81" i="1"/>
  <c r="G173" i="1"/>
  <c r="J173" i="1" s="1"/>
  <c r="G67" i="1"/>
  <c r="G44" i="1" s="1"/>
  <c r="G108" i="1" s="1"/>
  <c r="G127" i="1" s="1"/>
  <c r="G272" i="1"/>
  <c r="G271" i="1" s="1"/>
  <c r="G220" i="1" s="1"/>
  <c r="E271" i="1"/>
  <c r="T74" i="1"/>
  <c r="R74" i="1"/>
  <c r="Q100" i="1"/>
  <c r="O100" i="1"/>
  <c r="N99" i="1"/>
  <c r="O99" i="1" s="1"/>
  <c r="H112" i="1"/>
  <c r="Z118" i="1"/>
  <c r="AA118" i="1" s="1"/>
  <c r="Q160" i="1"/>
  <c r="O160" i="1"/>
  <c r="J108" i="1"/>
  <c r="J127" i="1" s="1"/>
  <c r="Q102" i="1"/>
  <c r="O102" i="1"/>
  <c r="T155" i="1"/>
  <c r="R155" i="1"/>
  <c r="Q174" i="1"/>
  <c r="O174" i="1"/>
  <c r="Q177" i="1"/>
  <c r="O177" i="1"/>
  <c r="T181" i="1"/>
  <c r="R181" i="1"/>
  <c r="R210" i="1"/>
  <c r="R137" i="1"/>
  <c r="O145" i="1"/>
  <c r="T171" i="1"/>
  <c r="R171" i="1"/>
  <c r="L120" i="1"/>
  <c r="Q139" i="1"/>
  <c r="O139" i="1"/>
  <c r="E157" i="1"/>
  <c r="J161" i="1"/>
  <c r="L161" i="1" s="1"/>
  <c r="L178" i="1"/>
  <c r="O70" i="1"/>
  <c r="O75" i="1"/>
  <c r="O83" i="1"/>
  <c r="H249" i="1"/>
  <c r="H220" i="1" s="1"/>
  <c r="J254" i="1"/>
  <c r="L254" i="1" s="1"/>
  <c r="Q120" i="1"/>
  <c r="O120" i="1"/>
  <c r="T150" i="1"/>
  <c r="R150" i="1"/>
  <c r="T161" i="1"/>
  <c r="R161" i="1"/>
  <c r="K93" i="1"/>
  <c r="L119" i="1"/>
  <c r="E169" i="1"/>
  <c r="T178" i="1"/>
  <c r="R178" i="1"/>
  <c r="Q143" i="1"/>
  <c r="O143" i="1"/>
  <c r="T172" i="1"/>
  <c r="R172" i="1"/>
  <c r="K133" i="1"/>
  <c r="O142" i="1"/>
  <c r="W144" i="1"/>
  <c r="N151" i="1"/>
  <c r="O151" i="1" s="1"/>
  <c r="Q152" i="1"/>
  <c r="Q154" i="1"/>
  <c r="O154" i="1"/>
  <c r="X165" i="1"/>
  <c r="H169" i="1"/>
  <c r="L164" i="1"/>
  <c r="Q142" i="1"/>
  <c r="T159" i="1"/>
  <c r="R159" i="1"/>
  <c r="Q176" i="1"/>
  <c r="O176" i="1"/>
  <c r="N175" i="1"/>
  <c r="O175" i="1" s="1"/>
  <c r="W180" i="1"/>
  <c r="U180" i="1"/>
  <c r="Q113" i="1"/>
  <c r="L115" i="1"/>
  <c r="L116" i="1"/>
  <c r="T122" i="1"/>
  <c r="T138" i="1"/>
  <c r="R138" i="1"/>
  <c r="T149" i="1"/>
  <c r="T156" i="1"/>
  <c r="R156" i="1"/>
  <c r="T183" i="1"/>
  <c r="R183" i="1"/>
  <c r="O98" i="1"/>
  <c r="T162" i="1"/>
  <c r="R162" i="1"/>
  <c r="Q173" i="1"/>
  <c r="O173" i="1"/>
  <c r="T184" i="1"/>
  <c r="R184" i="1"/>
  <c r="T239" i="1"/>
  <c r="R239" i="1"/>
  <c r="Q245" i="1"/>
  <c r="O245" i="1"/>
  <c r="N240" i="1"/>
  <c r="O240" i="1" s="1"/>
  <c r="AA165" i="1"/>
  <c r="X166" i="1"/>
  <c r="U167" i="1"/>
  <c r="O171" i="1"/>
  <c r="J172" i="1"/>
  <c r="L172" i="1" s="1"/>
  <c r="R180" i="1"/>
  <c r="O181" i="1"/>
  <c r="J182" i="1"/>
  <c r="L182" i="1" s="1"/>
  <c r="W197" i="1"/>
  <c r="U197" i="1"/>
  <c r="O206" i="1"/>
  <c r="Q206" i="1"/>
  <c r="W213" i="1"/>
  <c r="L223" i="1"/>
  <c r="F222" i="1"/>
  <c r="W231" i="1"/>
  <c r="U231" i="1"/>
  <c r="Q235" i="1"/>
  <c r="O235" i="1"/>
  <c r="L155" i="1"/>
  <c r="L183" i="1"/>
  <c r="R197" i="1"/>
  <c r="W200" i="1"/>
  <c r="U200" i="1"/>
  <c r="R221" i="1"/>
  <c r="K236" i="1"/>
  <c r="Q246" i="1"/>
  <c r="O246" i="1"/>
  <c r="Q186" i="1"/>
  <c r="O186" i="1"/>
  <c r="L207" i="1"/>
  <c r="K202" i="1"/>
  <c r="L250" i="1"/>
  <c r="E249" i="1"/>
  <c r="R278" i="1"/>
  <c r="T278" i="1"/>
  <c r="J248" i="1"/>
  <c r="L248" i="1" s="1"/>
  <c r="O122" i="1"/>
  <c r="O155" i="1"/>
  <c r="O161" i="1"/>
  <c r="O172" i="1"/>
  <c r="Q182" i="1"/>
  <c r="O183" i="1"/>
  <c r="J187" i="1"/>
  <c r="L187" i="1" s="1"/>
  <c r="T192" i="1"/>
  <c r="L209" i="1"/>
  <c r="K208" i="1"/>
  <c r="Q225" i="1"/>
  <c r="R226" i="1"/>
  <c r="T226" i="1"/>
  <c r="R254" i="1"/>
  <c r="T254" i="1"/>
  <c r="T262" i="1"/>
  <c r="Q260" i="1"/>
  <c r="T270" i="1"/>
  <c r="R270" i="1"/>
  <c r="O117" i="1"/>
  <c r="L118" i="1"/>
  <c r="AA167" i="1"/>
  <c r="O179" i="1"/>
  <c r="L224" i="1"/>
  <c r="J222" i="1"/>
  <c r="R262" i="1"/>
  <c r="AA268" i="1"/>
  <c r="O198" i="1"/>
  <c r="Q198" i="1"/>
  <c r="T204" i="1"/>
  <c r="Q208" i="1"/>
  <c r="R208" i="1" s="1"/>
  <c r="T247" i="1"/>
  <c r="R247" i="1"/>
  <c r="X268" i="1"/>
  <c r="K188" i="1"/>
  <c r="R216" i="1"/>
  <c r="T216" i="1"/>
  <c r="T187" i="1"/>
  <c r="W224" i="1"/>
  <c r="W230" i="1"/>
  <c r="T238" i="1"/>
  <c r="Q236" i="1"/>
  <c r="L194" i="1"/>
  <c r="Q196" i="1"/>
  <c r="O196" i="1"/>
  <c r="U224" i="1"/>
  <c r="O234" i="1"/>
  <c r="N232" i="1"/>
  <c r="O232" i="1" s="1"/>
  <c r="Q234" i="1"/>
  <c r="R238" i="1"/>
  <c r="T241" i="1"/>
  <c r="T244" i="1"/>
  <c r="R244" i="1"/>
  <c r="W265" i="1"/>
  <c r="U265" i="1"/>
  <c r="Q222" i="1"/>
  <c r="R222" i="1" s="1"/>
  <c r="T252" i="1"/>
  <c r="R252" i="1"/>
  <c r="O190" i="1"/>
  <c r="O209" i="1"/>
  <c r="U218" i="1"/>
  <c r="O223" i="1"/>
  <c r="N260" i="1"/>
  <c r="O260" i="1" s="1"/>
  <c r="R199" i="1"/>
  <c r="O200" i="1"/>
  <c r="Q203" i="1"/>
  <c r="R209" i="1"/>
  <c r="E211" i="1"/>
  <c r="E201" i="1" s="1"/>
  <c r="T212" i="1"/>
  <c r="U223" i="1"/>
  <c r="R224" i="1"/>
  <c r="O228" i="1"/>
  <c r="L231" i="1"/>
  <c r="L237" i="1"/>
  <c r="J246" i="1"/>
  <c r="L246" i="1" s="1"/>
  <c r="O262" i="1"/>
  <c r="L265" i="1"/>
  <c r="Q266" i="1"/>
  <c r="O266" i="1"/>
  <c r="U268" i="1"/>
  <c r="J273" i="1"/>
  <c r="L273" i="1" s="1"/>
  <c r="O278" i="1"/>
  <c r="T209" i="1"/>
  <c r="O229" i="1"/>
  <c r="Q243" i="1"/>
  <c r="O243" i="1"/>
  <c r="W267" i="1"/>
  <c r="O192" i="1"/>
  <c r="O204" i="1"/>
  <c r="R213" i="1"/>
  <c r="R230" i="1"/>
  <c r="R231" i="1"/>
  <c r="T256" i="1"/>
  <c r="R256" i="1"/>
  <c r="X261" i="1"/>
  <c r="O264" i="1"/>
  <c r="R265" i="1"/>
  <c r="L269" i="1"/>
  <c r="T273" i="1"/>
  <c r="L274" i="1"/>
  <c r="O197" i="1"/>
  <c r="E236" i="1"/>
  <c r="O238" i="1"/>
  <c r="O239" i="1"/>
  <c r="J252" i="1"/>
  <c r="L252" i="1" s="1"/>
  <c r="J253" i="1"/>
  <c r="L253" i="1" s="1"/>
  <c r="O256" i="1"/>
  <c r="L259" i="1"/>
  <c r="Q264" i="1"/>
  <c r="O270" i="1"/>
  <c r="O214" i="1"/>
  <c r="I240" i="1"/>
  <c r="I220" i="1" s="1"/>
  <c r="O254" i="1"/>
  <c r="Q272" i="1"/>
  <c r="O272" i="1"/>
  <c r="R274" i="1"/>
  <c r="O274" i="1"/>
  <c r="T259" i="1"/>
  <c r="L261" i="1"/>
  <c r="E260" i="1"/>
  <c r="N271" i="1"/>
  <c r="O271" i="1" s="1"/>
  <c r="T219" i="1"/>
  <c r="R219" i="1"/>
  <c r="T258" i="1"/>
  <c r="R258" i="1"/>
  <c r="O259" i="1"/>
  <c r="O257" i="1" s="1"/>
  <c r="J268" i="1"/>
  <c r="L268" i="1" s="1"/>
  <c r="I108" i="1" l="1"/>
  <c r="I127" i="1" s="1"/>
  <c r="L234" i="1"/>
  <c r="W185" i="1"/>
  <c r="U54" i="1"/>
  <c r="W69" i="1"/>
  <c r="X54" i="1"/>
  <c r="R164" i="1"/>
  <c r="I169" i="1"/>
  <c r="I153" i="1" s="1"/>
  <c r="I277" i="1" s="1"/>
  <c r="I279" i="1" s="1"/>
  <c r="I280" i="1" s="1"/>
  <c r="T205" i="1"/>
  <c r="J176" i="1"/>
  <c r="L176" i="1" s="1"/>
  <c r="R121" i="1"/>
  <c r="L243" i="1"/>
  <c r="X269" i="1"/>
  <c r="W214" i="1"/>
  <c r="Z214" i="1" s="1"/>
  <c r="T140" i="1"/>
  <c r="U140" i="1" s="1"/>
  <c r="R242" i="1"/>
  <c r="R118" i="1"/>
  <c r="U96" i="1"/>
  <c r="R225" i="1"/>
  <c r="U38" i="1"/>
  <c r="R42" i="1"/>
  <c r="R20" i="1"/>
  <c r="Z42" i="1"/>
  <c r="AA42" i="1" s="1"/>
  <c r="U118" i="1"/>
  <c r="U47" i="1"/>
  <c r="U13" i="1"/>
  <c r="W80" i="1"/>
  <c r="K214" i="1"/>
  <c r="K211" i="1" s="1"/>
  <c r="K201" i="1" s="1"/>
  <c r="R185" i="1"/>
  <c r="Q228" i="1"/>
  <c r="R228" i="1" s="1"/>
  <c r="L189" i="1"/>
  <c r="W121" i="1"/>
  <c r="Q39" i="1"/>
  <c r="R39" i="1" s="1"/>
  <c r="R96" i="1"/>
  <c r="T193" i="1"/>
  <c r="W193" i="1" s="1"/>
  <c r="R229" i="1"/>
  <c r="R170" i="1"/>
  <c r="W78" i="1"/>
  <c r="X78" i="1" s="1"/>
  <c r="T30" i="1"/>
  <c r="U30" i="1" s="1"/>
  <c r="Q240" i="1"/>
  <c r="R240" i="1" s="1"/>
  <c r="R218" i="1"/>
  <c r="L202" i="1"/>
  <c r="L232" i="1"/>
  <c r="U72" i="1"/>
  <c r="T115" i="1"/>
  <c r="W115" i="1" s="1"/>
  <c r="X47" i="1"/>
  <c r="X26" i="1"/>
  <c r="U26" i="1"/>
  <c r="Q249" i="1"/>
  <c r="R249" i="1" s="1"/>
  <c r="F220" i="1"/>
  <c r="K6" i="1"/>
  <c r="E153" i="1"/>
  <c r="L28" i="1"/>
  <c r="R191" i="1"/>
  <c r="U255" i="1"/>
  <c r="O211" i="1"/>
  <c r="R78" i="1"/>
  <c r="J272" i="1"/>
  <c r="L272" i="1" s="1"/>
  <c r="E220" i="1"/>
  <c r="E277" i="1" s="1"/>
  <c r="E279" i="1" s="1"/>
  <c r="R236" i="1"/>
  <c r="R106" i="1"/>
  <c r="W43" i="1"/>
  <c r="U227" i="1"/>
  <c r="L148" i="1"/>
  <c r="K147" i="1"/>
  <c r="K146" i="1" s="1"/>
  <c r="U164" i="1"/>
  <c r="K220" i="1"/>
  <c r="L17" i="1"/>
  <c r="R89" i="1"/>
  <c r="R255" i="1"/>
  <c r="L96" i="1"/>
  <c r="O189" i="1"/>
  <c r="O188" i="1" s="1"/>
  <c r="W237" i="1"/>
  <c r="Z237" i="1" s="1"/>
  <c r="U136" i="1"/>
  <c r="W251" i="1"/>
  <c r="U251" i="1"/>
  <c r="T195" i="1"/>
  <c r="W195" i="1" s="1"/>
  <c r="U56" i="1"/>
  <c r="W56" i="1"/>
  <c r="W253" i="1"/>
  <c r="U253" i="1"/>
  <c r="T222" i="1"/>
  <c r="U222" i="1" s="1"/>
  <c r="Z58" i="1"/>
  <c r="AA58" i="1" s="1"/>
  <c r="Q67" i="1"/>
  <c r="T24" i="1"/>
  <c r="U24" i="1" s="1"/>
  <c r="R18" i="1"/>
  <c r="T18" i="1"/>
  <c r="T215" i="1"/>
  <c r="R215" i="1"/>
  <c r="W217" i="1"/>
  <c r="U217" i="1"/>
  <c r="X25" i="1"/>
  <c r="U25" i="1"/>
  <c r="T141" i="1"/>
  <c r="R141" i="1"/>
  <c r="W207" i="1"/>
  <c r="U207" i="1"/>
  <c r="R248" i="1"/>
  <c r="T248" i="1"/>
  <c r="W222" i="1"/>
  <c r="X222" i="1" s="1"/>
  <c r="N169" i="1"/>
  <c r="O169" i="1" s="1"/>
  <c r="X223" i="1"/>
  <c r="W134" i="1"/>
  <c r="X134" i="1" s="1"/>
  <c r="Q28" i="1"/>
  <c r="R28" i="1" s="1"/>
  <c r="T87" i="1"/>
  <c r="R87" i="1"/>
  <c r="W250" i="1"/>
  <c r="U250" i="1"/>
  <c r="R211" i="1"/>
  <c r="X84" i="1"/>
  <c r="Z84" i="1"/>
  <c r="T62" i="1"/>
  <c r="R62" i="1"/>
  <c r="Z77" i="1"/>
  <c r="X77" i="1"/>
  <c r="R207" i="1"/>
  <c r="O220" i="1"/>
  <c r="T123" i="1"/>
  <c r="R123" i="1"/>
  <c r="T190" i="1"/>
  <c r="Q189" i="1"/>
  <c r="R189" i="1" s="1"/>
  <c r="W233" i="1"/>
  <c r="U233" i="1"/>
  <c r="T46" i="1"/>
  <c r="R46" i="1"/>
  <c r="R105" i="1"/>
  <c r="T105" i="1"/>
  <c r="T148" i="1"/>
  <c r="T147" i="1" s="1"/>
  <c r="R148" i="1"/>
  <c r="W124" i="1"/>
  <c r="U124" i="1"/>
  <c r="W194" i="1"/>
  <c r="U194" i="1"/>
  <c r="W65" i="1"/>
  <c r="U65" i="1"/>
  <c r="R91" i="1"/>
  <c r="T91" i="1"/>
  <c r="T89" i="1" s="1"/>
  <c r="U89" i="1" s="1"/>
  <c r="Q147" i="1"/>
  <c r="Q146" i="1" s="1"/>
  <c r="R146" i="1" s="1"/>
  <c r="U58" i="1"/>
  <c r="W199" i="1"/>
  <c r="U199" i="1"/>
  <c r="R194" i="1"/>
  <c r="R134" i="1"/>
  <c r="W140" i="1"/>
  <c r="R135" i="1"/>
  <c r="T135" i="1"/>
  <c r="Z227" i="1"/>
  <c r="AA227" i="1" s="1"/>
  <c r="R80" i="1"/>
  <c r="T163" i="1"/>
  <c r="R163" i="1"/>
  <c r="N201" i="1"/>
  <c r="Q45" i="1"/>
  <c r="R52" i="1"/>
  <c r="W149" i="1"/>
  <c r="U149" i="1"/>
  <c r="O157" i="1"/>
  <c r="U116" i="1"/>
  <c r="W116" i="1"/>
  <c r="X38" i="1"/>
  <c r="Z38" i="1"/>
  <c r="N92" i="1"/>
  <c r="O92" i="1" s="1"/>
  <c r="O93" i="1"/>
  <c r="Z98" i="1"/>
  <c r="X98" i="1"/>
  <c r="W96" i="1"/>
  <c r="X96" i="1" s="1"/>
  <c r="Z117" i="1"/>
  <c r="X117" i="1"/>
  <c r="L67" i="1"/>
  <c r="AA269" i="1"/>
  <c r="W191" i="1"/>
  <c r="U191" i="1"/>
  <c r="W254" i="1"/>
  <c r="U254" i="1"/>
  <c r="L222" i="1"/>
  <c r="W183" i="1"/>
  <c r="U183" i="1"/>
  <c r="J175" i="1"/>
  <c r="L175" i="1" s="1"/>
  <c r="U181" i="1"/>
  <c r="W181" i="1"/>
  <c r="T57" i="1"/>
  <c r="R57" i="1"/>
  <c r="Z69" i="1"/>
  <c r="X69" i="1"/>
  <c r="Q157" i="1"/>
  <c r="R157" i="1" s="1"/>
  <c r="T158" i="1"/>
  <c r="R158" i="1"/>
  <c r="L210" i="1"/>
  <c r="L208" i="1" s="1"/>
  <c r="F208" i="1"/>
  <c r="F201" i="1" s="1"/>
  <c r="F277" i="1" s="1"/>
  <c r="F279" i="1" s="1"/>
  <c r="F280" i="1" s="1"/>
  <c r="R36" i="1"/>
  <c r="W16" i="1"/>
  <c r="W14" i="1" s="1"/>
  <c r="U16" i="1"/>
  <c r="R7" i="1"/>
  <c r="Z59" i="1"/>
  <c r="X59" i="1"/>
  <c r="T173" i="1"/>
  <c r="R173" i="1"/>
  <c r="Z180" i="1"/>
  <c r="X180" i="1"/>
  <c r="Z63" i="1"/>
  <c r="AA63" i="1" s="1"/>
  <c r="X63" i="1"/>
  <c r="T95" i="1"/>
  <c r="R95" i="1"/>
  <c r="O202" i="1"/>
  <c r="O201" i="1" s="1"/>
  <c r="Z213" i="1"/>
  <c r="X213" i="1"/>
  <c r="Z144" i="1"/>
  <c r="AA144" i="1" s="1"/>
  <c r="X144" i="1"/>
  <c r="T177" i="1"/>
  <c r="R177" i="1"/>
  <c r="T160" i="1"/>
  <c r="R160" i="1"/>
  <c r="U74" i="1"/>
  <c r="W74" i="1"/>
  <c r="L99" i="1"/>
  <c r="L151" i="1"/>
  <c r="U88" i="1"/>
  <c r="W88" i="1"/>
  <c r="U68" i="1"/>
  <c r="W68" i="1"/>
  <c r="L174" i="1"/>
  <c r="J245" i="1"/>
  <c r="J240" i="1" s="1"/>
  <c r="Z41" i="1"/>
  <c r="X41" i="1"/>
  <c r="W37" i="1"/>
  <c r="U37" i="1"/>
  <c r="T36" i="1"/>
  <c r="U36" i="1" s="1"/>
  <c r="L11" i="1"/>
  <c r="U8" i="1"/>
  <c r="W8" i="1"/>
  <c r="T7" i="1"/>
  <c r="AA49" i="1"/>
  <c r="X49" i="1"/>
  <c r="U204" i="1"/>
  <c r="W204" i="1"/>
  <c r="T102" i="1"/>
  <c r="R102" i="1"/>
  <c r="Z71" i="1"/>
  <c r="X71" i="1"/>
  <c r="L236" i="1"/>
  <c r="W138" i="1"/>
  <c r="U138" i="1"/>
  <c r="Z265" i="1"/>
  <c r="X265" i="1"/>
  <c r="U187" i="1"/>
  <c r="W187" i="1"/>
  <c r="T198" i="1"/>
  <c r="R198" i="1"/>
  <c r="W221" i="1"/>
  <c r="U221" i="1"/>
  <c r="L228" i="1"/>
  <c r="U192" i="1"/>
  <c r="W192" i="1"/>
  <c r="AA223" i="1"/>
  <c r="T246" i="1"/>
  <c r="R246" i="1"/>
  <c r="L257" i="1"/>
  <c r="Z134" i="1"/>
  <c r="H127" i="1"/>
  <c r="U82" i="1"/>
  <c r="W82" i="1"/>
  <c r="U90" i="1"/>
  <c r="W90" i="1"/>
  <c r="R67" i="1"/>
  <c r="Z107" i="1"/>
  <c r="X107" i="1"/>
  <c r="W27" i="1"/>
  <c r="U27" i="1"/>
  <c r="AA54" i="1"/>
  <c r="W40" i="1"/>
  <c r="U40" i="1"/>
  <c r="T39" i="1"/>
  <c r="AA47" i="1"/>
  <c r="W219" i="1"/>
  <c r="U219" i="1"/>
  <c r="W239" i="1"/>
  <c r="U239" i="1"/>
  <c r="W150" i="1"/>
  <c r="U150" i="1"/>
  <c r="W101" i="1"/>
  <c r="U101" i="1"/>
  <c r="AA26" i="1"/>
  <c r="W273" i="1"/>
  <c r="U273" i="1"/>
  <c r="W205" i="1"/>
  <c r="U205" i="1"/>
  <c r="W216" i="1"/>
  <c r="U216" i="1"/>
  <c r="W247" i="1"/>
  <c r="U247" i="1"/>
  <c r="W226" i="1"/>
  <c r="U226" i="1"/>
  <c r="T225" i="1"/>
  <c r="U225" i="1" s="1"/>
  <c r="W170" i="1"/>
  <c r="U170" i="1"/>
  <c r="Q175" i="1"/>
  <c r="R175" i="1" s="1"/>
  <c r="T176" i="1"/>
  <c r="R176" i="1"/>
  <c r="U178" i="1"/>
  <c r="W178" i="1"/>
  <c r="T120" i="1"/>
  <c r="R120" i="1"/>
  <c r="W171" i="1"/>
  <c r="U171" i="1"/>
  <c r="T174" i="1"/>
  <c r="R174" i="1"/>
  <c r="W94" i="1"/>
  <c r="U94" i="1"/>
  <c r="T93" i="1"/>
  <c r="W145" i="1"/>
  <c r="U145" i="1"/>
  <c r="W66" i="1"/>
  <c r="U66" i="1"/>
  <c r="L110" i="1"/>
  <c r="E109" i="1"/>
  <c r="E127" i="1"/>
  <c r="T119" i="1"/>
  <c r="R119" i="1"/>
  <c r="R14" i="1"/>
  <c r="T64" i="1"/>
  <c r="R64" i="1"/>
  <c r="T125" i="1"/>
  <c r="R125" i="1"/>
  <c r="W79" i="1"/>
  <c r="U79" i="1"/>
  <c r="AA25" i="1"/>
  <c r="AA75" i="1"/>
  <c r="T32" i="1"/>
  <c r="R32" i="1"/>
  <c r="Z179" i="1"/>
  <c r="X179" i="1"/>
  <c r="R110" i="1"/>
  <c r="Q109" i="1"/>
  <c r="R109" i="1" s="1"/>
  <c r="T110" i="1"/>
  <c r="L260" i="1"/>
  <c r="Q263" i="1"/>
  <c r="R263" i="1" s="1"/>
  <c r="T264" i="1"/>
  <c r="R264" i="1"/>
  <c r="Z218" i="1"/>
  <c r="X218" i="1"/>
  <c r="U242" i="1"/>
  <c r="W242" i="1"/>
  <c r="T206" i="1"/>
  <c r="R206" i="1"/>
  <c r="U162" i="1"/>
  <c r="W162" i="1"/>
  <c r="Q93" i="1"/>
  <c r="T60" i="1"/>
  <c r="R60" i="1"/>
  <c r="L112" i="1"/>
  <c r="W86" i="1"/>
  <c r="U86" i="1"/>
  <c r="X80" i="1"/>
  <c r="Z80" i="1"/>
  <c r="W35" i="1"/>
  <c r="U35" i="1"/>
  <c r="L45" i="1"/>
  <c r="T33" i="1"/>
  <c r="R33" i="1"/>
  <c r="AA261" i="1"/>
  <c r="W244" i="1"/>
  <c r="U244" i="1"/>
  <c r="W238" i="1"/>
  <c r="U238" i="1"/>
  <c r="W159" i="1"/>
  <c r="U159" i="1"/>
  <c r="H157" i="1"/>
  <c r="H153" i="1" s="1"/>
  <c r="H277" i="1" s="1"/>
  <c r="H279" i="1" s="1"/>
  <c r="J162" i="1"/>
  <c r="J157" i="1" s="1"/>
  <c r="Z19" i="1"/>
  <c r="X19" i="1"/>
  <c r="Z48" i="1"/>
  <c r="X48" i="1"/>
  <c r="W53" i="1"/>
  <c r="U53" i="1"/>
  <c r="Z73" i="1"/>
  <c r="X73" i="1"/>
  <c r="W209" i="1"/>
  <c r="T208" i="1"/>
  <c r="U208" i="1" s="1"/>
  <c r="U209" i="1"/>
  <c r="X200" i="1"/>
  <c r="Z200" i="1"/>
  <c r="U258" i="1"/>
  <c r="T257" i="1"/>
  <c r="U257" i="1" s="1"/>
  <c r="W258" i="1"/>
  <c r="T266" i="1"/>
  <c r="R266" i="1"/>
  <c r="Z230" i="1"/>
  <c r="X230" i="1"/>
  <c r="T236" i="1"/>
  <c r="U236" i="1" s="1"/>
  <c r="W278" i="1"/>
  <c r="U278" i="1"/>
  <c r="T189" i="1"/>
  <c r="Z164" i="1"/>
  <c r="X164" i="1"/>
  <c r="W172" i="1"/>
  <c r="U172" i="1"/>
  <c r="K92" i="1"/>
  <c r="K108" i="1" s="1"/>
  <c r="W155" i="1"/>
  <c r="U155" i="1"/>
  <c r="U106" i="1"/>
  <c r="W106" i="1"/>
  <c r="W76" i="1"/>
  <c r="U76" i="1"/>
  <c r="Z111" i="1"/>
  <c r="X111" i="1"/>
  <c r="Z121" i="1"/>
  <c r="X121" i="1"/>
  <c r="R55" i="1"/>
  <c r="T55" i="1"/>
  <c r="T52" i="1" s="1"/>
  <c r="R17" i="1"/>
  <c r="X13" i="1"/>
  <c r="Z13" i="1"/>
  <c r="Z31" i="1"/>
  <c r="X31" i="1"/>
  <c r="T34" i="1"/>
  <c r="R34" i="1"/>
  <c r="Z43" i="1"/>
  <c r="X43" i="1"/>
  <c r="T234" i="1"/>
  <c r="R234" i="1"/>
  <c r="Q232" i="1"/>
  <c r="R232" i="1" s="1"/>
  <c r="U81" i="1"/>
  <c r="W81" i="1"/>
  <c r="Q202" i="1"/>
  <c r="R203" i="1"/>
  <c r="T203" i="1"/>
  <c r="U259" i="1"/>
  <c r="W259" i="1"/>
  <c r="Z267" i="1"/>
  <c r="X267" i="1"/>
  <c r="L263" i="1"/>
  <c r="T182" i="1"/>
  <c r="R182" i="1"/>
  <c r="R235" i="1"/>
  <c r="T235" i="1"/>
  <c r="W184" i="1"/>
  <c r="U184" i="1"/>
  <c r="W122" i="1"/>
  <c r="U122" i="1"/>
  <c r="R142" i="1"/>
  <c r="T142" i="1"/>
  <c r="T154" i="1"/>
  <c r="R154" i="1"/>
  <c r="L173" i="1"/>
  <c r="G169" i="1"/>
  <c r="G153" i="1" s="1"/>
  <c r="J213" i="1"/>
  <c r="G211" i="1"/>
  <c r="G201" i="1" s="1"/>
  <c r="AA136" i="1"/>
  <c r="N23" i="1"/>
  <c r="O23" i="1" s="1"/>
  <c r="N45" i="1"/>
  <c r="O52" i="1"/>
  <c r="Z78" i="1"/>
  <c r="Q23" i="1"/>
  <c r="R24" i="1"/>
  <c r="AA85" i="1"/>
  <c r="T12" i="1"/>
  <c r="R12" i="1"/>
  <c r="Q11" i="1"/>
  <c r="W30" i="1"/>
  <c r="T14" i="1"/>
  <c r="U14" i="1" s="1"/>
  <c r="T272" i="1"/>
  <c r="R272" i="1"/>
  <c r="Q271" i="1"/>
  <c r="R271" i="1" s="1"/>
  <c r="T243" i="1"/>
  <c r="R243" i="1"/>
  <c r="W262" i="1"/>
  <c r="U262" i="1"/>
  <c r="T245" i="1"/>
  <c r="R245" i="1"/>
  <c r="T113" i="1"/>
  <c r="R113" i="1"/>
  <c r="Q112" i="1"/>
  <c r="R112" i="1" s="1"/>
  <c r="W161" i="1"/>
  <c r="U161" i="1"/>
  <c r="T20" i="1"/>
  <c r="U20" i="1" s="1"/>
  <c r="W21" i="1"/>
  <c r="U21" i="1"/>
  <c r="X255" i="1"/>
  <c r="Z255" i="1"/>
  <c r="T260" i="1"/>
  <c r="U260" i="1" s="1"/>
  <c r="U212" i="1"/>
  <c r="T211" i="1"/>
  <c r="U211" i="1" s="1"/>
  <c r="W212" i="1"/>
  <c r="W241" i="1"/>
  <c r="U241" i="1"/>
  <c r="T196" i="1"/>
  <c r="R196" i="1"/>
  <c r="Z224" i="1"/>
  <c r="X224" i="1"/>
  <c r="W270" i="1"/>
  <c r="U270" i="1"/>
  <c r="W229" i="1"/>
  <c r="U229" i="1"/>
  <c r="T228" i="1"/>
  <c r="U228" i="1" s="1"/>
  <c r="Z197" i="1"/>
  <c r="X197" i="1"/>
  <c r="Z185" i="1"/>
  <c r="X185" i="1"/>
  <c r="T139" i="1"/>
  <c r="R139" i="1"/>
  <c r="Q133" i="1"/>
  <c r="Z137" i="1"/>
  <c r="X137" i="1"/>
  <c r="T104" i="1"/>
  <c r="R104" i="1"/>
  <c r="Q103" i="1"/>
  <c r="R103" i="1" s="1"/>
  <c r="L14" i="1"/>
  <c r="O11" i="1"/>
  <c r="N10" i="1"/>
  <c r="O10" i="1" s="1"/>
  <c r="J249" i="1"/>
  <c r="U256" i="1"/>
  <c r="W256" i="1"/>
  <c r="W252" i="1"/>
  <c r="U252" i="1"/>
  <c r="N220" i="1"/>
  <c r="R260" i="1"/>
  <c r="T186" i="1"/>
  <c r="R186" i="1"/>
  <c r="X231" i="1"/>
  <c r="Z231" i="1"/>
  <c r="W156" i="1"/>
  <c r="U156" i="1"/>
  <c r="Q151" i="1"/>
  <c r="R151" i="1" s="1"/>
  <c r="T152" i="1"/>
  <c r="R152" i="1"/>
  <c r="T143" i="1"/>
  <c r="R143" i="1"/>
  <c r="W210" i="1"/>
  <c r="U210" i="1"/>
  <c r="R100" i="1"/>
  <c r="Q99" i="1"/>
  <c r="R99" i="1" s="1"/>
  <c r="T100" i="1"/>
  <c r="N6" i="1"/>
  <c r="O6" i="1" s="1"/>
  <c r="O7" i="1"/>
  <c r="W29" i="1"/>
  <c r="U29" i="1"/>
  <c r="Z114" i="1"/>
  <c r="X114" i="1"/>
  <c r="Z22" i="1"/>
  <c r="X22" i="1"/>
  <c r="Z15" i="1"/>
  <c r="X15" i="1"/>
  <c r="L214" i="1" l="1"/>
  <c r="J271" i="1"/>
  <c r="J220" i="1" s="1"/>
  <c r="X237" i="1"/>
  <c r="X214" i="1"/>
  <c r="L23" i="1"/>
  <c r="E280" i="1"/>
  <c r="L188" i="1"/>
  <c r="U193" i="1"/>
  <c r="U39" i="1"/>
  <c r="J169" i="1"/>
  <c r="J153" i="1" s="1"/>
  <c r="T249" i="1"/>
  <c r="U249" i="1" s="1"/>
  <c r="U115" i="1"/>
  <c r="W236" i="1"/>
  <c r="K277" i="1"/>
  <c r="Q188" i="1"/>
  <c r="R188" i="1" s="1"/>
  <c r="G277" i="1"/>
  <c r="G279" i="1" s="1"/>
  <c r="G280" i="1" s="1"/>
  <c r="L271" i="1"/>
  <c r="L249" i="1"/>
  <c r="L169" i="1"/>
  <c r="O153" i="1"/>
  <c r="L147" i="1"/>
  <c r="W123" i="1"/>
  <c r="U123" i="1"/>
  <c r="X250" i="1"/>
  <c r="Z250" i="1"/>
  <c r="X207" i="1"/>
  <c r="Z207" i="1"/>
  <c r="Z199" i="1"/>
  <c r="X199" i="1"/>
  <c r="U148" i="1"/>
  <c r="W148" i="1"/>
  <c r="W141" i="1"/>
  <c r="U141" i="1"/>
  <c r="R147" i="1"/>
  <c r="U91" i="1"/>
  <c r="W91" i="1"/>
  <c r="W89" i="1" s="1"/>
  <c r="X89" i="1" s="1"/>
  <c r="Z124" i="1"/>
  <c r="AA124" i="1" s="1"/>
  <c r="X124" i="1"/>
  <c r="Q220" i="1"/>
  <c r="R220" i="1" s="1"/>
  <c r="U163" i="1"/>
  <c r="W163" i="1"/>
  <c r="U105" i="1"/>
  <c r="W105" i="1"/>
  <c r="U46" i="1"/>
  <c r="W46" i="1"/>
  <c r="AA77" i="1"/>
  <c r="X253" i="1"/>
  <c r="Z253" i="1"/>
  <c r="W87" i="1"/>
  <c r="U87" i="1"/>
  <c r="N153" i="1"/>
  <c r="N277" i="1" s="1"/>
  <c r="O277" i="1" s="1"/>
  <c r="T67" i="1"/>
  <c r="U67" i="1" s="1"/>
  <c r="W135" i="1"/>
  <c r="U135" i="1"/>
  <c r="Z217" i="1"/>
  <c r="X217" i="1"/>
  <c r="X56" i="1"/>
  <c r="Z56" i="1"/>
  <c r="U215" i="1"/>
  <c r="W215" i="1"/>
  <c r="Z194" i="1"/>
  <c r="X194" i="1"/>
  <c r="W190" i="1"/>
  <c r="U190" i="1"/>
  <c r="W248" i="1"/>
  <c r="U248" i="1"/>
  <c r="T17" i="1"/>
  <c r="U17" i="1" s="1"/>
  <c r="U18" i="1"/>
  <c r="W18" i="1"/>
  <c r="X65" i="1"/>
  <c r="Z65" i="1"/>
  <c r="X233" i="1"/>
  <c r="Z233" i="1"/>
  <c r="W62" i="1"/>
  <c r="U62" i="1"/>
  <c r="Z140" i="1"/>
  <c r="X140" i="1"/>
  <c r="AA84" i="1"/>
  <c r="U195" i="1"/>
  <c r="Q169" i="1"/>
  <c r="R169" i="1" s="1"/>
  <c r="Z251" i="1"/>
  <c r="X251" i="1"/>
  <c r="T45" i="1"/>
  <c r="U52" i="1"/>
  <c r="W139" i="1"/>
  <c r="U139" i="1"/>
  <c r="W143" i="1"/>
  <c r="U143" i="1"/>
  <c r="T133" i="1"/>
  <c r="AA224" i="1"/>
  <c r="Z262" i="1"/>
  <c r="X262" i="1"/>
  <c r="W260" i="1"/>
  <c r="X260" i="1" s="1"/>
  <c r="Z259" i="1"/>
  <c r="X259" i="1"/>
  <c r="AA121" i="1"/>
  <c r="AA230" i="1"/>
  <c r="Z209" i="1"/>
  <c r="X209" i="1"/>
  <c r="W208" i="1"/>
  <c r="X208" i="1" s="1"/>
  <c r="L162" i="1"/>
  <c r="Z244" i="1"/>
  <c r="X244" i="1"/>
  <c r="W60" i="1"/>
  <c r="U60" i="1"/>
  <c r="Z242" i="1"/>
  <c r="X242" i="1"/>
  <c r="U93" i="1"/>
  <c r="L10" i="1"/>
  <c r="X88" i="1"/>
  <c r="Z88" i="1"/>
  <c r="AA88" i="1" s="1"/>
  <c r="Z116" i="1"/>
  <c r="X116" i="1"/>
  <c r="U64" i="1"/>
  <c r="W64" i="1"/>
  <c r="W186" i="1"/>
  <c r="U186" i="1"/>
  <c r="Z21" i="1"/>
  <c r="X21" i="1"/>
  <c r="W20" i="1"/>
  <c r="X20" i="1" s="1"/>
  <c r="W12" i="1"/>
  <c r="U12" i="1"/>
  <c r="T11" i="1"/>
  <c r="AA43" i="1"/>
  <c r="X172" i="1"/>
  <c r="Z172" i="1"/>
  <c r="R93" i="1"/>
  <c r="Q92" i="1"/>
  <c r="R92" i="1" s="1"/>
  <c r="W176" i="1"/>
  <c r="U176" i="1"/>
  <c r="T175" i="1"/>
  <c r="Z101" i="1"/>
  <c r="X101" i="1"/>
  <c r="Z221" i="1"/>
  <c r="X221" i="1"/>
  <c r="AA71" i="1"/>
  <c r="AA180" i="1"/>
  <c r="R11" i="1"/>
  <c r="Q10" i="1"/>
  <c r="R10" i="1" s="1"/>
  <c r="W32" i="1"/>
  <c r="U32" i="1"/>
  <c r="Z205" i="1"/>
  <c r="X205" i="1"/>
  <c r="W177" i="1"/>
  <c r="U177" i="1"/>
  <c r="T28" i="1"/>
  <c r="W104" i="1"/>
  <c r="T103" i="1"/>
  <c r="U103" i="1" s="1"/>
  <c r="U104" i="1"/>
  <c r="W243" i="1"/>
  <c r="U243" i="1"/>
  <c r="W154" i="1"/>
  <c r="U154" i="1"/>
  <c r="W203" i="1"/>
  <c r="U203" i="1"/>
  <c r="T202" i="1"/>
  <c r="AA111" i="1"/>
  <c r="AA73" i="1"/>
  <c r="AA80" i="1"/>
  <c r="T109" i="1"/>
  <c r="U109" i="1" s="1"/>
  <c r="W110" i="1"/>
  <c r="U110" i="1"/>
  <c r="U119" i="1"/>
  <c r="W119" i="1"/>
  <c r="Z94" i="1"/>
  <c r="X94" i="1"/>
  <c r="Z226" i="1"/>
  <c r="X226" i="1"/>
  <c r="W225" i="1"/>
  <c r="X225" i="1" s="1"/>
  <c r="Z40" i="1"/>
  <c r="X40" i="1"/>
  <c r="W39" i="1"/>
  <c r="X39" i="1" s="1"/>
  <c r="X82" i="1"/>
  <c r="Z82" i="1"/>
  <c r="Z181" i="1"/>
  <c r="X181" i="1"/>
  <c r="Z254" i="1"/>
  <c r="X254" i="1"/>
  <c r="AA117" i="1"/>
  <c r="T112" i="1"/>
  <c r="U112" i="1" s="1"/>
  <c r="W113" i="1"/>
  <c r="U113" i="1"/>
  <c r="AA200" i="1"/>
  <c r="K127" i="1"/>
  <c r="Z145" i="1"/>
  <c r="X145" i="1"/>
  <c r="X90" i="1"/>
  <c r="Z90" i="1"/>
  <c r="W152" i="1"/>
  <c r="U152" i="1"/>
  <c r="T151" i="1"/>
  <c r="U151" i="1" s="1"/>
  <c r="AA197" i="1"/>
  <c r="T240" i="1"/>
  <c r="U240" i="1" s="1"/>
  <c r="W142" i="1"/>
  <c r="U142" i="1"/>
  <c r="W182" i="1"/>
  <c r="U182" i="1"/>
  <c r="W34" i="1"/>
  <c r="U34" i="1"/>
  <c r="Z273" i="1"/>
  <c r="X273" i="1"/>
  <c r="Z150" i="1"/>
  <c r="X150" i="1"/>
  <c r="W198" i="1"/>
  <c r="U198" i="1"/>
  <c r="W102" i="1"/>
  <c r="U102" i="1"/>
  <c r="Z37" i="1"/>
  <c r="X37" i="1"/>
  <c r="W36" i="1"/>
  <c r="X36" i="1" s="1"/>
  <c r="W173" i="1"/>
  <c r="U173" i="1"/>
  <c r="W196" i="1"/>
  <c r="U196" i="1"/>
  <c r="AA137" i="1"/>
  <c r="Q201" i="1"/>
  <c r="R201" i="1" s="1"/>
  <c r="R202" i="1"/>
  <c r="X76" i="1"/>
  <c r="Z76" i="1"/>
  <c r="AA164" i="1"/>
  <c r="W266" i="1"/>
  <c r="U266" i="1"/>
  <c r="AA237" i="1"/>
  <c r="W174" i="1"/>
  <c r="U174" i="1"/>
  <c r="H280" i="1"/>
  <c r="U246" i="1"/>
  <c r="W246" i="1"/>
  <c r="Z187" i="1"/>
  <c r="X187" i="1"/>
  <c r="Z204" i="1"/>
  <c r="X204" i="1"/>
  <c r="AA213" i="1"/>
  <c r="Z149" i="1"/>
  <c r="X149" i="1"/>
  <c r="U147" i="1"/>
  <c r="T146" i="1"/>
  <c r="U146" i="1" s="1"/>
  <c r="W234" i="1"/>
  <c r="U234" i="1"/>
  <c r="T232" i="1"/>
  <c r="Z35" i="1"/>
  <c r="X35" i="1"/>
  <c r="X241" i="1"/>
  <c r="Z241" i="1"/>
  <c r="X161" i="1"/>
  <c r="Z161" i="1"/>
  <c r="W272" i="1"/>
  <c r="U272" i="1"/>
  <c r="T271" i="1"/>
  <c r="U271" i="1" s="1"/>
  <c r="R23" i="1"/>
  <c r="J211" i="1"/>
  <c r="J201" i="1" s="1"/>
  <c r="L213" i="1"/>
  <c r="AA214" i="1"/>
  <c r="X81" i="1"/>
  <c r="Z81" i="1"/>
  <c r="AA81" i="1" s="1"/>
  <c r="AA31" i="1"/>
  <c r="T188" i="1"/>
  <c r="U189" i="1"/>
  <c r="W257" i="1"/>
  <c r="X257" i="1" s="1"/>
  <c r="Z258" i="1"/>
  <c r="X258" i="1"/>
  <c r="Z53" i="1"/>
  <c r="X53" i="1"/>
  <c r="W33" i="1"/>
  <c r="U33" i="1"/>
  <c r="X236" i="1"/>
  <c r="L111" i="1"/>
  <c r="L109" i="1" s="1"/>
  <c r="Z247" i="1"/>
  <c r="AA247" i="1" s="1"/>
  <c r="X247" i="1"/>
  <c r="Z239" i="1"/>
  <c r="X239" i="1"/>
  <c r="Z222" i="1"/>
  <c r="AA41" i="1"/>
  <c r="L92" i="1"/>
  <c r="AA59" i="1"/>
  <c r="T157" i="1"/>
  <c r="U157" i="1" s="1"/>
  <c r="W158" i="1"/>
  <c r="U158" i="1"/>
  <c r="AA98" i="1"/>
  <c r="Z96" i="1"/>
  <c r="AA96" i="1" s="1"/>
  <c r="Z184" i="1"/>
  <c r="X184" i="1"/>
  <c r="AA267" i="1"/>
  <c r="Z29" i="1"/>
  <c r="X29" i="1"/>
  <c r="Z156" i="1"/>
  <c r="X156" i="1"/>
  <c r="AA15" i="1"/>
  <c r="T99" i="1"/>
  <c r="U99" i="1" s="1"/>
  <c r="W100" i="1"/>
  <c r="U100" i="1"/>
  <c r="R133" i="1"/>
  <c r="W211" i="1"/>
  <c r="X211" i="1" s="1"/>
  <c r="Z212" i="1"/>
  <c r="X212" i="1"/>
  <c r="Z122" i="1"/>
  <c r="AA122" i="1" s="1"/>
  <c r="X122" i="1"/>
  <c r="AA13" i="1"/>
  <c r="L44" i="1"/>
  <c r="AA179" i="1"/>
  <c r="X171" i="1"/>
  <c r="Z171" i="1"/>
  <c r="L245" i="1"/>
  <c r="X74" i="1"/>
  <c r="Z74" i="1"/>
  <c r="Q6" i="1"/>
  <c r="R6" i="1" s="1"/>
  <c r="Z191" i="1"/>
  <c r="X191" i="1"/>
  <c r="Q44" i="1"/>
  <c r="Q108" i="1" s="1"/>
  <c r="R45" i="1"/>
  <c r="AA231" i="1"/>
  <c r="AA114" i="1"/>
  <c r="W206" i="1"/>
  <c r="U206" i="1"/>
  <c r="X14" i="1"/>
  <c r="Z252" i="1"/>
  <c r="X252" i="1"/>
  <c r="L6" i="1"/>
  <c r="Z229" i="1"/>
  <c r="W228" i="1"/>
  <c r="X228" i="1" s="1"/>
  <c r="X229" i="1"/>
  <c r="Z195" i="1"/>
  <c r="X195" i="1"/>
  <c r="AA78" i="1"/>
  <c r="Z106" i="1"/>
  <c r="X106" i="1"/>
  <c r="Z278" i="1"/>
  <c r="X278" i="1"/>
  <c r="AA48" i="1"/>
  <c r="Z159" i="1"/>
  <c r="X159" i="1"/>
  <c r="AA218" i="1"/>
  <c r="Z79" i="1"/>
  <c r="X79" i="1"/>
  <c r="Z115" i="1"/>
  <c r="X115" i="1"/>
  <c r="Z170" i="1"/>
  <c r="X170" i="1"/>
  <c r="X216" i="1"/>
  <c r="Z27" i="1"/>
  <c r="X27" i="1"/>
  <c r="W24" i="1"/>
  <c r="AA265" i="1"/>
  <c r="Z86" i="1"/>
  <c r="X86" i="1"/>
  <c r="Z162" i="1"/>
  <c r="X162" i="1"/>
  <c r="W120" i="1"/>
  <c r="U120" i="1"/>
  <c r="AA69" i="1"/>
  <c r="Z183" i="1"/>
  <c r="X183" i="1"/>
  <c r="AA22" i="1"/>
  <c r="Z270" i="1"/>
  <c r="X270" i="1"/>
  <c r="W235" i="1"/>
  <c r="U235" i="1"/>
  <c r="W55" i="1"/>
  <c r="U55" i="1"/>
  <c r="AA19" i="1"/>
  <c r="U264" i="1"/>
  <c r="T263" i="1"/>
  <c r="U263" i="1" s="1"/>
  <c r="W264" i="1"/>
  <c r="W125" i="1"/>
  <c r="U125" i="1"/>
  <c r="Z66" i="1"/>
  <c r="X66" i="1"/>
  <c r="Z178" i="1"/>
  <c r="X178" i="1"/>
  <c r="Z219" i="1"/>
  <c r="X219" i="1"/>
  <c r="AA107" i="1"/>
  <c r="AA134" i="1"/>
  <c r="Z138" i="1"/>
  <c r="X138" i="1"/>
  <c r="W7" i="1"/>
  <c r="X8" i="1"/>
  <c r="Z8" i="1"/>
  <c r="X68" i="1"/>
  <c r="W67" i="1"/>
  <c r="Z68" i="1"/>
  <c r="W160" i="1"/>
  <c r="U160" i="1"/>
  <c r="W95" i="1"/>
  <c r="U95" i="1"/>
  <c r="Z192" i="1"/>
  <c r="X192" i="1"/>
  <c r="U7" i="1"/>
  <c r="AA38" i="1"/>
  <c r="X210" i="1"/>
  <c r="Z210" i="1"/>
  <c r="Z256" i="1"/>
  <c r="X256" i="1"/>
  <c r="AA185" i="1"/>
  <c r="AA255" i="1"/>
  <c r="W245" i="1"/>
  <c r="U245" i="1"/>
  <c r="Z30" i="1"/>
  <c r="X30" i="1"/>
  <c r="N44" i="1"/>
  <c r="O44" i="1" s="1"/>
  <c r="O45" i="1"/>
  <c r="X155" i="1"/>
  <c r="Z155" i="1"/>
  <c r="Z193" i="1"/>
  <c r="X193" i="1"/>
  <c r="Z238" i="1"/>
  <c r="X238" i="1"/>
  <c r="Z16" i="1"/>
  <c r="X16" i="1"/>
  <c r="U57" i="1"/>
  <c r="W57" i="1"/>
  <c r="L108" i="1" l="1"/>
  <c r="J277" i="1"/>
  <c r="U188" i="1"/>
  <c r="W28" i="1"/>
  <c r="X28" i="1" s="1"/>
  <c r="L146" i="1"/>
  <c r="N279" i="1"/>
  <c r="O279" i="1" s="1"/>
  <c r="W240" i="1"/>
  <c r="X240" i="1" s="1"/>
  <c r="X67" i="1"/>
  <c r="Z141" i="1"/>
  <c r="X141" i="1"/>
  <c r="T6" i="1"/>
  <c r="U6" i="1" s="1"/>
  <c r="Z248" i="1"/>
  <c r="X248" i="1"/>
  <c r="X135" i="1"/>
  <c r="Z135" i="1"/>
  <c r="X105" i="1"/>
  <c r="Z105" i="1"/>
  <c r="Q153" i="1"/>
  <c r="R153" i="1" s="1"/>
  <c r="AA140" i="1"/>
  <c r="W147" i="1"/>
  <c r="X148" i="1"/>
  <c r="Z148" i="1"/>
  <c r="X190" i="1"/>
  <c r="Z190" i="1"/>
  <c r="Z189" i="1" s="1"/>
  <c r="W189" i="1"/>
  <c r="X189" i="1" s="1"/>
  <c r="X62" i="1"/>
  <c r="Z62" i="1"/>
  <c r="AA194" i="1"/>
  <c r="AA199" i="1"/>
  <c r="W249" i="1"/>
  <c r="X249" i="1" s="1"/>
  <c r="Z215" i="1"/>
  <c r="X215" i="1"/>
  <c r="X87" i="1"/>
  <c r="Z87" i="1"/>
  <c r="Z67" i="1" s="1"/>
  <c r="AA207" i="1"/>
  <c r="Z163" i="1"/>
  <c r="X163" i="1"/>
  <c r="AA233" i="1"/>
  <c r="AA65" i="1"/>
  <c r="AA253" i="1"/>
  <c r="AA56" i="1"/>
  <c r="Z91" i="1"/>
  <c r="AA91" i="1" s="1"/>
  <c r="X91" i="1"/>
  <c r="Z18" i="1"/>
  <c r="W17" i="1"/>
  <c r="X17" i="1" s="1"/>
  <c r="X18" i="1"/>
  <c r="AA251" i="1"/>
  <c r="AA250" i="1"/>
  <c r="AA217" i="1"/>
  <c r="Z46" i="1"/>
  <c r="X46" i="1"/>
  <c r="X123" i="1"/>
  <c r="Z123" i="1"/>
  <c r="J279" i="1"/>
  <c r="X55" i="1"/>
  <c r="Z55" i="1"/>
  <c r="Z52" i="1" s="1"/>
  <c r="AA27" i="1"/>
  <c r="Z24" i="1"/>
  <c r="AA195" i="1"/>
  <c r="AA212" i="1"/>
  <c r="Z211" i="1"/>
  <c r="Z257" i="1"/>
  <c r="AA258" i="1"/>
  <c r="AA204" i="1"/>
  <c r="Z196" i="1"/>
  <c r="X196" i="1"/>
  <c r="AA181" i="1"/>
  <c r="Z119" i="1"/>
  <c r="X119" i="1"/>
  <c r="Z177" i="1"/>
  <c r="X177" i="1"/>
  <c r="AA221" i="1"/>
  <c r="T92" i="1"/>
  <c r="U92" i="1" s="1"/>
  <c r="AA171" i="1"/>
  <c r="AA172" i="1"/>
  <c r="AA178" i="1"/>
  <c r="AA210" i="1"/>
  <c r="X7" i="1"/>
  <c r="Z235" i="1"/>
  <c r="X235" i="1"/>
  <c r="X120" i="1"/>
  <c r="Z120" i="1"/>
  <c r="AA120" i="1" s="1"/>
  <c r="AA159" i="1"/>
  <c r="AA35" i="1"/>
  <c r="AA150" i="1"/>
  <c r="AA82" i="1"/>
  <c r="Z203" i="1"/>
  <c r="X203" i="1"/>
  <c r="W202" i="1"/>
  <c r="Z186" i="1"/>
  <c r="X186" i="1"/>
  <c r="Z143" i="1"/>
  <c r="AA143" i="1" s="1"/>
  <c r="X143" i="1"/>
  <c r="Z57" i="1"/>
  <c r="X57" i="1"/>
  <c r="AA66" i="1"/>
  <c r="AA216" i="1"/>
  <c r="AA29" i="1"/>
  <c r="U232" i="1"/>
  <c r="T220" i="1"/>
  <c r="U220" i="1" s="1"/>
  <c r="AA187" i="1"/>
  <c r="Z266" i="1"/>
  <c r="X266" i="1"/>
  <c r="T153" i="1"/>
  <c r="AA205" i="1"/>
  <c r="X64" i="1"/>
  <c r="AA242" i="1"/>
  <c r="AA94" i="1"/>
  <c r="AA16" i="1"/>
  <c r="AA138" i="1"/>
  <c r="AA270" i="1"/>
  <c r="AA162" i="1"/>
  <c r="AA229" i="1"/>
  <c r="Z228" i="1"/>
  <c r="W271" i="1"/>
  <c r="X271" i="1" s="1"/>
  <c r="X272" i="1"/>
  <c r="Z272" i="1"/>
  <c r="X246" i="1"/>
  <c r="Z246" i="1"/>
  <c r="AA273" i="1"/>
  <c r="W109" i="1"/>
  <c r="X109" i="1" s="1"/>
  <c r="Z110" i="1"/>
  <c r="X110" i="1"/>
  <c r="AA101" i="1"/>
  <c r="Z139" i="1"/>
  <c r="X139" i="1"/>
  <c r="W133" i="1"/>
  <c r="AA30" i="1"/>
  <c r="Z95" i="1"/>
  <c r="X95" i="1"/>
  <c r="Z125" i="1"/>
  <c r="X125" i="1"/>
  <c r="L127" i="1"/>
  <c r="R44" i="1"/>
  <c r="AA161" i="1"/>
  <c r="Z234" i="1"/>
  <c r="X234" i="1"/>
  <c r="W232" i="1"/>
  <c r="X232" i="1" s="1"/>
  <c r="Z173" i="1"/>
  <c r="X173" i="1"/>
  <c r="X154" i="1"/>
  <c r="Z154" i="1"/>
  <c r="X32" i="1"/>
  <c r="Z32" i="1"/>
  <c r="AA32" i="1" s="1"/>
  <c r="X60" i="1"/>
  <c r="Z60" i="1"/>
  <c r="AA259" i="1"/>
  <c r="U133" i="1"/>
  <c r="Z264" i="1"/>
  <c r="X264" i="1"/>
  <c r="W263" i="1"/>
  <c r="X263" i="1" s="1"/>
  <c r="AA86" i="1"/>
  <c r="AA170" i="1"/>
  <c r="W99" i="1"/>
  <c r="X99" i="1" s="1"/>
  <c r="Z100" i="1"/>
  <c r="X100" i="1"/>
  <c r="AA76" i="1"/>
  <c r="Z34" i="1"/>
  <c r="X34" i="1"/>
  <c r="W112" i="1"/>
  <c r="X112" i="1" s="1"/>
  <c r="Z113" i="1"/>
  <c r="X113" i="1"/>
  <c r="Z39" i="1"/>
  <c r="AA40" i="1"/>
  <c r="AA116" i="1"/>
  <c r="AA21" i="1"/>
  <c r="Z20" i="1"/>
  <c r="AA256" i="1"/>
  <c r="AA238" i="1"/>
  <c r="AA278" i="1"/>
  <c r="AA191" i="1"/>
  <c r="AA184" i="1"/>
  <c r="AA222" i="1"/>
  <c r="Z152" i="1"/>
  <c r="X152" i="1"/>
  <c r="W151" i="1"/>
  <c r="X151" i="1" s="1"/>
  <c r="Z243" i="1"/>
  <c r="X243" i="1"/>
  <c r="U175" i="1"/>
  <c r="T169" i="1"/>
  <c r="U169" i="1" s="1"/>
  <c r="U11" i="1"/>
  <c r="T10" i="1"/>
  <c r="U10" i="1" s="1"/>
  <c r="AA244" i="1"/>
  <c r="U45" i="1"/>
  <c r="T44" i="1"/>
  <c r="U44" i="1" s="1"/>
  <c r="Z245" i="1"/>
  <c r="X245" i="1"/>
  <c r="X160" i="1"/>
  <c r="Z160" i="1"/>
  <c r="AA68" i="1"/>
  <c r="AA115" i="1"/>
  <c r="AA252" i="1"/>
  <c r="Z249" i="1"/>
  <c r="Z33" i="1"/>
  <c r="X33" i="1"/>
  <c r="AA241" i="1"/>
  <c r="Z174" i="1"/>
  <c r="X174" i="1"/>
  <c r="Z36" i="1"/>
  <c r="AA37" i="1"/>
  <c r="Z182" i="1"/>
  <c r="X182" i="1"/>
  <c r="AA90" i="1"/>
  <c r="L157" i="1"/>
  <c r="Q127" i="1"/>
  <c r="AA156" i="1"/>
  <c r="AA183" i="1"/>
  <c r="AA106" i="1"/>
  <c r="AA74" i="1"/>
  <c r="AA239" i="1"/>
  <c r="W52" i="1"/>
  <c r="AA149" i="1"/>
  <c r="Z236" i="1"/>
  <c r="Z225" i="1"/>
  <c r="AA226" i="1"/>
  <c r="W175" i="1"/>
  <c r="Z176" i="1"/>
  <c r="X176" i="1"/>
  <c r="Z12" i="1"/>
  <c r="X12" i="1"/>
  <c r="W11" i="1"/>
  <c r="AA262" i="1"/>
  <c r="Z260" i="1"/>
  <c r="Z198" i="1"/>
  <c r="X198" i="1"/>
  <c r="T201" i="1"/>
  <c r="U201" i="1" s="1"/>
  <c r="U202" i="1"/>
  <c r="AA155" i="1"/>
  <c r="AA79" i="1"/>
  <c r="Z14" i="1"/>
  <c r="N108" i="1"/>
  <c r="Z102" i="1"/>
  <c r="X102" i="1"/>
  <c r="Z142" i="1"/>
  <c r="X142" i="1"/>
  <c r="Z104" i="1"/>
  <c r="W103" i="1"/>
  <c r="X103" i="1" s="1"/>
  <c r="X104" i="1"/>
  <c r="Z7" i="1"/>
  <c r="AA8" i="1"/>
  <c r="AA145" i="1"/>
  <c r="AA193" i="1"/>
  <c r="AA192" i="1"/>
  <c r="AA219" i="1"/>
  <c r="W23" i="1"/>
  <c r="X24" i="1"/>
  <c r="Z206" i="1"/>
  <c r="X206" i="1"/>
  <c r="L240" i="1"/>
  <c r="W157" i="1"/>
  <c r="X157" i="1" s="1"/>
  <c r="Z158" i="1"/>
  <c r="X158" i="1"/>
  <c r="AA53" i="1"/>
  <c r="L211" i="1"/>
  <c r="AA254" i="1"/>
  <c r="W93" i="1"/>
  <c r="U28" i="1"/>
  <c r="T23" i="1"/>
  <c r="AA209" i="1"/>
  <c r="Z208" i="1"/>
  <c r="Z89" i="1" l="1"/>
  <c r="Z188" i="1"/>
  <c r="W188" i="1"/>
  <c r="X188" i="1" s="1"/>
  <c r="U153" i="1"/>
  <c r="AA163" i="1"/>
  <c r="AA62" i="1"/>
  <c r="AA105" i="1"/>
  <c r="W6" i="1"/>
  <c r="X6" i="1" s="1"/>
  <c r="AA135" i="1"/>
  <c r="Q277" i="1"/>
  <c r="R277" i="1" s="1"/>
  <c r="AA87" i="1"/>
  <c r="AA190" i="1"/>
  <c r="AA46" i="1"/>
  <c r="AA148" i="1"/>
  <c r="AA248" i="1"/>
  <c r="AA189" i="1"/>
  <c r="AA215" i="1"/>
  <c r="AA123" i="1"/>
  <c r="X147" i="1"/>
  <c r="W146" i="1"/>
  <c r="X146" i="1" s="1"/>
  <c r="AA18" i="1"/>
  <c r="Z17" i="1"/>
  <c r="Z147" i="1"/>
  <c r="AA141" i="1"/>
  <c r="AA173" i="1"/>
  <c r="AA95" i="1"/>
  <c r="AA158" i="1"/>
  <c r="Z157" i="1"/>
  <c r="AA260" i="1"/>
  <c r="AA236" i="1"/>
  <c r="T277" i="1"/>
  <c r="AA246" i="1"/>
  <c r="AA100" i="1"/>
  <c r="Z99" i="1"/>
  <c r="Z28" i="1"/>
  <c r="AA186" i="1"/>
  <c r="AA55" i="1"/>
  <c r="AA102" i="1"/>
  <c r="AA234" i="1"/>
  <c r="Z232" i="1"/>
  <c r="X133" i="1"/>
  <c r="Z271" i="1"/>
  <c r="AA272" i="1"/>
  <c r="AA64" i="1"/>
  <c r="W220" i="1"/>
  <c r="X220" i="1" s="1"/>
  <c r="AA177" i="1"/>
  <c r="AA257" i="1"/>
  <c r="AA142" i="1"/>
  <c r="AA36" i="1"/>
  <c r="L220" i="1"/>
  <c r="N127" i="1"/>
  <c r="R127" i="1" s="1"/>
  <c r="O108" i="1"/>
  <c r="W92" i="1"/>
  <c r="X92" i="1" s="1"/>
  <c r="X93" i="1"/>
  <c r="AA14" i="1"/>
  <c r="X11" i="1"/>
  <c r="W10" i="1"/>
  <c r="X10" i="1" s="1"/>
  <c r="X52" i="1"/>
  <c r="W45" i="1"/>
  <c r="R108" i="1"/>
  <c r="AA174" i="1"/>
  <c r="AA60" i="1"/>
  <c r="X202" i="1"/>
  <c r="W201" i="1"/>
  <c r="X201" i="1" s="1"/>
  <c r="AA139" i="1"/>
  <c r="Z133" i="1"/>
  <c r="AA119" i="1"/>
  <c r="AA211" i="1"/>
  <c r="J280" i="1"/>
  <c r="Z202" i="1"/>
  <c r="AA203" i="1"/>
  <c r="AA243" i="1"/>
  <c r="AA39" i="1"/>
  <c r="Z240" i="1"/>
  <c r="L201" i="1"/>
  <c r="X23" i="1"/>
  <c r="AA176" i="1"/>
  <c r="Z175" i="1"/>
  <c r="Z169" i="1" s="1"/>
  <c r="Z153" i="1" s="1"/>
  <c r="AA154" i="1"/>
  <c r="U23" i="1"/>
  <c r="T108" i="1"/>
  <c r="AA160" i="1"/>
  <c r="AA113" i="1"/>
  <c r="Z112" i="1"/>
  <c r="AA245" i="1"/>
  <c r="AA110" i="1"/>
  <c r="Z109" i="1"/>
  <c r="AA228" i="1"/>
  <c r="AA266" i="1"/>
  <c r="AA235" i="1"/>
  <c r="Z23" i="1"/>
  <c r="AA24" i="1"/>
  <c r="L153" i="1"/>
  <c r="AA206" i="1"/>
  <c r="AA12" i="1"/>
  <c r="Z11" i="1"/>
  <c r="X175" i="1"/>
  <c r="W169" i="1"/>
  <c r="X169" i="1" s="1"/>
  <c r="AA33" i="1"/>
  <c r="AA104" i="1"/>
  <c r="Z103" i="1"/>
  <c r="AA249" i="1"/>
  <c r="Z151" i="1"/>
  <c r="AA152" i="1"/>
  <c r="AA34" i="1"/>
  <c r="AA125" i="1"/>
  <c r="Z93" i="1"/>
  <c r="AA57" i="1"/>
  <c r="AA196" i="1"/>
  <c r="AA198" i="1"/>
  <c r="AA67" i="1"/>
  <c r="AA7" i="1"/>
  <c r="AA89" i="1"/>
  <c r="AA52" i="1"/>
  <c r="Z45" i="1"/>
  <c r="AA208" i="1"/>
  <c r="AA225" i="1"/>
  <c r="AA182" i="1"/>
  <c r="AA20" i="1"/>
  <c r="AA264" i="1"/>
  <c r="Z263" i="1"/>
  <c r="Z6" i="1" l="1"/>
  <c r="AA188" i="1"/>
  <c r="Z146" i="1"/>
  <c r="AA147" i="1"/>
  <c r="AA17" i="1"/>
  <c r="Q279" i="1"/>
  <c r="AA23" i="1"/>
  <c r="Z44" i="1"/>
  <c r="AA45" i="1"/>
  <c r="AA175" i="1"/>
  <c r="Z201" i="1"/>
  <c r="AA202" i="1"/>
  <c r="AA157" i="1"/>
  <c r="AA169" i="1"/>
  <c r="AA271" i="1"/>
  <c r="AA28" i="1"/>
  <c r="L277" i="1"/>
  <c r="AA133" i="1"/>
  <c r="AA263" i="1"/>
  <c r="AA151" i="1"/>
  <c r="AA109" i="1"/>
  <c r="AA112" i="1"/>
  <c r="AA11" i="1"/>
  <c r="Z10" i="1"/>
  <c r="AA99" i="1"/>
  <c r="AA232" i="1"/>
  <c r="Z220" i="1"/>
  <c r="AA103" i="1"/>
  <c r="T127" i="1"/>
  <c r="U108" i="1"/>
  <c r="AA240" i="1"/>
  <c r="AA93" i="1"/>
  <c r="Z92" i="1"/>
  <c r="Z108" i="1" s="1"/>
  <c r="U277" i="1"/>
  <c r="T279" i="1"/>
  <c r="U279" i="1" s="1"/>
  <c r="AA6" i="1"/>
  <c r="N280" i="1"/>
  <c r="O280" i="1" s="1"/>
  <c r="O127" i="1"/>
  <c r="W153" i="1"/>
  <c r="AA153" i="1" s="1"/>
  <c r="X45" i="1"/>
  <c r="W44" i="1"/>
  <c r="Z277" i="1" l="1"/>
  <c r="R279" i="1"/>
  <c r="Q280" i="1"/>
  <c r="AA146" i="1"/>
  <c r="Z127" i="1"/>
  <c r="Z279" i="1"/>
  <c r="T280" i="1"/>
  <c r="U127" i="1"/>
  <c r="AA220" i="1"/>
  <c r="AA44" i="1"/>
  <c r="X153" i="1"/>
  <c r="W277" i="1"/>
  <c r="AA277" i="1" s="1"/>
  <c r="AA10" i="1"/>
  <c r="AA201" i="1"/>
  <c r="X44" i="1"/>
  <c r="W108" i="1"/>
  <c r="AA108" i="1" s="1"/>
  <c r="AA92" i="1"/>
  <c r="R280" i="1" l="1"/>
  <c r="U280" i="1"/>
  <c r="W279" i="1"/>
  <c r="X277" i="1"/>
  <c r="AA279" i="1"/>
  <c r="W127" i="1"/>
  <c r="AA127" i="1" s="1"/>
  <c r="X108" i="1"/>
  <c r="Z280" i="1"/>
  <c r="W280" i="1" l="1"/>
  <c r="X127" i="1"/>
  <c r="X279" i="1"/>
  <c r="X280" i="1" l="1"/>
  <c r="AA280" i="1"/>
  <c r="K278" i="1" l="1"/>
  <c r="L278" i="1" l="1"/>
  <c r="L279" i="1" s="1"/>
  <c r="L280" i="1" s="1"/>
  <c r="K279" i="1"/>
  <c r="K2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G40" authorId="0" shapeId="0" xr:uid="{94DDB2F4-FE09-4849-BCF4-8E4472B32F3F}">
      <text>
        <r>
          <rPr>
            <b/>
            <sz val="9"/>
            <color indexed="81"/>
            <rFont val="Tahoma"/>
            <family val="2"/>
            <charset val="186"/>
          </rPr>
          <t>Sarmīte Mūze:</t>
        </r>
        <r>
          <rPr>
            <sz val="9"/>
            <color indexed="81"/>
            <rFont val="Tahoma"/>
            <family val="2"/>
            <charset val="186"/>
          </rPr>
          <t xml:space="preserve">
Iedzīvotāju līdzfinansējums Rasiņu ielas rekonstrukcijai</t>
        </r>
      </text>
    </comment>
    <comment ref="N43" authorId="0" shapeId="0" xr:uid="{85C4C055-A460-4D4D-A902-933A10E265D4}">
      <text>
        <r>
          <rPr>
            <b/>
            <sz val="9"/>
            <color indexed="81"/>
            <rFont val="Tahoma"/>
            <family val="2"/>
            <charset val="186"/>
          </rPr>
          <t>Sarmīte Mūze:</t>
        </r>
        <r>
          <rPr>
            <sz val="9"/>
            <color indexed="81"/>
            <rFont val="Tahoma"/>
            <family val="2"/>
            <charset val="186"/>
          </rPr>
          <t xml:space="preserve">
76'000 mežaudze vai koki; 46'000+73'000 Kadaga.</t>
        </r>
      </text>
    </comment>
    <comment ref="Q43" authorId="0" shapeId="0" xr:uid="{C7A11A0A-967F-4EEC-A096-80927CBE15E9}">
      <text>
        <r>
          <rPr>
            <b/>
            <sz val="9"/>
            <color indexed="81"/>
            <rFont val="Tahoma"/>
            <family val="2"/>
            <charset val="186"/>
          </rPr>
          <t>Sarmīte Mūze:</t>
        </r>
        <r>
          <rPr>
            <sz val="9"/>
            <color indexed="81"/>
            <rFont val="Tahoma"/>
            <family val="2"/>
            <charset val="186"/>
          </rPr>
          <t xml:space="preserve">
76'000 mežaudze vai koki; 46'000+73'000 Kadaga.</t>
        </r>
      </text>
    </comment>
    <comment ref="T43" authorId="0" shapeId="0" xr:uid="{8A6E5B3A-5170-43BF-86FE-525FDEE1E9F1}">
      <text>
        <r>
          <rPr>
            <b/>
            <sz val="9"/>
            <color indexed="81"/>
            <rFont val="Tahoma"/>
            <family val="2"/>
            <charset val="186"/>
          </rPr>
          <t>Sarmīte Mūze:</t>
        </r>
        <r>
          <rPr>
            <sz val="9"/>
            <color indexed="81"/>
            <rFont val="Tahoma"/>
            <family val="2"/>
            <charset val="186"/>
          </rPr>
          <t xml:space="preserve">
76'000 mežaudze vai koki; 46'000+73'000 Kadaga.</t>
        </r>
      </text>
    </comment>
    <comment ref="W43" authorId="0" shapeId="0" xr:uid="{30A6F7B4-1CDC-4FCB-B012-0E01221E145D}">
      <text>
        <r>
          <rPr>
            <b/>
            <sz val="9"/>
            <color indexed="81"/>
            <rFont val="Tahoma"/>
            <family val="2"/>
            <charset val="186"/>
          </rPr>
          <t>Sarmīte Mūze:</t>
        </r>
        <r>
          <rPr>
            <sz val="9"/>
            <color indexed="81"/>
            <rFont val="Tahoma"/>
            <family val="2"/>
            <charset val="186"/>
          </rPr>
          <t xml:space="preserve">
76'000 mežaudze vai koki; 46'000+73'000 Kadaga.</t>
        </r>
      </text>
    </comment>
    <comment ref="Z43" authorId="0" shapeId="0" xr:uid="{7E84C807-D9F4-4086-926B-727EB14D42D5}">
      <text>
        <r>
          <rPr>
            <b/>
            <sz val="9"/>
            <color indexed="81"/>
            <rFont val="Tahoma"/>
            <family val="2"/>
            <charset val="186"/>
          </rPr>
          <t>Sarmīte Mūze:</t>
        </r>
        <r>
          <rPr>
            <sz val="9"/>
            <color indexed="81"/>
            <rFont val="Tahoma"/>
            <family val="2"/>
            <charset val="186"/>
          </rPr>
          <t xml:space="preserve">
76'000 mežaudze vai koki; 46'000+73'000 Kadaga.</t>
        </r>
      </text>
    </comment>
    <comment ref="F48" authorId="0" shapeId="0" xr:uid="{F49730BC-88F2-4335-A9FC-A1FFB4B1B4D5}">
      <text>
        <r>
          <rPr>
            <b/>
            <sz val="9"/>
            <color indexed="81"/>
            <rFont val="Tahoma"/>
            <family val="2"/>
            <charset val="186"/>
          </rPr>
          <t>Sarmīte Mūze:</t>
        </r>
        <r>
          <rPr>
            <sz val="9"/>
            <color indexed="81"/>
            <rFont val="Tahoma"/>
            <family val="2"/>
            <charset val="186"/>
          </rPr>
          <t xml:space="preserve">
33'476 Nod. 0970
49'493 Carnikavas skola
166'307 Ādažu pamatsk</t>
        </r>
      </text>
    </comment>
    <comment ref="E53" authorId="0" shapeId="0" xr:uid="{BA684D2E-6828-4403-8A49-8D037AC5C3A3}">
      <text>
        <r>
          <rPr>
            <b/>
            <sz val="9"/>
            <color indexed="81"/>
            <rFont val="Tahoma"/>
            <family val="2"/>
            <charset val="186"/>
          </rPr>
          <t>Sarmīte Mūze:</t>
        </r>
        <r>
          <rPr>
            <sz val="9"/>
            <color indexed="81"/>
            <rFont val="Tahoma"/>
            <family val="2"/>
            <charset val="186"/>
          </rPr>
          <t xml:space="preserve">
EUR 1843 nodaļa 0901
EUR 540 nodaļa 0902
EUR 60 nodaļa 0910
EUR 4 nodaļa 0920
EUR 8'241 nodaļa 0952</t>
        </r>
      </text>
    </comment>
    <comment ref="E54" authorId="0" shapeId="0" xr:uid="{C3B8570B-4437-4831-B170-0BE56999DA1F}">
      <text>
        <r>
          <rPr>
            <b/>
            <sz val="9"/>
            <color indexed="81"/>
            <rFont val="Tahoma"/>
            <family val="2"/>
            <charset val="186"/>
          </rPr>
          <t>Sarmīte Mūze:</t>
        </r>
        <r>
          <rPr>
            <sz val="9"/>
            <color indexed="81"/>
            <rFont val="Tahoma"/>
            <family val="2"/>
            <charset val="186"/>
          </rPr>
          <t xml:space="preserve">
0954 EUR 65'816;
09821 EUR 15'567
</t>
        </r>
      </text>
    </comment>
    <comment ref="E66" authorId="0" shapeId="0" xr:uid="{B398185B-1D2D-43A5-ACCC-662C915729F6}">
      <text>
        <r>
          <rPr>
            <b/>
            <sz val="9"/>
            <color indexed="81"/>
            <rFont val="Tahoma"/>
            <family val="2"/>
            <charset val="186"/>
          </rPr>
          <t>Sarmīte Mūze:</t>
        </r>
        <r>
          <rPr>
            <sz val="9"/>
            <color indexed="81"/>
            <rFont val="Tahoma"/>
            <family val="2"/>
            <charset val="186"/>
          </rPr>
          <t xml:space="preserve">
Piekrastes apsaimniekošana (0630); Kontakts (0930); EUCF 42'000; 
 </t>
        </r>
      </text>
    </comment>
    <comment ref="F66" authorId="0" shapeId="0" xr:uid="{98D81AD7-DA1A-40A7-824C-2DB3A6B9D95A}">
      <text>
        <r>
          <rPr>
            <b/>
            <sz val="9"/>
            <color indexed="81"/>
            <rFont val="Tahoma"/>
            <family val="2"/>
            <charset val="186"/>
          </rPr>
          <t>Sarmīte Mūze:</t>
        </r>
        <r>
          <rPr>
            <sz val="9"/>
            <color indexed="81"/>
            <rFont val="Tahoma"/>
            <family val="2"/>
            <charset val="186"/>
          </rPr>
          <t xml:space="preserve">
AID Meža dienas; soc. Dienesta pabalsti; 13'800 darbin. Atalgoj. No LM
</t>
        </r>
      </text>
    </comment>
    <comment ref="E72" authorId="0" shapeId="0" xr:uid="{6AAB2FCA-BD54-4299-9B73-AB9747BB43B3}">
      <text>
        <r>
          <rPr>
            <b/>
            <sz val="9"/>
            <color indexed="81"/>
            <rFont val="Tahoma"/>
            <family val="2"/>
            <charset val="186"/>
          </rPr>
          <t>Sarmīte Mūze:</t>
        </r>
        <r>
          <rPr>
            <sz val="9"/>
            <color indexed="81"/>
            <rFont val="Tahoma"/>
            <family val="2"/>
            <charset val="186"/>
          </rPr>
          <t xml:space="preserve">
23'596,82 ĀND
18'440,43 CND</t>
        </r>
      </text>
    </comment>
    <comment ref="E82" authorId="0" shapeId="0" xr:uid="{7D679524-D0F9-4D6A-8380-94601580BDEA}">
      <text>
        <r>
          <rPr>
            <b/>
            <sz val="9"/>
            <color indexed="81"/>
            <rFont val="Tahoma"/>
            <family val="2"/>
            <charset val="186"/>
          </rPr>
          <t>Sarmīte Mūze:</t>
        </r>
        <r>
          <rPr>
            <sz val="9"/>
            <color indexed="81"/>
            <rFont val="Tahoma"/>
            <family val="2"/>
            <charset val="186"/>
          </rPr>
          <t xml:space="preserve">
239'963,68 ĀVSK</t>
        </r>
      </text>
    </comment>
    <comment ref="E97" authorId="0" shapeId="0" xr:uid="{32C57D2A-5A05-408E-B6AF-E6C5700A94A3}">
      <text>
        <r>
          <rPr>
            <b/>
            <sz val="9"/>
            <color indexed="81"/>
            <rFont val="Tahoma"/>
            <family val="2"/>
            <charset val="186"/>
          </rPr>
          <t>Sarmīte Mūze:</t>
        </r>
        <r>
          <rPr>
            <sz val="9"/>
            <color indexed="81"/>
            <rFont val="Tahoma"/>
            <family val="2"/>
            <charset val="186"/>
          </rPr>
          <t xml:space="preserve">
EUR 42'000 zem "Pārējās dotācijas"</t>
        </r>
      </text>
    </comment>
    <comment ref="I107" authorId="0" shapeId="0" xr:uid="{62B281A4-CA79-487A-83F1-6657BEC2BE2F}">
      <text>
        <r>
          <rPr>
            <b/>
            <sz val="9"/>
            <color indexed="81"/>
            <rFont val="Tahoma"/>
            <family val="2"/>
            <charset val="186"/>
          </rPr>
          <t>Sarmīte Mūze:</t>
        </r>
        <r>
          <rPr>
            <sz val="9"/>
            <color indexed="81"/>
            <rFont val="Tahoma"/>
            <family val="2"/>
            <charset val="186"/>
          </rPr>
          <t xml:space="preserve">
25'000 no saimnieciskās darbības</t>
        </r>
      </text>
    </comment>
    <comment ref="E158" authorId="0" shapeId="0" xr:uid="{0CDEE904-9947-464A-9F5F-3553359697C3}">
      <text>
        <r>
          <rPr>
            <b/>
            <sz val="9"/>
            <color indexed="81"/>
            <rFont val="Tahoma"/>
            <family val="2"/>
            <charset val="186"/>
          </rPr>
          <t>Sarmīte Mūze:</t>
        </r>
        <r>
          <rPr>
            <sz val="9"/>
            <color indexed="81"/>
            <rFont val="Tahoma"/>
            <family val="2"/>
            <charset val="186"/>
          </rPr>
          <t xml:space="preserve">
EUR 10'621 Piekrastes apsaimniekošanas projekts
</t>
        </r>
      </text>
    </comment>
    <comment ref="I175" authorId="0" shapeId="0" xr:uid="{5192C701-EA75-4177-93DB-7D8137D4066B}">
      <text>
        <r>
          <rPr>
            <b/>
            <sz val="9"/>
            <color indexed="81"/>
            <rFont val="Tahoma"/>
            <family val="2"/>
            <charset val="186"/>
          </rPr>
          <t>Sarmīte Mūze:</t>
        </r>
        <r>
          <rPr>
            <sz val="9"/>
            <color indexed="81"/>
            <rFont val="Tahoma"/>
            <family val="2"/>
            <charset val="186"/>
          </rPr>
          <t xml:space="preserve">
CKS+0649 (Bāze)</t>
        </r>
      </text>
    </comment>
    <comment ref="I176" authorId="0" shapeId="0" xr:uid="{43C5BB47-AF0B-466A-8551-8A9582DA0CBC}">
      <text>
        <r>
          <rPr>
            <b/>
            <sz val="9"/>
            <color indexed="81"/>
            <rFont val="Tahoma"/>
            <family val="2"/>
            <charset val="186"/>
          </rPr>
          <t>Sarmīte Mūze:</t>
        </r>
        <r>
          <rPr>
            <sz val="9"/>
            <color indexed="81"/>
            <rFont val="Tahoma"/>
            <family val="2"/>
            <charset val="186"/>
          </rPr>
          <t xml:space="preserve">
CKS</t>
        </r>
      </text>
    </comment>
    <comment ref="I177" authorId="0" shapeId="0" xr:uid="{5FE5557F-8E4F-4DB1-B79C-7CC5D6CE90BB}">
      <text>
        <r>
          <rPr>
            <b/>
            <sz val="9"/>
            <color indexed="81"/>
            <rFont val="Tahoma"/>
            <family val="2"/>
            <charset val="186"/>
          </rPr>
          <t>Sarmīte Mūze:</t>
        </r>
        <r>
          <rPr>
            <sz val="9"/>
            <color indexed="81"/>
            <rFont val="Tahoma"/>
            <family val="2"/>
            <charset val="186"/>
          </rPr>
          <t xml:space="preserve">
0649 (Bāze)</t>
        </r>
      </text>
    </comment>
    <comment ref="E237" authorId="0" shapeId="0" xr:uid="{1D4E8BC5-1E20-4CD3-89CA-97A5F3DDDD17}">
      <text>
        <r>
          <rPr>
            <b/>
            <sz val="9"/>
            <color indexed="81"/>
            <rFont val="Tahoma"/>
            <family val="2"/>
            <charset val="186"/>
          </rPr>
          <t>Sarmīte Mūze:</t>
        </r>
        <r>
          <rPr>
            <sz val="9"/>
            <color indexed="81"/>
            <rFont val="Tahoma"/>
            <family val="2"/>
            <charset val="186"/>
          </rPr>
          <t xml:space="preserve">
Ēdināšana</t>
        </r>
      </text>
    </comment>
    <comment ref="F237" authorId="0" shapeId="0" xr:uid="{A2860EF8-12FC-4982-9706-FD884EE44F72}">
      <text>
        <r>
          <rPr>
            <b/>
            <sz val="9"/>
            <color indexed="81"/>
            <rFont val="Tahoma"/>
            <family val="2"/>
            <charset val="186"/>
          </rPr>
          <t>Sarmīte Mūze:</t>
        </r>
        <r>
          <rPr>
            <sz val="9"/>
            <color indexed="81"/>
            <rFont val="Tahoma"/>
            <family val="2"/>
            <charset val="186"/>
          </rPr>
          <t xml:space="preserve">
Interešu izgl., ēdināšana</t>
        </r>
      </text>
    </comment>
    <comment ref="F241" authorId="0" shapeId="0" xr:uid="{365FE64A-D8F3-4315-9317-D3BBDA0173FC}">
      <text>
        <r>
          <rPr>
            <b/>
            <sz val="9"/>
            <color indexed="81"/>
            <rFont val="Tahoma"/>
            <family val="2"/>
            <charset val="186"/>
          </rPr>
          <t>Sarmīte Mūze:</t>
        </r>
        <r>
          <rPr>
            <sz val="9"/>
            <color indexed="81"/>
            <rFont val="Tahoma"/>
            <family val="2"/>
            <charset val="186"/>
          </rPr>
          <t xml:space="preserve">
Interešu; pedagogi</t>
        </r>
      </text>
    </comment>
    <comment ref="F250" authorId="0" shapeId="0" xr:uid="{45A555F7-01F9-4D64-880A-DB67B0FA8026}">
      <text>
        <r>
          <rPr>
            <b/>
            <sz val="9"/>
            <color indexed="81"/>
            <rFont val="Tahoma"/>
            <family val="2"/>
            <charset val="186"/>
          </rPr>
          <t>Sarmīte Mūze:</t>
        </r>
        <r>
          <rPr>
            <sz val="9"/>
            <color indexed="81"/>
            <rFont val="Tahoma"/>
            <family val="2"/>
            <charset val="186"/>
          </rPr>
          <t xml:space="preserve">
Interešu; pedagogi</t>
        </r>
      </text>
    </comment>
    <comment ref="E266" authorId="0" shapeId="0" xr:uid="{AECFD415-6896-4437-9BAB-DCD3FD0B79D4}">
      <text>
        <r>
          <rPr>
            <b/>
            <sz val="9"/>
            <color indexed="81"/>
            <rFont val="Tahoma"/>
            <family val="2"/>
            <charset val="186"/>
          </rPr>
          <t>Sarmīte Mūze:</t>
        </r>
        <r>
          <rPr>
            <sz val="9"/>
            <color indexed="81"/>
            <rFont val="Tahoma"/>
            <family val="2"/>
            <charset val="186"/>
          </rPr>
          <t xml:space="preserve">
Projekts Kontakts; Jāsaprot NP</t>
        </r>
      </text>
    </comment>
    <comment ref="D267" authorId="1" shapeId="0" xr:uid="{83045184-FF24-4AE8-AC15-B413068500A6}">
      <text>
        <r>
          <rPr>
            <b/>
            <sz val="9"/>
            <color indexed="81"/>
            <rFont val="Tahoma"/>
            <family val="2"/>
            <charset val="186"/>
          </rPr>
          <t>Baiba Kanča:</t>
        </r>
        <r>
          <rPr>
            <sz val="9"/>
            <color indexed="81"/>
            <rFont val="Tahoma"/>
            <family val="2"/>
            <charset val="186"/>
          </rPr>
          <t xml:space="preserve">
Pārsaukt: Rezerve skolēnu līdzfinansējumam dalībai konkursos.</t>
        </r>
      </text>
    </comment>
    <comment ref="M270" authorId="0" shapeId="0" xr:uid="{374E1F58-09B7-41C7-84AA-62C9B24EDF64}">
      <text>
        <r>
          <rPr>
            <b/>
            <sz val="9"/>
            <color indexed="81"/>
            <rFont val="Tahoma"/>
            <family val="2"/>
            <charset val="186"/>
          </rPr>
          <t>Sarmīte Mūze:</t>
        </r>
        <r>
          <rPr>
            <sz val="9"/>
            <color indexed="81"/>
            <rFont val="Tahoma"/>
            <family val="2"/>
            <charset val="186"/>
          </rPr>
          <t xml:space="preserve">
Šis ir jāizņem no 0930 un jāliek 0982 algā.
</t>
        </r>
      </text>
    </comment>
    <comment ref="N270" authorId="0" shapeId="0" xr:uid="{6E29B313-6EF6-4918-88AA-7F0BF33FEB64}">
      <text>
        <r>
          <rPr>
            <b/>
            <sz val="9"/>
            <color indexed="81"/>
            <rFont val="Tahoma"/>
            <family val="2"/>
            <charset val="186"/>
          </rPr>
          <t>Sarmīte Mūze:</t>
        </r>
        <r>
          <rPr>
            <sz val="9"/>
            <color indexed="81"/>
            <rFont val="Tahoma"/>
            <family val="2"/>
            <charset val="186"/>
          </rPr>
          <t xml:space="preserve">
Šis ir jāizņem no 0930 un jāliek 0982 algā.
</t>
        </r>
      </text>
    </comment>
    <comment ref="Q270" authorId="0" shapeId="0" xr:uid="{DAA68795-3CA8-4305-A6B3-7116578079B7}">
      <text>
        <r>
          <rPr>
            <b/>
            <sz val="9"/>
            <color indexed="81"/>
            <rFont val="Tahoma"/>
            <family val="2"/>
            <charset val="186"/>
          </rPr>
          <t>Sarmīte Mūze:</t>
        </r>
        <r>
          <rPr>
            <sz val="9"/>
            <color indexed="81"/>
            <rFont val="Tahoma"/>
            <family val="2"/>
            <charset val="186"/>
          </rPr>
          <t xml:space="preserve">
Šis ir jāizņem no 0930 un jāliek 0982 algā.
</t>
        </r>
      </text>
    </comment>
    <comment ref="T270" authorId="0" shapeId="0" xr:uid="{968E38DF-5A76-40FB-AA76-5A9F0658D894}">
      <text>
        <r>
          <rPr>
            <b/>
            <sz val="9"/>
            <color indexed="81"/>
            <rFont val="Tahoma"/>
            <family val="2"/>
            <charset val="186"/>
          </rPr>
          <t>Sarmīte Mūze:</t>
        </r>
        <r>
          <rPr>
            <sz val="9"/>
            <color indexed="81"/>
            <rFont val="Tahoma"/>
            <family val="2"/>
            <charset val="186"/>
          </rPr>
          <t xml:space="preserve">
Šis ir jāizņem no 0930 un jāliek 0982 algā.
</t>
        </r>
      </text>
    </comment>
    <comment ref="W270" authorId="0" shapeId="0" xr:uid="{3ADEEA8E-1898-49D8-BF78-4E3344F5C6B9}">
      <text>
        <r>
          <rPr>
            <b/>
            <sz val="9"/>
            <color indexed="81"/>
            <rFont val="Tahoma"/>
            <family val="2"/>
            <charset val="186"/>
          </rPr>
          <t>Sarmīte Mūze:</t>
        </r>
        <r>
          <rPr>
            <sz val="9"/>
            <color indexed="81"/>
            <rFont val="Tahoma"/>
            <family val="2"/>
            <charset val="186"/>
          </rPr>
          <t xml:space="preserve">
Šis ir jāizņem no 0930 un jāliek 0982 algā.
</t>
        </r>
      </text>
    </comment>
    <comment ref="Z270" authorId="0" shapeId="0" xr:uid="{70E06846-0B1A-45F5-9B98-D6189A689B4C}">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20" authorId="0" shapeId="0" xr:uid="{0C4A7BA9-E15A-4CA9-9D43-EC2CA8CB663C}">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K122" authorId="0" shapeId="0" xr:uid="{7AC63BFB-FF89-4B53-9D2E-A6216D6CEC26}">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t>
        </r>
      </text>
    </comment>
    <comment ref="D134" authorId="1" shapeId="0" xr:uid="{A1143B72-6694-4DD4-A814-1721739D1EA3}">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<sst xmlns="http://schemas.openxmlformats.org/spreadsheetml/2006/main" count="1713" uniqueCount="1086">
  <si>
    <t>Ādažu pašvaldības apvienotais budžets</t>
  </si>
  <si>
    <t>2023. gads</t>
  </si>
  <si>
    <t xml:space="preserve">Ieņēmumu daļa </t>
  </si>
  <si>
    <t xml:space="preserve">N.p.k. </t>
  </si>
  <si>
    <t>Sadaļa</t>
  </si>
  <si>
    <t>KA 31.12.2022.</t>
  </si>
  <si>
    <t>Valsts finansējums (mērķdotācijas)</t>
  </si>
  <si>
    <t>Projektu finansējums</t>
  </si>
  <si>
    <t>Aizņēmumi</t>
  </si>
  <si>
    <t>CKS</t>
  </si>
  <si>
    <t>2023. ĀND investīcijas</t>
  </si>
  <si>
    <t>2023. ĀND bāze</t>
  </si>
  <si>
    <t>2023. gada budžets</t>
  </si>
  <si>
    <t>23.03.2023. grozījumi</t>
  </si>
  <si>
    <t>Izmaiņa 23.03.2023. - 26.01.2023.</t>
  </si>
  <si>
    <t xml:space="preserve">Komentāri </t>
  </si>
  <si>
    <t>24.05.2023. grozījumi</t>
  </si>
  <si>
    <t>Izmaiņa 24.05.2023. -23.03.2023.</t>
  </si>
  <si>
    <t>28.06.2023. grozījumi</t>
  </si>
  <si>
    <t>Izmaiņa 28.06.2023. -24.05.2023.</t>
  </si>
  <si>
    <t>23.08.2023. grozījumi</t>
  </si>
  <si>
    <t>Izmaiņa 23.08.2023. -28.06.2023.</t>
  </si>
  <si>
    <t>26.10.2023. grozījumi</t>
  </si>
  <si>
    <t>Izmaiņa 26.10.2023. -23.08.2023.</t>
  </si>
  <si>
    <t>1., 2., 3., 4., 5.1.</t>
  </si>
  <si>
    <t>Nodokļu ieņēmumi</t>
  </si>
  <si>
    <t>1.1.1.0.</t>
  </si>
  <si>
    <t>1.</t>
  </si>
  <si>
    <t>Iedzīvotāju ienākuma nodoklis</t>
  </si>
  <si>
    <t>PB</t>
  </si>
  <si>
    <t>01.1.1.2.</t>
  </si>
  <si>
    <t>1.1.</t>
  </si>
  <si>
    <t>pārskata gada</t>
  </si>
  <si>
    <t>Precizēta summa apstiprinātajos MK Nr.191 11.04.2023</t>
  </si>
  <si>
    <t>Pēc faktiskās izpildes lielāki IIN ieņēmumi</t>
  </si>
  <si>
    <t>1.2.</t>
  </si>
  <si>
    <t>saņemts no Valsts kases sadales konta iepriekšējā gada nesadalītais iedzīvotāju ienākuma nodokļa atlikums</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</si>
  <si>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</si>
  <si>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</si>
  <si>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</si>
  <si>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</si>
  <si>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</si>
  <si>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</si>
  <si>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</si>
  <si>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</si>
  <si>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</si>
  <si>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</si>
  <si>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</si>
  <si>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</si>
  <si>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</si>
  <si>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</si>
  <si>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</si>
  <si>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</si>
  <si>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</si>
  <si>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</si>
  <si>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</si>
  <si>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</si>
  <si>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</si>
  <si>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</si>
  <si>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</si>
  <si>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</si>
  <si>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</si>
  <si>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</si>
  <si>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</si>
  <si>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</si>
  <si>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</si>
  <si>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</si>
  <si>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</si>
  <si>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</si>
  <si>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</si>
  <si>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</si>
  <si>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</si>
  <si>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</si>
  <si>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</si>
  <si>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</si>
  <si>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</si>
  <si>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</si>
  <si>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</si>
  <si>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</si>
  <si>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</si>
  <si>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</si>
  <si>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</si>
  <si>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</si>
  <si>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</si>
  <si>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</si>
  <si>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</si>
  <si>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</si>
  <si>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</si>
  <si>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</si>
  <si>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</si>
  <si>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</si>
  <si>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</si>
  <si>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</si>
  <si>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</si>
  <si>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</si>
  <si>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</si>
  <si>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</si>
  <si>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</si>
  <si>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</si>
  <si>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</si>
  <si>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</si>
  <si>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</si>
  <si>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</si>
  <si>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</si>
  <si>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</si>
  <si>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</si>
  <si>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</si>
  <si>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</si>
  <si>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</si>
  <si>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</si>
  <si>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</si>
  <si>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</si>
  <si>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</si>
  <si>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</si>
  <si>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</si>
  <si>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</si>
  <si>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</si>
  <si>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</si>
  <si>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</si>
  <si>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</si>
  <si>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</si>
  <si>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</si>
  <si>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</si>
  <si>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</si>
  <si>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</si>
  <si>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</si>
  <si>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</si>
  <si>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</si>
  <si>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</si>
  <si>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</si>
  <si>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</si>
  <si>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</si>
  <si>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</si>
  <si>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</si>
  <si>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</si>
  <si>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</si>
  <si>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</si>
  <si>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</si>
  <si>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</si>
  <si>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</si>
  <si>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Precizēts MD apjoms</t>
  </si>
  <si>
    <t>Precizēts mērķdotāciju apjoms sept. - dec.</t>
  </si>
  <si>
    <t>18.6.2.4.</t>
  </si>
  <si>
    <t>10.1.2.</t>
  </si>
  <si>
    <t>dotācija sporta skolai</t>
  </si>
  <si>
    <t>Saskaņā ar IZM rīkojumu EUR 13'302 pedagogu zemākās likmes paaugstināšanai.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</si>
  <si>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</si>
  <si>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</si>
  <si>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</si>
  <si>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</si>
  <si>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</si>
  <si>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</si>
  <si>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</si>
  <si>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</si>
  <si>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</si>
  <si>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</si>
  <si>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</si>
  <si>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</si>
  <si>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</si>
  <si>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</si>
  <si>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</si>
  <si>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</si>
  <si>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</si>
  <si>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</si>
  <si>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</si>
  <si>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</si>
  <si>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</si>
  <si>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</si>
  <si>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</si>
  <si>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</si>
  <si>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</si>
  <si>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</si>
  <si>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</si>
  <si>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</si>
  <si>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</si>
  <si>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Projekts "Skolas soma" - 2023./2024.gadam jauns līgums EUR 14'485 (ĀVS); EUR 3'997 (CPS)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</si>
  <si>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</si>
  <si>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</si>
  <si>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</si>
  <si>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</si>
  <si>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</si>
  <si>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</si>
  <si>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</si>
  <si>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</si>
  <si>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</si>
  <si>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</si>
  <si>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</si>
  <si>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</si>
  <si>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</si>
  <si>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</si>
  <si>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</si>
  <si>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</si>
  <si>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10.1.13.</t>
  </si>
  <si>
    <t>Dotācijas "Energoresursu atbalsts"</t>
  </si>
  <si>
    <t>CKS precizēts kods ieņēmumiem - valsts atbalsts iedzīvotājiem</t>
  </si>
  <si>
    <t>0630</t>
  </si>
  <si>
    <t>18.6.2.9.;</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</si>
  <si>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</si>
  <si>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</si>
  <si>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</si>
  <si>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</si>
  <si>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</si>
  <si>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18.6.2.6.1.</t>
  </si>
  <si>
    <t>10.2.1.</t>
  </si>
  <si>
    <t>Dotācija nodarbinātības pasākumiem</t>
  </si>
  <si>
    <t>0634</t>
  </si>
  <si>
    <t>18.6.3.6.</t>
  </si>
  <si>
    <t>10.2.2.</t>
  </si>
  <si>
    <t>Plūdu risku projekts</t>
  </si>
  <si>
    <t>10.2.3.</t>
  </si>
  <si>
    <t>Apgaismojuma izbūve uz Salas aizsargdamja D-2 posmā, Carnikavas pagastā</t>
  </si>
  <si>
    <t>0632.6</t>
  </si>
  <si>
    <t>10.2.4.</t>
  </si>
  <si>
    <t>Eiropas Bauhaus pieejas piemērošana sabiedrisko ēku pārveidošanai</t>
  </si>
  <si>
    <t>Ieskaitīts projekta finansējums</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</si>
  <si>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</si>
  <si>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</si>
  <si>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</si>
  <si>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</si>
  <si>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</si>
  <si>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</si>
  <si>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</si>
  <si>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</si>
  <si>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</si>
  <si>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</si>
  <si>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</si>
  <si>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</si>
  <si>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</si>
  <si>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</si>
  <si>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</si>
  <si>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</si>
  <si>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</si>
  <si>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</si>
  <si>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</si>
  <si>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</si>
  <si>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</si>
  <si>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</si>
  <si>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</si>
  <si>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10.2.15.</t>
  </si>
  <si>
    <t>ES projekts Eiropa pilsoņiem (diskriminētām personām) ©</t>
  </si>
  <si>
    <t>10.2.16.</t>
  </si>
  <si>
    <t>ERASMUS + projekti</t>
  </si>
  <si>
    <t>Precizēta projekta NP</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</si>
  <si>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</si>
  <si>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</si>
  <si>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</si>
  <si>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</si>
  <si>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</si>
  <si>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</si>
  <si>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</si>
  <si>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</si>
  <si>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</si>
  <si>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10.2.21.</t>
  </si>
  <si>
    <t>Katlu mājas pārbūve Carnikavā, Tulpju iela 5</t>
  </si>
  <si>
    <t>Saskaņā ar Domes 06.09.2023. lēmumu Nr. 339 projekta realizācija atcelta</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</si>
  <si>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</si>
  <si>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</si>
  <si>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</si>
  <si>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</si>
  <si>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</si>
  <si>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</si>
  <si>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</si>
  <si>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</si>
  <si>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</si>
  <si>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</si>
  <si>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</si>
  <si>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</si>
  <si>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</si>
  <si>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</si>
  <si>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</si>
  <si>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</si>
  <si>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</si>
  <si>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</si>
  <si>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</si>
  <si>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</si>
  <si>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</si>
  <si>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</si>
  <si>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</si>
  <si>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</si>
  <si>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</si>
  <si>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</si>
  <si>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</si>
  <si>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</si>
  <si>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</si>
  <si>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</si>
  <si>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</si>
  <si>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</si>
  <si>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</si>
  <si>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</si>
  <si>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</si>
  <si>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</si>
  <si>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</si>
  <si>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</si>
  <si>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</si>
  <si>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</si>
  <si>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</si>
  <si>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</si>
  <si>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</si>
  <si>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</si>
  <si>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</si>
  <si>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Ieņēmumu pārpilde (Sporta daļa), palielināt par EUR 5000</t>
  </si>
  <si>
    <t>12.4.2.</t>
  </si>
  <si>
    <t>ieņēmumi no biļešu realizācijas</t>
  </si>
  <si>
    <t>12.4.3.</t>
  </si>
  <si>
    <t>ieņēmumi no dzīvokļu un komunālajiem pakalpojumiem ©</t>
  </si>
  <si>
    <t>21.3.5.9.; 21.4.9.9.</t>
  </si>
  <si>
    <t>12.6.</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</si>
  <si>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</si>
  <si>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</si>
  <si>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</si>
  <si>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</si>
  <si>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</si>
  <si>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</si>
  <si>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</si>
  <si>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</si>
  <si>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</si>
  <si>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</si>
  <si>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</si>
  <si>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14.2.</t>
  </si>
  <si>
    <t>14.3.</t>
  </si>
  <si>
    <t xml:space="preserve"> "Auto stāvlaukuma Lilastē paplašināšana, atpūtas vietu, labiekārtojuma, labierīcību, kempinga iespēju projektēšana un izbūve" ©</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</si>
  <si>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</si>
  <si>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</si>
  <si>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</si>
  <si>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</si>
  <si>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</si>
  <si>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</si>
  <si>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</si>
  <si>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</si>
  <si>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</si>
  <si>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</si>
  <si>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Saskaņā ar Domes 28.09.2023. lēmumum Nr.289, projekts 2023.gadā netiks realizēts</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</si>
  <si>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</si>
  <si>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</si>
  <si>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</si>
  <si>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</si>
  <si>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</si>
  <si>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</si>
  <si>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</si>
  <si>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Saskaņā ar Domes 28.09.2023. lēmumum Nr.289, Draudzības ielas rekonstrukcija - projekts netiks realizēts 2023.gadā. Aizņēmums EUR 126'000 netiks saņemts.</t>
  </si>
  <si>
    <t>14.13.</t>
  </si>
  <si>
    <t>Liepu aleja</t>
  </si>
  <si>
    <t>Atbalstīta projekta realizācija</t>
  </si>
  <si>
    <t>14.14.</t>
  </si>
  <si>
    <t xml:space="preserve">       Atpūtas ielas pārbūve</t>
  </si>
  <si>
    <t>Sākotnēji plānots no pašvaldības līdzekļiem, bet saskaņā ar likumu ir iespējams izmantot aizņēmuma līdzekļus.</t>
  </si>
  <si>
    <t>VK aizņēmums nav saņemts</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</si>
  <si>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</si>
  <si>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</si>
  <si>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</si>
  <si>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</si>
  <si>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</si>
  <si>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</si>
  <si>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</si>
  <si>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</si>
  <si>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</si>
  <si>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</si>
  <si>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</si>
  <si>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</si>
  <si>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</si>
  <si>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</si>
  <si>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</si>
  <si>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</si>
  <si>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</si>
  <si>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</si>
  <si>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</si>
  <si>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</si>
  <si>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</si>
  <si>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</si>
  <si>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</si>
  <si>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</si>
  <si>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Lai kompensētu aizņēmumu likmju pieaugumu.</t>
  </si>
  <si>
    <t>Procentu maksājumu summas palielinājums (avots - IIN pārpilde)</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</si>
  <si>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</si>
  <si>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</si>
  <si>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</si>
  <si>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</si>
  <si>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</si>
  <si>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</si>
  <si>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</si>
  <si>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</si>
  <si>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</si>
  <si>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</si>
  <si>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Ekonomiskā darbība</t>
  </si>
  <si>
    <t>0490</t>
  </si>
  <si>
    <t>Sabiedriskās attiecības, laikraksts</t>
  </si>
  <si>
    <t>4.1.1.</t>
  </si>
  <si>
    <t>Sabiedrisko attiecību nodaļa</t>
  </si>
  <si>
    <t>4.1.2.</t>
  </si>
  <si>
    <t>Ādažu vēstis</t>
  </si>
  <si>
    <t>0420</t>
  </si>
  <si>
    <t>Autoceļu fonds</t>
  </si>
  <si>
    <t>Vides aizsardzība</t>
  </si>
  <si>
    <t>0510</t>
  </si>
  <si>
    <t>Dabas resursu nodokļa izlietojums</t>
  </si>
  <si>
    <t>Pašvaldības teritoriju un mājokļu apsaimniekošana</t>
  </si>
  <si>
    <t>0620</t>
  </si>
  <si>
    <t>Būvvalde</t>
  </si>
  <si>
    <t>+ EUR 15'000 arhitektu plenērs izglītības kvartālam</t>
  </si>
  <si>
    <t>0660</t>
  </si>
  <si>
    <t>6.3.</t>
  </si>
  <si>
    <t>Teritorijas plānošanas nodaļa</t>
  </si>
  <si>
    <t>6.4.</t>
  </si>
  <si>
    <t>Attīstības un projektu nodaļa</t>
  </si>
  <si>
    <t>6.4.1.</t>
  </si>
  <si>
    <t>nodaļa</t>
  </si>
  <si>
    <t>Life CoHabit projekts noslēdzies - 2) EUR 5033 Gaujas-Baltezera projekta realizācijai (Lēmums #82)</t>
  </si>
  <si>
    <t>1. Papildus ģimenes ārsta prakses projekta realizācijas prasība - informatīvās plāksnes izgatavošana no attīstības daļas budžeta. (EUR 73 no 0630 uz 0633.5)
2. Saskaņā ar Domes 26.07.2023. lēmumu Nr. 291:
2.1. EUR 27'000 no Ķiršu ielas būvniecības plānotās summas Krastupes ielas projektēšanai.
2.2. EUR 8'000 no Draudzības ielas būvniecības plānotās summas Krastupes ielas projektēšanai.
2.3. EUR 50'000 no Dadzīšu ielas projektēšanas plānotās summas Krastupes ielas projektēšanai.
3. EUR 1000 no projekta konta atlikuma (projekts noslēdzies) uz zemas cenas īres mājokļu būvniecībai paredzētās teritorijas novērtēšanai (EKK 0630 (2239))</t>
  </si>
  <si>
    <t>1) Podnieku zemes iegāde EUR 232'064 no Attīstības daļas budžeta 0630/EKK 5217 uz Nekustamo īpašumu nodaļu 0670/EKK 5214;
2) Pārskaitīt EUR 8'445 CKS (no 0630/5240 uz 0645/7230) piekrastes projekta realizēšana</t>
  </si>
  <si>
    <t>0630.1</t>
  </si>
  <si>
    <t>6.4.2.</t>
  </si>
  <si>
    <t>Projekts "Sabiedrība ar dvēseli"</t>
  </si>
  <si>
    <t>Saskaņā ar lēmumu, novirzīt EUR 1'630 no 0630.2 Pārrobežu EST-LAT projekts "Militārais mantojums uz 0630.1/3263 Sabiedrība ar dvēseli projektu realizācijai</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</si>
  <si>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</si>
  <si>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</si>
  <si>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</si>
  <si>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</si>
  <si>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</si>
  <si>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</si>
  <si>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0633.1</t>
  </si>
  <si>
    <t>6.4.5.</t>
  </si>
  <si>
    <t>”Mobilitātes punkta infrastruktūras izveidošana Rīgas metropoles areālā – “Carnikava””</t>
  </si>
  <si>
    <t>0633.2</t>
  </si>
  <si>
    <t>6.4.6.</t>
  </si>
  <si>
    <t>0632.4</t>
  </si>
  <si>
    <t>6.4.7.</t>
  </si>
  <si>
    <t>6.4.8.</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</si>
  <si>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</si>
  <si>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</si>
  <si>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</si>
  <si>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</si>
  <si>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EUR 1000 no projekta konta atlikuma (projekts noslēdzies) uz zemas cenas īres mājokļu būvniecībai paredzētās teritorijas novērtēšanai (EKK 0630 (2239))</t>
  </si>
  <si>
    <t>0633.5</t>
  </si>
  <si>
    <t>6.4.10.</t>
  </si>
  <si>
    <t>Papildus ģimenes ārsta prakses projekta realizācijas prasība - informatīvās plāksnes izgatavošana no attīstības daļas budžeta</t>
  </si>
  <si>
    <t>6.4.11.</t>
  </si>
  <si>
    <t>6.5.</t>
  </si>
  <si>
    <t>Objektu un teritorijas apsaimniekošana un uzturēšana</t>
  </si>
  <si>
    <t>6.5.1.</t>
  </si>
  <si>
    <t>Nekustamo īpašumu uzturēšana (Ā)</t>
  </si>
  <si>
    <t>0670</t>
  </si>
  <si>
    <t xml:space="preserve">Nekustamā īpašumas nodaļa </t>
  </si>
  <si>
    <t>Podnieku zemes iegāde EUR 232'064 no Attīstības daļas budžeta 0630/EKK 5217 uz Nekustamo īpašumu nodaļu 0670/EKK 5214</t>
  </si>
  <si>
    <t>0649</t>
  </si>
  <si>
    <t>6.5.2.</t>
  </si>
  <si>
    <t>Mežaparka ceļš (Ā)</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</si>
  <si>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</si>
  <si>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</si>
  <si>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</si>
  <si>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</si>
  <si>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</si>
  <si>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</si>
  <si>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</si>
  <si>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</si>
  <si>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</si>
  <si>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</si>
  <si>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1) EUR 50'000 no Dadzīšu ielas projektēšanas plānotās summas Krastupes ielas projektēšanai.
2) EUR 25'175 Atpūtas ielas rekonstrukcijai (Indikatīvās būvdarbu izmaksas saskaņā ar lēmumu)
3) EUR 54'000 no Liepu ielas būvniecības plānotās summas Kalngales NAI pārbūvei.
4) CKS grozījumi, kur pārceļam EUR 3700 uz pamatskolas budžetu, lai samaksātu virsstundas ēkas dežurantam, kas veidojas apkalpojot telpu nomniekus.</t>
  </si>
  <si>
    <t>1) Pārskaitīt EUR 8'445 CKS (no 0630/5240 uz 0645/7230) piekrastes projekta realizēšanai.
2) EUR 3'504 no Sporta daļas uz CKS vertikulēšanas un aerācijas aparāta iegādei sporta laukuma uzturēšanai.</t>
  </si>
  <si>
    <t>6.5.5.2.</t>
  </si>
  <si>
    <t>Dotācija CKS ceļu uzturēšanai</t>
  </si>
  <si>
    <t>1) EUR 50'936 no CKS dotācijas uz Teritorijas uzturēšanu (Dome) par apsaimniekošanas līgumiem, kas noslēgti ar Domi. (EUR 23'016 uz teritorijas apsaimn. Dome un EUR 27'920 uz ceļu sadaļu)</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</si>
  <si>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</si>
  <si>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</si>
  <si>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</si>
  <si>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(EUR 23'016 uz teritorijas apsaimn. Dome un EUR 27'920 uz ceļu sadaļu)
2) Saskaņā ar līdzfinansējuma vērtēšanas komisijas ierosinājumu palielināt finanšu apjomu par EUR 20'000 daudzdzīvokļu māju siltināšanas līdzfinansējumam.</t>
  </si>
  <si>
    <t>0650_4</t>
  </si>
  <si>
    <t>6.5.6.</t>
  </si>
  <si>
    <t>Ceļu, ielu infrastruktūras attīstības programma  - pašvaldības ieguldījums ©</t>
  </si>
  <si>
    <t>0633.3</t>
  </si>
  <si>
    <t>6.5.7.</t>
  </si>
  <si>
    <t>Auto stāvlaukuma Lilastē paplašināšanas un atpūtas vietu labiekārtojuma projektēšana un izbūve ©</t>
  </si>
  <si>
    <t>6.5.8.</t>
  </si>
  <si>
    <t>Rasiņu ielas seguma atjaunošana</t>
  </si>
  <si>
    <t>Realizēs caur Domes līgumu</t>
  </si>
  <si>
    <t>6.5.9.</t>
  </si>
  <si>
    <t>1) EUR 27'000 no Ķiršu ielas būvniecības plānotās summas Krastupes ielas projektēšanai. (Jūnija palielinājums EUR 57'326 no 0645/5240 uz 0645/7230)</t>
  </si>
  <si>
    <t>6.5.10.</t>
  </si>
  <si>
    <t>1) EUR 8'000 no Draudzības ielas būvniecības plānotās summas Krastupes ielas projektēšanai.
2) EUR 7'875 no Draudzības ielas būvniecības plānotās summas Kalngales NAI pārbūvei.</t>
  </si>
  <si>
    <t>Saskaņā ar Domes 28.09.2023. lēmumum Nr.289, Draudzības ielas rekonstrukcija - projekts netiks realizēts 2023.gadā</t>
  </si>
  <si>
    <t>6.5.11.</t>
  </si>
  <si>
    <t>1) EUR 54'000 no Liepu ielas būvniecības plānotās summas Kalngales NAI pārbūvei.
2) EUR 7'875 no Draudzības ielas būvniecības plānotās summas Kalngales NAI pārbūvei.</t>
  </si>
  <si>
    <t>Saskaņā ar Domes 28.09.2023. lēmumum Nr.289, Kalngales NAI pārbūve - projekts 2023.gadā netiks realizēts</t>
  </si>
  <si>
    <t>6.5.12.</t>
  </si>
  <si>
    <t>6.5.13.</t>
  </si>
  <si>
    <t>0633.4</t>
  </si>
  <si>
    <t>6.5.14.</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</si>
  <si>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</si>
  <si>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</si>
  <si>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</si>
  <si>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</si>
  <si>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</si>
  <si>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</si>
  <si>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</si>
  <si>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</si>
  <si>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0841.2</t>
  </si>
  <si>
    <t>7.1.2.</t>
  </si>
  <si>
    <t>Tautas nams "Ozolaine" ©</t>
  </si>
  <si>
    <t>Saskaņā ar 19.10.2023. FK protokollēmumu EUR 19'000 no EKK 2239/08412 uz EKK 2239/0841.2 (Ozolaine)</t>
  </si>
  <si>
    <t>0841.3</t>
  </si>
  <si>
    <t>7.1.3.</t>
  </si>
  <si>
    <t>Muzejs un Carnikavas novadpētniecības centrs</t>
  </si>
  <si>
    <t>08412</t>
  </si>
  <si>
    <t>Dziesmu svētki 2023</t>
  </si>
  <si>
    <t>EUR 20'000 papildus atobusu īrei Dziesmu un deju svētkos</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</si>
  <si>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</si>
  <si>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</si>
  <si>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</si>
  <si>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</si>
  <si>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</si>
  <si>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</si>
  <si>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</si>
  <si>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</si>
  <si>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</si>
  <si>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0831</t>
  </si>
  <si>
    <t>7.6.</t>
  </si>
  <si>
    <t xml:space="preserve">Carnikavas bibliotēka </t>
  </si>
  <si>
    <t>Papildus finansējums pakomāta iegādei</t>
  </si>
  <si>
    <t>7.8.</t>
  </si>
  <si>
    <t>Sporta daļa</t>
  </si>
  <si>
    <t>1) EUR 3'504 no Sporta daļas uz CKS vertikulēšanas un aerācijas aparāta iegādei sporta laukuma uzturēšanai.
2) No maksas pakalpojumu ieņēmumu palielinājuma EUR 5'000 āra trenažieru iegādei.
3) Carnikavas stadiona rekonstrukcijas ietvaros. Ūdensņemšanas vieta priekš sniega pūšanas (realizēts projekta ietvaros. Šos EUR 30'000 no 09823/5250 uz 0812/5239 (āra trenažieru iegādei)</t>
  </si>
  <si>
    <t>0880</t>
  </si>
  <si>
    <t>7.9.</t>
  </si>
  <si>
    <t>Evaņģēliski luteriskās draudzes</t>
  </si>
  <si>
    <t>0843</t>
  </si>
  <si>
    <t>7.10.</t>
  </si>
  <si>
    <t>Multihalle</t>
  </si>
  <si>
    <t>Sociālā aizsardzība</t>
  </si>
  <si>
    <t>Sociālais dienests</t>
  </si>
  <si>
    <t>8.1.1.</t>
  </si>
  <si>
    <t xml:space="preserve">Sociālās funkcijas nodrošināšana </t>
  </si>
  <si>
    <t>Saskaņā ar domes 24.05.2023. lēmumu Nr. 196 pārcelt finansējumu vakancei "Bērnu brīvā laika organizators" no soc. Dienesta budžeta uz Izglītības un jaunatnes nodaļu</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</si>
  <si>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</si>
  <si>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</si>
  <si>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</si>
  <si>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</si>
  <si>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</si>
  <si>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</si>
  <si>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</si>
  <si>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</si>
  <si>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</si>
  <si>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</si>
  <si>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</si>
  <si>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</si>
  <si>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</si>
  <si>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</si>
  <si>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</si>
  <si>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</si>
  <si>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</si>
  <si>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</si>
  <si>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</si>
  <si>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</si>
  <si>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</si>
  <si>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</si>
  <si>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</si>
  <si>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</si>
  <si>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</si>
  <si>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</si>
  <si>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</si>
  <si>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</si>
  <si>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</si>
  <si>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</si>
  <si>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</si>
  <si>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</si>
  <si>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</si>
  <si>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</si>
  <si>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</si>
  <si>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</si>
  <si>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</si>
  <si>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</si>
  <si>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</si>
  <si>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</si>
  <si>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</si>
  <si>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</si>
  <si>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</si>
  <si>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</si>
  <si>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</si>
  <si>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9.3.</t>
  </si>
  <si>
    <t>Kadagas PII</t>
  </si>
  <si>
    <t>0921</t>
  </si>
  <si>
    <t>9.3.1.</t>
  </si>
  <si>
    <t>0920</t>
  </si>
  <si>
    <t>9.3.2.</t>
  </si>
  <si>
    <t>9.4.</t>
  </si>
  <si>
    <t>Pirmsskolas izglītības iestāde "Riekstiņš"</t>
  </si>
  <si>
    <t>09011</t>
  </si>
  <si>
    <t>9.4.1.</t>
  </si>
  <si>
    <t>0901; 650_0901</t>
  </si>
  <si>
    <t>9.4.2.</t>
  </si>
  <si>
    <t>9.4.3.</t>
  </si>
  <si>
    <t>uzturēšanas izmaksas (CKS)</t>
  </si>
  <si>
    <t>0902; 650_0902</t>
  </si>
  <si>
    <t>9.5.</t>
  </si>
  <si>
    <t>Pirmsskolas izglītības iestādes "Piejūra"</t>
  </si>
  <si>
    <t>09021</t>
  </si>
  <si>
    <t>9.5.1.</t>
  </si>
  <si>
    <t>9.5.2.</t>
  </si>
  <si>
    <t>EUR 2000 uz PII Piejūra - balva par energotaupības rezultātiem</t>
  </si>
  <si>
    <t>9.5.3.</t>
  </si>
  <si>
    <t>9.6.</t>
  </si>
  <si>
    <t>Privātās izglītības iestādes</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</si>
  <si>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</si>
  <si>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</si>
  <si>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</si>
  <si>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</si>
  <si>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</si>
  <si>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</si>
  <si>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</si>
  <si>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</si>
  <si>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</si>
  <si>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</si>
  <si>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</si>
  <si>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</si>
  <si>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</si>
  <si>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</si>
  <si>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</si>
  <si>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</si>
  <si>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</si>
  <si>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CKS grozījumi, kur pārceļam EUR 3700 uz pamatskolas budžetu, lai samaksātu virsstundas ēkas dežurantam, kas veidojas apkalpojot telpu nomniekus.</t>
  </si>
  <si>
    <t>09822</t>
  </si>
  <si>
    <t>9.7.5.</t>
  </si>
  <si>
    <t>projekts "Skolas soma"</t>
  </si>
  <si>
    <t>09825</t>
  </si>
  <si>
    <t>9.7.6.</t>
  </si>
  <si>
    <t>projekts Erasmus+</t>
  </si>
  <si>
    <t>0982</t>
  </si>
  <si>
    <t>9.7.7.</t>
  </si>
  <si>
    <t>mācību vides labiekārtošana</t>
  </si>
  <si>
    <t>09823</t>
  </si>
  <si>
    <t>9.8.</t>
  </si>
  <si>
    <t>Carnikavas stadiona rekonstrukcijas ietvaros. Ūdensņemšanas vieta priekš sniega pūšanas (realizēts projekta ietvaros. Šos EUR 30'000 no 09823/5250 uz 0812/5239 (āra trenažieru iegādei)</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</si>
  <si>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</si>
  <si>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</si>
  <si>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</si>
  <si>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</si>
  <si>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</si>
  <si>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</si>
  <si>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</si>
  <si>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</si>
  <si>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20.09. FK protokols - EUR 9'300 no plānotā Chromebook apdrošināšanai un EUR 3'500 no plānotā profesionālās izaugsmes progr. (Transportlīdz. Vadīš. Apmācība) uz sākumskolu mācību līdzekļu iegādei.</t>
  </si>
  <si>
    <t>0957</t>
  </si>
  <si>
    <t>9.9.3.</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</si>
  <si>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</si>
  <si>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</si>
  <si>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</si>
  <si>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</si>
  <si>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</si>
  <si>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</si>
  <si>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</si>
  <si>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</si>
  <si>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</si>
  <si>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</si>
  <si>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</si>
  <si>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</si>
  <si>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</si>
  <si>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</si>
  <si>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</si>
  <si>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</si>
  <si>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</si>
  <si>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</si>
  <si>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</si>
  <si>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</si>
  <si>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</si>
  <si>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</si>
  <si>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</si>
  <si>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9.11.</t>
  </si>
  <si>
    <t>Sporta skola</t>
  </si>
  <si>
    <t>09651</t>
  </si>
  <si>
    <t>9.11.1.</t>
  </si>
  <si>
    <t>0965</t>
  </si>
  <si>
    <t>9.11.2.</t>
  </si>
  <si>
    <t>Pašvaldības finansējums</t>
  </si>
  <si>
    <t>0930</t>
  </si>
  <si>
    <t>9.12.</t>
  </si>
  <si>
    <t>Izglītības un jaunatnes nodaļa</t>
  </si>
  <si>
    <t>9.13.</t>
  </si>
  <si>
    <t>Līdzfinansējums skolēnu dalībai konkursos</t>
  </si>
  <si>
    <t>0931</t>
  </si>
  <si>
    <t>9.14.</t>
  </si>
  <si>
    <t>ESF projekts Atbalsts priekšlaicīgas mācību pārtraukšanas samazināšanai © (Pumpurs)</t>
  </si>
  <si>
    <t>0932</t>
  </si>
  <si>
    <t>9.15.</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</si>
  <si>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</si>
  <si>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</si>
  <si>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</si>
  <si>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</si>
  <si>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</si>
  <si>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</si>
  <si>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</si>
  <si>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</si>
  <si>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</si>
  <si>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</si>
  <si>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</si>
  <si>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</si>
  <si>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</si>
  <si>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</si>
  <si>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</si>
  <si>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</si>
  <si>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</si>
  <si>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</si>
  <si>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</si>
  <si>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Trūkstošais procentu maksai, tiks iegrozīts 2023.gada budžeta oktobra grozījumos.</t>
  </si>
  <si>
    <t>Procentu maksa</t>
  </si>
  <si>
    <t>Pamatsumma</t>
  </si>
  <si>
    <t>2023. budžets</t>
  </si>
  <si>
    <t>Plānotie vērtētie ieņēmumi, balstoties uz provizorisko pašvaldības finanšu izlīdzināšanas aprēķinu 2024.gadam.</t>
  </si>
  <si>
    <t>Pašvaldības pamatbudžeta ieņēmumi bez mērķdotācijām un iemaksām PFIF saimnieciskajā gadā:</t>
  </si>
  <si>
    <t>Saistību apmērs % no pamatbudžeta ieņēmumiem:</t>
  </si>
  <si>
    <t>Aizņēmumi un citas ilgtemiņa saistības kopā:</t>
  </si>
  <si>
    <t>Citas ilgtermiņa saistības:</t>
  </si>
  <si>
    <t>Aizņēmumu procentu maksa:</t>
  </si>
  <si>
    <t>Aizņēmumu pamatsummas atmaksa:</t>
  </si>
  <si>
    <t>Kopsumma 2023 - 2053</t>
  </si>
  <si>
    <t>2030 - 2053</t>
  </si>
  <si>
    <t>Pavisam kopā</t>
  </si>
  <si>
    <t xml:space="preserve">Citas ilgtermiņa saistības kopā: </t>
  </si>
  <si>
    <t>Kalngales NAI</t>
  </si>
  <si>
    <t>EUR</t>
  </si>
  <si>
    <t>Plānots</t>
  </si>
  <si>
    <t>Galvojums SIA "Ādažu ūdens"</t>
  </si>
  <si>
    <t>Līzings - skolēnu autobuss</t>
  </si>
  <si>
    <t>(Operatīvais līzings)</t>
  </si>
  <si>
    <t>Līzings - mikroautobuss</t>
  </si>
  <si>
    <t>Līzings - frontālais iekrāvējs</t>
  </si>
  <si>
    <t>Līzings - jauna automašīna Volvo V60</t>
  </si>
  <si>
    <t>Maksājuma veids</t>
  </si>
  <si>
    <t>Apkalpošanas maksa, %</t>
  </si>
  <si>
    <t>Procentu likme , %</t>
  </si>
  <si>
    <t>Kopējā procentu likme (gadā), %</t>
  </si>
  <si>
    <t>% likmes veids</t>
  </si>
  <si>
    <t>% likmes maiņas datums</t>
  </si>
  <si>
    <t>Neatmaksātās pamatsummas atlikums</t>
  </si>
  <si>
    <t>Aizņēmuma summa</t>
  </si>
  <si>
    <t>Aizņēmuma valūta</t>
  </si>
  <si>
    <t>Aizņēmuma beigu termiņš</t>
  </si>
  <si>
    <t>Līguma noslēgšanas datums</t>
  </si>
  <si>
    <t>Trānčes Nr.</t>
  </si>
  <si>
    <t>Līguma Nr.</t>
  </si>
  <si>
    <t>Saistību mērķis</t>
  </si>
  <si>
    <t>Nr.p.k.</t>
  </si>
  <si>
    <t>Citas ilgtermiņa saistības.</t>
  </si>
  <si>
    <t>Aizņēmumi kopā:</t>
  </si>
  <si>
    <t>Aizņēmumu portfeļa kopsumma:</t>
  </si>
  <si>
    <t>20.06.2023</t>
  </si>
  <si>
    <t>P-330/2017</t>
  </si>
  <si>
    <t>A2/1/17/468</t>
  </si>
  <si>
    <t>Ādažu vidusskolas remonts</t>
  </si>
  <si>
    <t>Atmaksāts</t>
  </si>
  <si>
    <t>P-201/2018</t>
  </si>
  <si>
    <t>A2/1/18/253</t>
  </si>
  <si>
    <t>Būvprojekta "Kultūras un amatniecības centra pārbūve īpašumā "Blusas"" izstrāde</t>
  </si>
  <si>
    <t>P-163/2022</t>
  </si>
  <si>
    <t>A2/1/22/267</t>
  </si>
  <si>
    <t>Laivu ielas (no Cēlāju ciema līdz jūrai Carnikavā) un tai piegulošā auto stāvlaukuma projektēšana un būvniecība</t>
  </si>
  <si>
    <t>FIX</t>
  </si>
  <si>
    <t>A</t>
  </si>
  <si>
    <t>PII Podnieki UN Krastupes iela</t>
  </si>
  <si>
    <t>C</t>
  </si>
  <si>
    <t>Rīgas metropoles areālā – “Carnikava””</t>
  </si>
  <si>
    <t xml:space="preserve"> ”Mobilitātes punkta infrastruktūras izveidošana </t>
  </si>
  <si>
    <t>20.07.2033</t>
  </si>
  <si>
    <t>21.08.2023</t>
  </si>
  <si>
    <t>P-222/2023</t>
  </si>
  <si>
    <t>A2/1/23/290</t>
  </si>
  <si>
    <t>02.02.2024</t>
  </si>
  <si>
    <t>20.07.2026</t>
  </si>
  <si>
    <t>02.08.2023</t>
  </si>
  <si>
    <t>P-181/2023</t>
  </si>
  <si>
    <t>A2/1/23/245</t>
  </si>
  <si>
    <t xml:space="preserve"> "Auto stāvlaukuma Lilastē paplašināšana, atpūtas vietu, labiekārtojuma, labierīcību, kempinga iespēju projektēšana un izbūve"</t>
  </si>
  <si>
    <t>26.06.2024</t>
  </si>
  <si>
    <t>21.06.2038</t>
  </si>
  <si>
    <t>26.06.2023</t>
  </si>
  <si>
    <t>P-104/2023</t>
  </si>
  <si>
    <t>A2/1/23/156</t>
  </si>
  <si>
    <t>Carnikavas stadiona rekonstrukcija (Prioritārais 2023.g.)</t>
  </si>
  <si>
    <t>09.11.2023</t>
  </si>
  <si>
    <t>22.04.2024</t>
  </si>
  <si>
    <t>09.05.2023</t>
  </si>
  <si>
    <t>P-57/2023</t>
  </si>
  <si>
    <t>A2/1/23/103</t>
  </si>
  <si>
    <t>21.12.2037</t>
  </si>
  <si>
    <t>23.12.2022</t>
  </si>
  <si>
    <t>P-389/2022</t>
  </si>
  <si>
    <t>A2/1/22/582</t>
  </si>
  <si>
    <t>ERAF projekta (Nr.5.1.1.0/17/I/009) “Novērst plūdu un krasta erozijas risku apdraudējumu Ādažu novadā, 1. daļa” īstenošanai</t>
  </si>
  <si>
    <t>22.11.2032</t>
  </si>
  <si>
    <t>29.11.2022</t>
  </si>
  <si>
    <t>P-361/2022</t>
  </si>
  <si>
    <t>A2/1/22/538</t>
  </si>
  <si>
    <t>Carnikavas stadiona rekonstrukcija (Covid19)</t>
  </si>
  <si>
    <t>20.11.2037</t>
  </si>
  <si>
    <t>P-363/2022</t>
  </si>
  <si>
    <t>A2/1/22/536</t>
  </si>
  <si>
    <t>Carnikavas stadiona rekonstrukcija (Prioritārais)</t>
  </si>
  <si>
    <t>08.08.2024</t>
  </si>
  <si>
    <t>20.07.2029</t>
  </si>
  <si>
    <t>08.08.2022</t>
  </si>
  <si>
    <t>P-175/2022</t>
  </si>
  <si>
    <t>A2/1/22/265</t>
  </si>
  <si>
    <t>Aizvēju ielas Garciemā, dubultā virsmas apstrāde (2.daļa)</t>
  </si>
  <si>
    <t>03.08.2024</t>
  </si>
  <si>
    <t>20.07.2032</t>
  </si>
  <si>
    <t>03.08.2022</t>
  </si>
  <si>
    <t>P-164/2022</t>
  </si>
  <si>
    <t>A2/1/22/250</t>
  </si>
  <si>
    <t>Skolas siltināšana un stadiona rekonstrukcija</t>
  </si>
  <si>
    <t>20.07.2024</t>
  </si>
  <si>
    <t>20.07.2027</t>
  </si>
  <si>
    <t>20.07.2022</t>
  </si>
  <si>
    <t>P-160/2022</t>
  </si>
  <si>
    <t>A2/1/22/239</t>
  </si>
  <si>
    <t>Skolas ielas projektēšana izbūve - 3.kārta</t>
  </si>
  <si>
    <t>04.07.2024</t>
  </si>
  <si>
    <t>21.06.2027</t>
  </si>
  <si>
    <t>04.07.2022</t>
  </si>
  <si>
    <t>P-112/2022</t>
  </si>
  <si>
    <t>A2/1/22/165</t>
  </si>
  <si>
    <t>Gaujas ielas gājēju celiņa izbūve</t>
  </si>
  <si>
    <t>31.05.2024</t>
  </si>
  <si>
    <t>20.05.2037</t>
  </si>
  <si>
    <t>31.05.2022</t>
  </si>
  <si>
    <t>P-70/2022</t>
  </si>
  <si>
    <t>A2/1/22/123</t>
  </si>
  <si>
    <t>SAM 5.1.1. Pretplūdu pasākumi Ādažu centra polderī</t>
  </si>
  <si>
    <t>22.01.2029</t>
  </si>
  <si>
    <t>02.02.2022</t>
  </si>
  <si>
    <t>P-8/2022</t>
  </si>
  <si>
    <t>A2/1/22/16</t>
  </si>
  <si>
    <t>Aizvēju ielas Garciemā, dubultā virsmas apstrāde (1.daļa)</t>
  </si>
  <si>
    <t>20.01.2037</t>
  </si>
  <si>
    <t>P-7/2022</t>
  </si>
  <si>
    <t>A2/1/22/15</t>
  </si>
  <si>
    <t>23.12.2023</t>
  </si>
  <si>
    <t>21.12.2026</t>
  </si>
  <si>
    <t>23.12.2021</t>
  </si>
  <si>
    <t>P-583/2021</t>
  </si>
  <si>
    <t>A2/1/21/776</t>
  </si>
  <si>
    <t>Carnikavas pamatskolas infrastruktūras uzlabošana un mācību vides labiekārtošana</t>
  </si>
  <si>
    <t>02.12.2023</t>
  </si>
  <si>
    <t>20.11.2031</t>
  </si>
  <si>
    <t>02.12.2021</t>
  </si>
  <si>
    <t>P-558/2021</t>
  </si>
  <si>
    <t>A2/1/21/727</t>
  </si>
  <si>
    <t>Ķiršu ielas rekonstrukcija</t>
  </si>
  <si>
    <t>P-557/2021</t>
  </si>
  <si>
    <t>A2/1/21/728</t>
  </si>
  <si>
    <t>Mežaparka ceļa pārbūve</t>
  </si>
  <si>
    <t>20.11.2040</t>
  </si>
  <si>
    <t>P-556/2021</t>
  </si>
  <si>
    <t>A2/1/21/729</t>
  </si>
  <si>
    <t>21.09.2026</t>
  </si>
  <si>
    <t>14.10.2021</t>
  </si>
  <si>
    <t>P-481/2021</t>
  </si>
  <si>
    <t>A2/1/21/632</t>
  </si>
  <si>
    <t>Pirmās ielas stāvlaukums pie ĀPII</t>
  </si>
  <si>
    <t>27.05.2024</t>
  </si>
  <si>
    <t>20.05.2041</t>
  </si>
  <si>
    <t>27.05.2021</t>
  </si>
  <si>
    <t>P-164/2021</t>
  </si>
  <si>
    <t>A2/1/21/231</t>
  </si>
  <si>
    <t>Autostāvvietas izbūve Karlsona parkā, Garciemā, Carnikavas novadā</t>
  </si>
  <si>
    <t>P-163/2021</t>
  </si>
  <si>
    <t>A2/1/21/232</t>
  </si>
  <si>
    <t>Lielās ielas pārbūve</t>
  </si>
  <si>
    <t>30.04.2024</t>
  </si>
  <si>
    <t>20.04.2051</t>
  </si>
  <si>
    <t>30.04.2021</t>
  </si>
  <si>
    <t>P-89/2021</t>
  </si>
  <si>
    <t>A2/1/21/169</t>
  </si>
  <si>
    <t>Stacijas ielas pārbūve</t>
  </si>
  <si>
    <t>26.04.2021</t>
  </si>
  <si>
    <t>PP-14/2021</t>
  </si>
  <si>
    <t>A2/1/21/139</t>
  </si>
  <si>
    <t>Investīciju projektu īstenošanai (saistību pārjaunojums)</t>
  </si>
  <si>
    <t>08.04.2024</t>
  </si>
  <si>
    <t>20.03.2051</t>
  </si>
  <si>
    <t>08.04.2021</t>
  </si>
  <si>
    <t>P-69/2021</t>
  </si>
  <si>
    <t>A2/1/21/120</t>
  </si>
  <si>
    <t>PII Piejūra būvniecības pabeigšana</t>
  </si>
  <si>
    <t>20.03.2024</t>
  </si>
  <si>
    <t>25.03.2021</t>
  </si>
  <si>
    <t>P-43/2021</t>
  </si>
  <si>
    <t>A2/1/21/96</t>
  </si>
  <si>
    <t>Budžeta un finanšu vadībai (Aprīkojums PII Piejūra)</t>
  </si>
  <si>
    <t>24.02.2024</t>
  </si>
  <si>
    <t>20.02.2051</t>
  </si>
  <si>
    <t>24.02.2021</t>
  </si>
  <si>
    <t>P-10/2021</t>
  </si>
  <si>
    <t>A2/1/21/41</t>
  </si>
  <si>
    <t>Prioritārais projekts "PII "Piejūra" būvniecība"</t>
  </si>
  <si>
    <t>20.01.2031</t>
  </si>
  <si>
    <t>26.01.2021</t>
  </si>
  <si>
    <t>P-3/2021</t>
  </si>
  <si>
    <t>A2/1/21/11</t>
  </si>
  <si>
    <t>LAD  projekts koka laipu taka uz jūru</t>
  </si>
  <si>
    <t>26.01.2024</t>
  </si>
  <si>
    <t>20.01.2051</t>
  </si>
  <si>
    <t>P-4/2021</t>
  </si>
  <si>
    <t>A2/1/21/10</t>
  </si>
  <si>
    <t>ERAF "Carnikavas pamatskolas pārbūve"</t>
  </si>
  <si>
    <t>22.09.2025</t>
  </si>
  <si>
    <t>14.10.2020</t>
  </si>
  <si>
    <t>P-393/2020</t>
  </si>
  <si>
    <t>A2/1/20/745</t>
  </si>
  <si>
    <t xml:space="preserve"> Bukultu ielas rekonstrukcija</t>
  </si>
  <si>
    <t>P-392/2020</t>
  </si>
  <si>
    <t>A2/1/20/746</t>
  </si>
  <si>
    <t>Priežu ielas rekonstrukcija</t>
  </si>
  <si>
    <t>01.10.2023</t>
  </si>
  <si>
    <t>20.09.2040</t>
  </si>
  <si>
    <t>01.10.2020</t>
  </si>
  <si>
    <t>P-338/2020</t>
  </si>
  <si>
    <t>A2/1/20/676</t>
  </si>
  <si>
    <t>Carnikavas novada pašvaldības transporta infrstruktūras attīstība</t>
  </si>
  <si>
    <t>20.09.2050</t>
  </si>
  <si>
    <t>P-339/2020</t>
  </si>
  <si>
    <t>A2/1/20/675</t>
  </si>
  <si>
    <t>KF projekts "Ūdenssaimniecības pakalpojumu attīstība Carnikavā III kārta"</t>
  </si>
  <si>
    <t>08.07.2024</t>
  </si>
  <si>
    <t>20.06.2035</t>
  </si>
  <si>
    <t>08.07.2020</t>
  </si>
  <si>
    <t>P-177/2020</t>
  </si>
  <si>
    <t>A2/1/20/411</t>
  </si>
  <si>
    <t>Ataru ceļa rekonstrukcija</t>
  </si>
  <si>
    <t>29.04.2024</t>
  </si>
  <si>
    <t>20.04.2048</t>
  </si>
  <si>
    <t>29.04.2020</t>
  </si>
  <si>
    <t>P-119/2020</t>
  </si>
  <si>
    <t>A2/1/20/158</t>
  </si>
  <si>
    <t>Jaunās skolas būvniecība (3. kārta)</t>
  </si>
  <si>
    <t>06.12.2023</t>
  </si>
  <si>
    <t>21.11.2039</t>
  </si>
  <si>
    <t>11.12.2019</t>
  </si>
  <si>
    <t>P-292/2019</t>
  </si>
  <si>
    <t>A2/1/19/460</t>
  </si>
  <si>
    <t>SAM 5.5.1. Kultūras objektu būvniecība</t>
  </si>
  <si>
    <t>08.10.2023</t>
  </si>
  <si>
    <t>20.09.2034</t>
  </si>
  <si>
    <t>09.10.2019</t>
  </si>
  <si>
    <t>P-236/2019</t>
  </si>
  <si>
    <t>A2/1/19/370</t>
  </si>
  <si>
    <t>SAM 4.2.2. ĀPII remontdarbi</t>
  </si>
  <si>
    <t>06.06.2024</t>
  </si>
  <si>
    <t>20.05.2049</t>
  </si>
  <si>
    <t>13.06.2019</t>
  </si>
  <si>
    <t>P-150/2019</t>
  </si>
  <si>
    <t>A2/1/19/225</t>
  </si>
  <si>
    <t>ERAF projekta SAM 3.3.1. Uzņēmējdarbības attīstībai nepieciešamās infrastruktūras attīstībai Carnikavas novada Garciemā" īstenošanai</t>
  </si>
  <si>
    <t>06.03.2024</t>
  </si>
  <si>
    <t>20.02.2029</t>
  </si>
  <si>
    <t>06.03.2019</t>
  </si>
  <si>
    <t>P-31/2019</t>
  </si>
  <si>
    <t>A2/1/19/57</t>
  </si>
  <si>
    <t>ELFLA Eimuru - Mangaļu poldera meliorācijas grāvju atjaunošana Carnikavas novadā</t>
  </si>
  <si>
    <t>26.02.2024</t>
  </si>
  <si>
    <t>20.09.2035</t>
  </si>
  <si>
    <t>05.03.2019</t>
  </si>
  <si>
    <t>PP-5/2019</t>
  </si>
  <si>
    <t>A2/1/19/50</t>
  </si>
  <si>
    <t>Pārjaunojuma līgums visiem līgumiem līdz 2015.gadam</t>
  </si>
  <si>
    <t>14.11.2023</t>
  </si>
  <si>
    <t>22.11.2038</t>
  </si>
  <si>
    <t>21.11.2018</t>
  </si>
  <si>
    <t>P-666/2018</t>
  </si>
  <si>
    <t>A2/1/18/818</t>
  </si>
  <si>
    <t xml:space="preserve">Prioritārais projekts Dambja būvniecība Valteru ielā </t>
  </si>
  <si>
    <t>08.11.2023</t>
  </si>
  <si>
    <t>20.10.2038</t>
  </si>
  <si>
    <t>12.11.2018</t>
  </si>
  <si>
    <t>P-643/2018</t>
  </si>
  <si>
    <t>A2/1/18/777</t>
  </si>
  <si>
    <t>Ceļu, ielu infrastruktūras programma 4.kārta</t>
  </si>
  <si>
    <t>03.10.2023</t>
  </si>
  <si>
    <t>20.09.2028</t>
  </si>
  <si>
    <t>10.10.2018</t>
  </si>
  <si>
    <t>P-580/2018</t>
  </si>
  <si>
    <t>A2/1/18/711</t>
  </si>
  <si>
    <t>Muižas ielas rekonstrukcijai</t>
  </si>
  <si>
    <t>12.09.2024</t>
  </si>
  <si>
    <t>20.09.2033</t>
  </si>
  <si>
    <t>12.09.2018</t>
  </si>
  <si>
    <t>P-538/2018</t>
  </si>
  <si>
    <t>A2/1/18/644</t>
  </si>
  <si>
    <t>Attekas ielas rekonstrukcija</t>
  </si>
  <si>
    <t>11.09.2024</t>
  </si>
  <si>
    <t>20.08.2038</t>
  </si>
  <si>
    <t>P-537/2018</t>
  </si>
  <si>
    <t>A2/1/18/643</t>
  </si>
  <si>
    <t>Ceļu, ielu infrastruktūras programma (3.kārta)</t>
  </si>
  <si>
    <t>30.08.2024</t>
  </si>
  <si>
    <t>04.09.2018</t>
  </si>
  <si>
    <t>P-500/2018</t>
  </si>
  <si>
    <t>A2/1/18/611</t>
  </si>
  <si>
    <t>Ceļu, ielu infrastruktūras programma (2.kārta)</t>
  </si>
  <si>
    <t>01.08.2024</t>
  </si>
  <si>
    <t>20.07.2048</t>
  </si>
  <si>
    <t>03.08.2018</t>
  </si>
  <si>
    <t>P-436/2018</t>
  </si>
  <si>
    <t>A2/1/18/528</t>
  </si>
  <si>
    <t>Izglītības iestāžu investīciju projekts - Carnikavas izglītības iestādes būvniecība no moduļiem</t>
  </si>
  <si>
    <t>P-435/2018</t>
  </si>
  <si>
    <t>A2/1/18/529</t>
  </si>
  <si>
    <t>Izglītības iestāžu investīciju projekts - Piejūras PII būvniecība</t>
  </si>
  <si>
    <t>11.07.2024</t>
  </si>
  <si>
    <t>20.06.2028</t>
  </si>
  <si>
    <t>12.07.2018</t>
  </si>
  <si>
    <t>P-374/2018</t>
  </si>
  <si>
    <t>A2/1/18/452</t>
  </si>
  <si>
    <t>Prioritāro projektu īstenošana: bērnu rotaļu laukumi Carnikavas novadā</t>
  </si>
  <si>
    <t>24.05.2024</t>
  </si>
  <si>
    <t>20.05.2038</t>
  </si>
  <si>
    <t>28.05.2018</t>
  </si>
  <si>
    <t>P-202/2018</t>
  </si>
  <si>
    <t>A2/1/18/254</t>
  </si>
  <si>
    <t>ERAF projekts Natura 2000 Atpūtas taka Carnikavā</t>
  </si>
  <si>
    <t>20.05.2033</t>
  </si>
  <si>
    <t>P-203/2018</t>
  </si>
  <si>
    <t>A2/1/18/255</t>
  </si>
  <si>
    <t>ES Interreg Igaunijas - Latvijas projekts "Hiking Route Along the Baltic Sea Coastline in Latvia-Estonia"</t>
  </si>
  <si>
    <t>20.05.2025</t>
  </si>
  <si>
    <t>P-200/2018</t>
  </si>
  <si>
    <t>A2/1/18/252</t>
  </si>
  <si>
    <t xml:space="preserve">Komunālās saimniecības investīcijas transportam </t>
  </si>
  <si>
    <t>P-205/2018</t>
  </si>
  <si>
    <t>A2/1/18/251</t>
  </si>
  <si>
    <t>Ceļu, ielu infrastruktūras programma (1.kārta)</t>
  </si>
  <si>
    <t>30.01.2024</t>
  </si>
  <si>
    <t>22.03.2038</t>
  </si>
  <si>
    <t>05.04.2018</t>
  </si>
  <si>
    <t>P-109/2018</t>
  </si>
  <si>
    <t>A2/1/18/139</t>
  </si>
  <si>
    <t xml:space="preserve">ELFLA projekts pievadceļu attīstība lauksaimniecības uzņēmumiem </t>
  </si>
  <si>
    <t>29.03.2024</t>
  </si>
  <si>
    <t>22.06.2048</t>
  </si>
  <si>
    <t>03.04.2018</t>
  </si>
  <si>
    <t>P-94/2018</t>
  </si>
  <si>
    <t>A2/1/18/123</t>
  </si>
  <si>
    <t>Jaunās skolas būvniecība (1.-2. kārta)</t>
  </si>
  <si>
    <t>18.08.2024</t>
  </si>
  <si>
    <t>20.08.2032</t>
  </si>
  <si>
    <t>21.08.2017</t>
  </si>
  <si>
    <t>P-450/2017</t>
  </si>
  <si>
    <t>A2/1/17/596</t>
  </si>
  <si>
    <t>Gaujas ielas rekonstrukcija (4.kārta)</t>
  </si>
  <si>
    <t>18.05.2024</t>
  </si>
  <si>
    <t>20.05.2032</t>
  </si>
  <si>
    <t>19.05.2017</t>
  </si>
  <si>
    <t>P-196/2017</t>
  </si>
  <si>
    <t>A2/1/17/301</t>
  </si>
  <si>
    <t>Gaujas ielas rekonstrukcija (1.-3.kārta)</t>
  </si>
  <si>
    <t>22.11.2023</t>
  </si>
  <si>
    <t>27.11.2023</t>
  </si>
  <si>
    <t>26.11.2013</t>
  </si>
  <si>
    <t>P-441/2013</t>
  </si>
  <si>
    <t>A2/1/13/1000</t>
  </si>
  <si>
    <t>Stabilizācijas aizdevums (2.kārta 2.posms)</t>
  </si>
  <si>
    <t>06.07.2024</t>
  </si>
  <si>
    <t>25.03.2032</t>
  </si>
  <si>
    <t>11.07.2012</t>
  </si>
  <si>
    <t>P-219/2012</t>
  </si>
  <si>
    <t>A2/1/12/328</t>
  </si>
  <si>
    <t>Stabilizācijas aizdevums (2.kārta 1.posms)</t>
  </si>
  <si>
    <t>22.09.2023</t>
  </si>
  <si>
    <t>22.12.2031</t>
  </si>
  <si>
    <t>22.09.2011</t>
  </si>
  <si>
    <t>P-350/2011</t>
  </si>
  <si>
    <t>A2/1/11/549</t>
  </si>
  <si>
    <t>Stabilizācijas aizdevums (1.kārtas 3.posms)</t>
  </si>
  <si>
    <t>12.04.2024</t>
  </si>
  <si>
    <t>20.04.2036</t>
  </si>
  <si>
    <t>11.04.2011</t>
  </si>
  <si>
    <t>P-50/2011</t>
  </si>
  <si>
    <t>A2/1/11/107</t>
  </si>
  <si>
    <t>Stabilizācijas aizdevums (1.kārtas 2.posms)</t>
  </si>
  <si>
    <t>2023 atlikušais maksājums</t>
  </si>
  <si>
    <t>2023 faktiski samaksāts</t>
  </si>
  <si>
    <t>Trančes numurs</t>
  </si>
  <si>
    <t>Aizņēmuma līgums</t>
  </si>
  <si>
    <t>Nosaukums</t>
  </si>
  <si>
    <t>A/C</t>
  </si>
  <si>
    <t>Aizņēmumu pamatsummu un procentu atmaksa faktiskajiem un plānotajiem aizņēmumiem.</t>
  </si>
  <si>
    <t>Te jāieliek pilnais gads, šobrīd ir tikai atlikušais!</t>
  </si>
  <si>
    <t>Ādažu novada pašvaldības aizņēmumu un citu ilgtermiņa saistību pārskats</t>
  </si>
  <si>
    <t>A2/1/23/429</t>
  </si>
  <si>
    <t>P-344/2023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</si>
</sst>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0\ _€_-;\-* #,##0.00\ _€_-;_-* &quot;-&quot;??\ _€_-;_-@_-"/>
    <numFmt numFmtId="167" formatCode="_-* #,##0.000_-;\-* #,##0.000_-;_-* &quot;-&quot;??_-;_-@_-"/>
  </numFmts>
  <fonts count="42"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FF0000"/>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theme="8" tint="-0.249977111117893"/>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sz val="9"/>
      <name val="Times New Roman"/>
      <family val="1"/>
      <charset val="186"/>
    </font>
    <font>
      <b/>
      <sz val="10"/>
      <name val="Times New Roman"/>
      <family val="1"/>
      <charset val="186"/>
    </font>
    <font>
      <b/>
      <sz val="14"/>
      <color theme="1"/>
      <name val="Times New Roman"/>
      <family val="1"/>
      <charset val="186"/>
    </font>
    <font>
      <b/>
      <sz val="12"/>
      <name val="Times New Roman"/>
      <family val="1"/>
      <charset val="186"/>
    </font>
    <font>
      <b/>
      <sz val="11"/>
      <color indexed="8"/>
      <name val="Times New Roman"/>
      <family val="1"/>
      <charset val="186"/>
    </font>
    <font>
      <b/>
      <sz val="11"/>
      <color theme="6" tint="-0.249977111117893"/>
      <name val="Times New Roman"/>
      <family val="1"/>
      <charset val="186"/>
    </font>
    <font>
      <b/>
      <sz val="10"/>
      <color theme="6" tint="-0.249977111117893"/>
      <name val="Times New Roman"/>
      <family val="1"/>
      <charset val="186"/>
    </font>
    <font>
      <sz val="10"/>
      <color theme="6" tint="-0.249977111117893"/>
      <name val="Times New Roman"/>
      <family val="1"/>
      <charset val="186"/>
    </font>
    <font>
      <b/>
      <sz val="11"/>
      <color theme="8" tint="-0.249977111117893"/>
      <name val="Times New Roman"/>
      <family val="1"/>
      <charset val="186"/>
    </font>
    <font>
      <sz val="10"/>
      <color theme="8" tint="-0.249977111117893"/>
      <name val="Times New Roman"/>
      <family val="1"/>
      <charset val="186"/>
    </font>
    <font>
      <b/>
      <sz val="10"/>
      <color theme="8" tint="-0.249977111117893"/>
      <name val="Times New Roman"/>
      <family val="1"/>
      <charset val="186"/>
    </font>
    <font>
      <sz val="10"/>
      <color rgb="FFFF0000"/>
      <name val="Times New Roman"/>
      <family val="1"/>
      <charset val="186"/>
    </font>
    <font>
      <sz val="11"/>
      <color theme="4"/>
      <name val="Times New Roman"/>
      <family val="1"/>
      <charset val="186"/>
    </font>
    <font>
      <sz val="10"/>
      <color theme="4"/>
      <name val="Times New Roman"/>
      <family val="1"/>
      <charset val="186"/>
    </font>
    <font>
      <b/>
      <sz val="10"/>
      <color theme="4"/>
      <name val="Times New Roman"/>
      <family val="1"/>
      <charset val="186"/>
    </font>
    <font>
      <b/>
      <sz val="11"/>
      <color theme="4"/>
      <name val="Times New Roman"/>
      <family val="1"/>
      <charset val="186"/>
    </font>
  </fonts>
  <fills count="25">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rgb="FFFFFFCC"/>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66"/>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indexed="64"/>
      </bottom>
      <diagonal/>
    </border>
    <border>
      <left/>
      <right/>
      <top style="thin">
        <color indexed="64"/>
      </top>
      <bottom/>
      <diagonal/>
    </border>
  </borders>
  <cellStyleXfs count="14">
    <xf numFmtId="0" fontId="0" fillId="0" borderId="0"/>
    <xf numFmtId="43" fontId="5" fillId="0" borderId="0" applyFont="0" applyFill="0" applyBorder="0" applyAlignment="0" applyProtection="0"/>
    <xf numFmtId="0" fontId="2" fillId="0" borderId="0"/>
    <xf numFmtId="0" fontId="2" fillId="0" borderId="0"/>
    <xf numFmtId="9" fontId="6" fillId="0" borderId="0" applyFont="0" applyFill="0" applyBorder="0" applyAlignment="0" applyProtection="0"/>
    <xf numFmtId="43" fontId="6" fillId="0" borderId="0" applyFont="0" applyFill="0" applyBorder="0" applyAlignment="0" applyProtection="0"/>
    <xf numFmtId="0" fontId="13" fillId="0" borderId="0" applyNumberFormat="0" applyFill="0" applyBorder="0" applyAlignment="0" applyProtection="0"/>
    <xf numFmtId="0" fontId="14" fillId="0" borderId="0"/>
    <xf numFmtId="9" fontId="6" fillId="0" borderId="0" applyFont="0" applyFill="0" applyBorder="0" applyAlignment="0" applyProtection="0"/>
    <xf numFmtId="0" fontId="6" fillId="0" borderId="0"/>
    <xf numFmtId="43" fontId="14" fillId="0" borderId="0" applyFill="0" applyBorder="0" applyAlignment="0" applyProtection="0"/>
    <xf numFmtId="9" fontId="6" fillId="0" borderId="0" applyFont="0" applyFill="0" applyBorder="0" applyAlignment="0" applyProtection="0"/>
    <xf numFmtId="0" fontId="14" fillId="0" borderId="0"/>
    <xf numFmtId="0" fontId="1" fillId="0" borderId="0"/>
  </cellStyleXfs>
  <cellXfs count="366">
    <xf numFmtId="0" fontId="0" fillId="0" borderId="0" xfId="0"/>
    <xf numFmtId="0" fontId="3" fillId="0" borderId="0" xfId="2" applyFont="1"/>
    <xf numFmtId="0" fontId="4" fillId="0" borderId="0" xfId="3" applyFont="1"/>
    <xf numFmtId="0" fontId="3" fillId="0" borderId="0" xfId="2" applyFont="1" applyAlignment="1">
      <alignment wrapText="1"/>
    </xf>
    <xf numFmtId="3" fontId="3" fillId="0" borderId="0" xfId="2" applyNumberFormat="1" applyFont="1"/>
    <xf numFmtId="164" fontId="3" fillId="0" borderId="0" xfId="1" applyNumberFormat="1" applyFont="1" applyAlignment="1">
      <alignment wrapText="1"/>
    </xf>
    <xf numFmtId="9" fontId="3" fillId="0" borderId="0" xfId="4" applyFont="1" applyAlignment="1">
      <alignment wrapText="1"/>
    </xf>
    <xf numFmtId="164" fontId="3" fillId="0" borderId="0" xfId="1" applyNumberFormat="1" applyFont="1"/>
    <xf numFmtId="1" fontId="3" fillId="0" borderId="0" xfId="4" applyNumberFormat="1" applyFont="1" applyFill="1"/>
    <xf numFmtId="43" fontId="3" fillId="0" borderId="0" xfId="1" applyFont="1"/>
    <xf numFmtId="3" fontId="7" fillId="0" borderId="0" xfId="2" applyNumberFormat="1" applyFont="1"/>
    <xf numFmtId="164" fontId="10" fillId="0" borderId="0" xfId="5" applyNumberFormat="1" applyFont="1"/>
    <xf numFmtId="164" fontId="10" fillId="0" borderId="0" xfId="1" applyNumberFormat="1" applyFont="1"/>
    <xf numFmtId="9" fontId="3" fillId="0" borderId="0" xfId="4" applyFont="1"/>
    <xf numFmtId="0" fontId="13" fillId="0" borderId="0" xfId="6"/>
    <xf numFmtId="0" fontId="10" fillId="0" borderId="1" xfId="2" applyFont="1" applyBorder="1" applyAlignment="1">
      <alignment horizontal="center" vertical="center"/>
    </xf>
    <xf numFmtId="0" fontId="10" fillId="0" borderId="2" xfId="2" applyFont="1" applyBorder="1" applyAlignment="1">
      <alignment horizontal="center" vertical="center" wrapText="1"/>
    </xf>
    <xf numFmtId="0" fontId="10" fillId="0" borderId="3" xfId="7" applyFont="1" applyBorder="1" applyAlignment="1">
      <alignment horizontal="center" vertical="center" wrapText="1"/>
    </xf>
    <xf numFmtId="164" fontId="10" fillId="0" borderId="3" xfId="1" applyNumberFormat="1" applyFont="1" applyBorder="1" applyAlignment="1">
      <alignment horizontal="center" vertical="center" wrapText="1"/>
    </xf>
    <xf numFmtId="9" fontId="10" fillId="0" borderId="3" xfId="4" applyFont="1" applyBorder="1" applyAlignment="1">
      <alignment horizontal="center" vertical="center" wrapText="1"/>
    </xf>
    <xf numFmtId="0" fontId="10" fillId="2" borderId="4" xfId="2" applyFont="1" applyFill="1" applyBorder="1"/>
    <xf numFmtId="0" fontId="10" fillId="2" borderId="5" xfId="2" applyFont="1" applyFill="1" applyBorder="1" applyAlignment="1">
      <alignment wrapText="1"/>
    </xf>
    <xf numFmtId="164" fontId="10" fillId="2" borderId="6" xfId="1" applyNumberFormat="1" applyFont="1" applyFill="1" applyBorder="1"/>
    <xf numFmtId="3" fontId="10" fillId="2" borderId="6" xfId="2" applyNumberFormat="1" applyFont="1" applyFill="1" applyBorder="1"/>
    <xf numFmtId="9" fontId="3" fillId="2" borderId="6" xfId="4" applyFont="1" applyFill="1" applyBorder="1" applyAlignment="1">
      <alignment wrapText="1"/>
    </xf>
    <xf numFmtId="0" fontId="10" fillId="3" borderId="4" xfId="2" quotePrefix="1" applyFont="1" applyFill="1" applyBorder="1"/>
    <xf numFmtId="0" fontId="10" fillId="3" borderId="5" xfId="2" applyFont="1" applyFill="1" applyBorder="1" applyAlignment="1">
      <alignment wrapText="1"/>
    </xf>
    <xf numFmtId="3" fontId="10" fillId="3" borderId="6" xfId="2" applyNumberFormat="1" applyFont="1" applyFill="1" applyBorder="1"/>
    <xf numFmtId="164" fontId="10" fillId="3" borderId="6" xfId="1" applyNumberFormat="1" applyFont="1" applyFill="1" applyBorder="1"/>
    <xf numFmtId="9" fontId="10" fillId="3" borderId="6" xfId="4" applyFont="1" applyFill="1" applyBorder="1"/>
    <xf numFmtId="0" fontId="15" fillId="0" borderId="0" xfId="2" applyFont="1"/>
    <xf numFmtId="0" fontId="3" fillId="0" borderId="7" xfId="2" applyFont="1" applyBorder="1" applyAlignment="1">
      <alignment horizontal="left" indent="1"/>
    </xf>
    <xf numFmtId="0" fontId="3" fillId="0" borderId="8" xfId="2" applyFont="1" applyBorder="1" applyAlignment="1">
      <alignment horizontal="left" wrapText="1" indent="2"/>
    </xf>
    <xf numFmtId="3" fontId="3" fillId="0" borderId="9" xfId="2" applyNumberFormat="1" applyFont="1" applyBorder="1"/>
    <xf numFmtId="164" fontId="3" fillId="0" borderId="9" xfId="1" applyNumberFormat="1" applyFont="1" applyBorder="1"/>
    <xf numFmtId="9" fontId="3" fillId="0" borderId="9" xfId="4" applyFont="1" applyFill="1" applyBorder="1"/>
    <xf numFmtId="3" fontId="8" fillId="0" borderId="9" xfId="2" applyNumberFormat="1" applyFont="1" applyBorder="1"/>
    <xf numFmtId="0" fontId="10" fillId="3" borderId="7" xfId="2" applyFont="1" applyFill="1" applyBorder="1"/>
    <xf numFmtId="0" fontId="10" fillId="3" borderId="8" xfId="2" applyFont="1" applyFill="1" applyBorder="1" applyAlignment="1">
      <alignment wrapText="1"/>
    </xf>
    <xf numFmtId="3" fontId="10" fillId="3" borderId="9" xfId="2" applyNumberFormat="1" applyFont="1" applyFill="1" applyBorder="1"/>
    <xf numFmtId="164" fontId="10" fillId="3" borderId="9" xfId="1" applyNumberFormat="1" applyFont="1" applyFill="1" applyBorder="1"/>
    <xf numFmtId="9" fontId="10" fillId="3" borderId="9" xfId="4" applyFont="1" applyFill="1" applyBorder="1"/>
    <xf numFmtId="9" fontId="3" fillId="0" borderId="9" xfId="4" applyFont="1" applyBorder="1"/>
    <xf numFmtId="9" fontId="3" fillId="0" borderId="10" xfId="4" applyFont="1" applyFill="1" applyBorder="1"/>
    <xf numFmtId="0" fontId="2" fillId="0" borderId="0" xfId="2"/>
    <xf numFmtId="9" fontId="3" fillId="0" borderId="10" xfId="4" applyFont="1" applyFill="1" applyBorder="1" applyAlignment="1">
      <alignment wrapText="1"/>
    </xf>
    <xf numFmtId="0" fontId="16" fillId="0" borderId="7" xfId="2" applyFont="1" applyBorder="1" applyAlignment="1">
      <alignment horizontal="left" indent="2"/>
    </xf>
    <xf numFmtId="0" fontId="16" fillId="0" borderId="8" xfId="2" applyFont="1" applyBorder="1" applyAlignment="1">
      <alignment horizontal="left" wrapText="1" indent="3"/>
    </xf>
    <xf numFmtId="0" fontId="15" fillId="0" borderId="0" xfId="2" quotePrefix="1" applyFont="1"/>
    <xf numFmtId="9" fontId="3" fillId="3" borderId="9" xfId="4" applyFont="1" applyFill="1" applyBorder="1" applyAlignment="1">
      <alignment wrapText="1"/>
    </xf>
    <xf numFmtId="0" fontId="3" fillId="5" borderId="8" xfId="2" applyFont="1" applyFill="1" applyBorder="1" applyAlignment="1">
      <alignment horizontal="left" wrapText="1" indent="2"/>
    </xf>
    <xf numFmtId="9" fontId="3" fillId="0" borderId="9" xfId="4" applyFont="1" applyFill="1" applyBorder="1" applyAlignment="1">
      <alignment wrapText="1"/>
    </xf>
    <xf numFmtId="9" fontId="8" fillId="0" borderId="9" xfId="4" applyFont="1" applyFill="1" applyBorder="1" applyAlignment="1">
      <alignment wrapText="1"/>
    </xf>
    <xf numFmtId="0" fontId="10" fillId="3" borderId="7" xfId="2" quotePrefix="1" applyFont="1" applyFill="1" applyBorder="1"/>
    <xf numFmtId="0" fontId="3" fillId="2" borderId="7" xfId="2" applyFont="1" applyFill="1" applyBorder="1" applyAlignment="1">
      <alignment horizontal="left" indent="1"/>
    </xf>
    <xf numFmtId="0" fontId="3" fillId="2" borderId="8" xfId="2" applyFont="1" applyFill="1" applyBorder="1" applyAlignment="1">
      <alignment horizontal="left" wrapText="1" indent="2"/>
    </xf>
    <xf numFmtId="3" fontId="3" fillId="2" borderId="9" xfId="2" applyNumberFormat="1" applyFont="1" applyFill="1" applyBorder="1"/>
    <xf numFmtId="3" fontId="3" fillId="6" borderId="9" xfId="2" applyNumberFormat="1" applyFont="1" applyFill="1" applyBorder="1"/>
    <xf numFmtId="164" fontId="3" fillId="6" borderId="9" xfId="1" applyNumberFormat="1" applyFont="1" applyFill="1" applyBorder="1"/>
    <xf numFmtId="3" fontId="3" fillId="6" borderId="9" xfId="2" applyNumberFormat="1" applyFont="1" applyFill="1" applyBorder="1" applyAlignment="1">
      <alignment wrapText="1"/>
    </xf>
    <xf numFmtId="3" fontId="16" fillId="7" borderId="9" xfId="2" applyNumberFormat="1" applyFont="1" applyFill="1" applyBorder="1"/>
    <xf numFmtId="164" fontId="16" fillId="7" borderId="9" xfId="1" applyNumberFormat="1" applyFont="1" applyFill="1" applyBorder="1"/>
    <xf numFmtId="9" fontId="16" fillId="7" borderId="9" xfId="4" applyFont="1" applyFill="1" applyBorder="1" applyAlignment="1">
      <alignment wrapText="1"/>
    </xf>
    <xf numFmtId="0" fontId="16" fillId="0" borderId="0" xfId="2" applyFont="1"/>
    <xf numFmtId="3" fontId="16" fillId="8" borderId="9" xfId="2" applyNumberFormat="1" applyFont="1" applyFill="1" applyBorder="1"/>
    <xf numFmtId="9" fontId="16" fillId="8" borderId="9" xfId="4" applyFont="1" applyFill="1" applyBorder="1"/>
    <xf numFmtId="0" fontId="3" fillId="0" borderId="0" xfId="2" quotePrefix="1" applyFont="1"/>
    <xf numFmtId="0" fontId="3" fillId="9" borderId="8" xfId="2" applyFont="1" applyFill="1" applyBorder="1" applyAlignment="1">
      <alignment horizontal="left" wrapText="1" indent="2"/>
    </xf>
    <xf numFmtId="164" fontId="3" fillId="0" borderId="9" xfId="1" applyNumberFormat="1" applyFont="1" applyFill="1" applyBorder="1"/>
    <xf numFmtId="9" fontId="7" fillId="0" borderId="9" xfId="4" applyFont="1" applyFill="1" applyBorder="1" applyAlignment="1">
      <alignment wrapText="1"/>
    </xf>
    <xf numFmtId="3" fontId="3" fillId="10" borderId="9" xfId="2" applyNumberFormat="1" applyFont="1" applyFill="1" applyBorder="1"/>
    <xf numFmtId="164" fontId="3" fillId="2" borderId="9" xfId="1" applyNumberFormat="1" applyFont="1" applyFill="1" applyBorder="1"/>
    <xf numFmtId="9" fontId="3" fillId="2" borderId="9" xfId="4" applyFont="1" applyFill="1" applyBorder="1" applyAlignment="1">
      <alignment wrapText="1"/>
    </xf>
    <xf numFmtId="0" fontId="3" fillId="0" borderId="8" xfId="2" applyFont="1" applyBorder="1" applyAlignment="1">
      <alignment horizontal="left" wrapText="1" indent="3"/>
    </xf>
    <xf numFmtId="9" fontId="3" fillId="11" borderId="9" xfId="4" applyFont="1" applyFill="1" applyBorder="1" applyAlignment="1">
      <alignment wrapText="1"/>
    </xf>
    <xf numFmtId="0" fontId="7" fillId="0" borderId="0" xfId="2" quotePrefix="1" applyFont="1"/>
    <xf numFmtId="9" fontId="3" fillId="0" borderId="13" xfId="4" applyFont="1" applyFill="1" applyBorder="1"/>
    <xf numFmtId="0" fontId="3" fillId="0" borderId="0" xfId="2" quotePrefix="1" applyFont="1" applyAlignment="1">
      <alignment wrapText="1"/>
    </xf>
    <xf numFmtId="0" fontId="3" fillId="9" borderId="8" xfId="2" applyFont="1" applyFill="1" applyBorder="1" applyAlignment="1">
      <alignment horizontal="left" wrapText="1" indent="3"/>
    </xf>
    <xf numFmtId="3" fontId="3" fillId="12" borderId="9" xfId="2" applyNumberFormat="1" applyFont="1" applyFill="1" applyBorder="1"/>
    <xf numFmtId="3" fontId="3" fillId="13" borderId="9" xfId="2" applyNumberFormat="1" applyFont="1" applyFill="1" applyBorder="1"/>
    <xf numFmtId="0" fontId="2" fillId="10" borderId="0" xfId="2" applyFill="1"/>
    <xf numFmtId="0" fontId="3" fillId="0" borderId="5" xfId="2" applyFont="1" applyBorder="1" applyAlignment="1">
      <alignment horizontal="left" wrapText="1" indent="2"/>
    </xf>
    <xf numFmtId="0" fontId="3" fillId="5" borderId="7" xfId="2" applyFont="1" applyFill="1" applyBorder="1" applyAlignment="1">
      <alignment horizontal="left" indent="2"/>
    </xf>
    <xf numFmtId="0" fontId="3" fillId="5" borderId="8" xfId="2" applyFont="1" applyFill="1" applyBorder="1" applyAlignment="1">
      <alignment horizontal="left" wrapText="1" indent="3"/>
    </xf>
    <xf numFmtId="1" fontId="3" fillId="0" borderId="9" xfId="4" applyNumberFormat="1" applyFont="1" applyFill="1" applyBorder="1"/>
    <xf numFmtId="3" fontId="3" fillId="14" borderId="9" xfId="2" applyNumberFormat="1" applyFont="1" applyFill="1" applyBorder="1"/>
    <xf numFmtId="0" fontId="10" fillId="0" borderId="14" xfId="2" applyFont="1" applyBorder="1"/>
    <xf numFmtId="0" fontId="10" fillId="0" borderId="15" xfId="2" applyFont="1" applyBorder="1" applyAlignment="1">
      <alignment horizontal="right" wrapText="1"/>
    </xf>
    <xf numFmtId="3" fontId="10" fillId="0" borderId="3" xfId="2" applyNumberFormat="1" applyFont="1" applyBorder="1"/>
    <xf numFmtId="164" fontId="10" fillId="0" borderId="3" xfId="1" applyNumberFormat="1" applyFont="1" applyBorder="1"/>
    <xf numFmtId="9" fontId="10" fillId="0" borderId="3" xfId="4" applyFont="1" applyBorder="1"/>
    <xf numFmtId="0" fontId="10" fillId="0" borderId="16" xfId="2" quotePrefix="1" applyFont="1" applyBorder="1"/>
    <xf numFmtId="0" fontId="10" fillId="0" borderId="17" xfId="2" applyFont="1" applyBorder="1" applyAlignment="1">
      <alignment wrapText="1"/>
    </xf>
    <xf numFmtId="3" fontId="10" fillId="0" borderId="18" xfId="2" applyNumberFormat="1" applyFont="1" applyBorder="1"/>
    <xf numFmtId="164" fontId="10" fillId="0" borderId="18" xfId="1" applyNumberFormat="1" applyFont="1" applyBorder="1"/>
    <xf numFmtId="9" fontId="10" fillId="0" borderId="18" xfId="4" applyFont="1" applyFill="1" applyBorder="1"/>
    <xf numFmtId="0" fontId="10" fillId="3" borderId="19" xfId="2" applyFont="1" applyFill="1" applyBorder="1" applyAlignment="1">
      <alignment wrapText="1"/>
    </xf>
    <xf numFmtId="3" fontId="10" fillId="3" borderId="13" xfId="2" applyNumberFormat="1" applyFont="1" applyFill="1" applyBorder="1"/>
    <xf numFmtId="164" fontId="10" fillId="3" borderId="13" xfId="1" applyNumberFormat="1" applyFont="1" applyFill="1" applyBorder="1"/>
    <xf numFmtId="49" fontId="3" fillId="0" borderId="19" xfId="2" applyNumberFormat="1" applyFont="1" applyBorder="1" applyAlignment="1">
      <alignment horizontal="left" wrapText="1" indent="4"/>
    </xf>
    <xf numFmtId="3" fontId="3" fillId="0" borderId="13" xfId="2" applyNumberFormat="1" applyFont="1" applyBorder="1"/>
    <xf numFmtId="43" fontId="3" fillId="0" borderId="13" xfId="1" applyFont="1" applyBorder="1"/>
    <xf numFmtId="3" fontId="3" fillId="0" borderId="19" xfId="2" applyNumberFormat="1" applyFont="1" applyBorder="1"/>
    <xf numFmtId="49" fontId="3" fillId="4" borderId="19" xfId="2" applyNumberFormat="1" applyFont="1" applyFill="1" applyBorder="1" applyAlignment="1">
      <alignment horizontal="left" wrapText="1" indent="4"/>
    </xf>
    <xf numFmtId="164" fontId="3" fillId="0" borderId="13" xfId="1" applyNumberFormat="1" applyFont="1" applyBorder="1"/>
    <xf numFmtId="3" fontId="3" fillId="0" borderId="20" xfId="2" applyNumberFormat="1" applyFont="1" applyBorder="1"/>
    <xf numFmtId="9" fontId="3" fillId="0" borderId="21" xfId="4" applyFont="1" applyFill="1" applyBorder="1"/>
    <xf numFmtId="49" fontId="3" fillId="0" borderId="22" xfId="2" applyNumberFormat="1" applyFont="1" applyBorder="1" applyAlignment="1">
      <alignment horizontal="left" wrapText="1" indent="4"/>
    </xf>
    <xf numFmtId="3" fontId="3" fillId="0" borderId="23" xfId="2" applyNumberFormat="1" applyFont="1" applyBorder="1"/>
    <xf numFmtId="43" fontId="3" fillId="0" borderId="23" xfId="1" applyFont="1" applyBorder="1"/>
    <xf numFmtId="164" fontId="3" fillId="0" borderId="23" xfId="1" applyNumberFormat="1" applyFont="1" applyBorder="1"/>
    <xf numFmtId="49" fontId="3" fillId="0" borderId="8" xfId="2" applyNumberFormat="1" applyFont="1" applyBorder="1" applyAlignment="1">
      <alignment horizontal="left" wrapText="1" indent="4"/>
    </xf>
    <xf numFmtId="3" fontId="3" fillId="0" borderId="8" xfId="2" applyNumberFormat="1" applyFont="1" applyBorder="1"/>
    <xf numFmtId="43" fontId="3" fillId="0" borderId="8" xfId="1" applyFont="1" applyBorder="1"/>
    <xf numFmtId="164" fontId="3" fillId="15" borderId="8" xfId="1" applyNumberFormat="1" applyFont="1" applyFill="1" applyBorder="1"/>
    <xf numFmtId="164" fontId="3" fillId="0" borderId="8" xfId="1" applyNumberFormat="1" applyFont="1" applyBorder="1"/>
    <xf numFmtId="9" fontId="3" fillId="0" borderId="8" xfId="4" applyFont="1" applyFill="1" applyBorder="1"/>
    <xf numFmtId="0" fontId="3" fillId="5" borderId="24" xfId="2" applyFont="1" applyFill="1" applyBorder="1" applyAlignment="1">
      <alignment horizontal="left" indent="2"/>
    </xf>
    <xf numFmtId="49" fontId="3" fillId="4" borderId="8" xfId="2" applyNumberFormat="1" applyFont="1" applyFill="1" applyBorder="1" applyAlignment="1">
      <alignment horizontal="left" wrapText="1" indent="4"/>
    </xf>
    <xf numFmtId="9" fontId="3" fillId="0" borderId="8" xfId="4" applyFont="1" applyFill="1" applyBorder="1" applyAlignment="1">
      <alignment wrapText="1"/>
    </xf>
    <xf numFmtId="49" fontId="3" fillId="0" borderId="25" xfId="2" applyNumberFormat="1" applyFont="1" applyBorder="1" applyAlignment="1">
      <alignment horizontal="left" wrapText="1" indent="4"/>
    </xf>
    <xf numFmtId="9" fontId="3" fillId="0" borderId="6" xfId="4" applyFont="1" applyFill="1" applyBorder="1"/>
    <xf numFmtId="3" fontId="3" fillId="0" borderId="10" xfId="2" applyNumberFormat="1" applyFont="1" applyBorder="1"/>
    <xf numFmtId="0" fontId="3" fillId="5" borderId="26" xfId="2" applyFont="1" applyFill="1" applyBorder="1" applyAlignment="1">
      <alignment horizontal="left" indent="2"/>
    </xf>
    <xf numFmtId="49" fontId="3" fillId="0" borderId="27" xfId="2" applyNumberFormat="1" applyFont="1" applyBorder="1" applyAlignment="1">
      <alignment horizontal="left" vertical="center" wrapText="1"/>
    </xf>
    <xf numFmtId="3" fontId="3" fillId="0" borderId="27" xfId="2" applyNumberFormat="1" applyFont="1" applyBorder="1" applyAlignment="1">
      <alignment vertical="center"/>
    </xf>
    <xf numFmtId="43" fontId="3" fillId="0" borderId="27" xfId="1" applyFont="1" applyBorder="1" applyAlignment="1">
      <alignment vertical="center"/>
    </xf>
    <xf numFmtId="164" fontId="3" fillId="0" borderId="27" xfId="1" applyNumberFormat="1" applyFont="1" applyBorder="1" applyAlignment="1">
      <alignment vertical="center"/>
    </xf>
    <xf numFmtId="164" fontId="3" fillId="0" borderId="28" xfId="1" applyNumberFormat="1" applyFont="1" applyBorder="1" applyAlignment="1">
      <alignment vertical="center"/>
    </xf>
    <xf numFmtId="3" fontId="3" fillId="0" borderId="21" xfId="2" applyNumberFormat="1" applyFont="1" applyBorder="1" applyAlignment="1">
      <alignment vertical="center"/>
    </xf>
    <xf numFmtId="9" fontId="3" fillId="0" borderId="21" xfId="4" applyFont="1" applyFill="1" applyBorder="1" applyAlignment="1">
      <alignment vertical="center"/>
    </xf>
    <xf numFmtId="3" fontId="3" fillId="0" borderId="28" xfId="2" applyNumberFormat="1" applyFont="1" applyBorder="1" applyAlignment="1">
      <alignment vertical="center"/>
    </xf>
    <xf numFmtId="9" fontId="3" fillId="0" borderId="12" xfId="4" applyFont="1" applyFill="1" applyBorder="1" applyAlignment="1">
      <alignment vertical="center" wrapText="1"/>
    </xf>
    <xf numFmtId="9" fontId="3" fillId="0" borderId="27" xfId="4" applyFont="1" applyFill="1" applyBorder="1" applyAlignment="1">
      <alignment vertical="center"/>
    </xf>
    <xf numFmtId="3" fontId="3" fillId="0" borderId="10" xfId="2" applyNumberFormat="1" applyFont="1" applyBorder="1" applyAlignment="1">
      <alignment vertical="center"/>
    </xf>
    <xf numFmtId="9" fontId="3" fillId="0" borderId="10" xfId="4" applyFont="1" applyFill="1" applyBorder="1" applyAlignment="1">
      <alignment vertical="center" wrapText="1"/>
    </xf>
    <xf numFmtId="0" fontId="10" fillId="0" borderId="29" xfId="2" applyFont="1" applyBorder="1"/>
    <xf numFmtId="0" fontId="10" fillId="0" borderId="30" xfId="2" applyFont="1" applyBorder="1" applyAlignment="1">
      <alignment horizontal="right" wrapText="1"/>
    </xf>
    <xf numFmtId="9" fontId="10" fillId="0" borderId="18" xfId="4" applyFont="1" applyBorder="1"/>
    <xf numFmtId="0" fontId="10" fillId="0" borderId="0" xfId="2" applyFont="1"/>
    <xf numFmtId="0" fontId="7" fillId="0" borderId="0" xfId="2" applyFont="1"/>
    <xf numFmtId="10" fontId="3" fillId="0" borderId="0" xfId="8" applyNumberFormat="1" applyFont="1"/>
    <xf numFmtId="49" fontId="10" fillId="3" borderId="31" xfId="2" applyNumberFormat="1" applyFont="1" applyFill="1" applyBorder="1" applyAlignment="1">
      <alignment horizontal="left" indent="2"/>
    </xf>
    <xf numFmtId="49" fontId="10" fillId="3" borderId="32" xfId="2" applyNumberFormat="1" applyFont="1" applyFill="1" applyBorder="1" applyAlignment="1">
      <alignment wrapText="1"/>
    </xf>
    <xf numFmtId="3" fontId="10" fillId="3" borderId="33" xfId="2" applyNumberFormat="1" applyFont="1" applyFill="1" applyBorder="1"/>
    <xf numFmtId="164" fontId="10" fillId="3" borderId="33" xfId="1" applyNumberFormat="1" applyFont="1" applyFill="1" applyBorder="1"/>
    <xf numFmtId="9" fontId="10" fillId="3" borderId="33" xfId="4" applyFont="1" applyFill="1" applyBorder="1"/>
    <xf numFmtId="49" fontId="3" fillId="2" borderId="7" xfId="2" applyNumberFormat="1" applyFont="1" applyFill="1" applyBorder="1" applyAlignment="1">
      <alignment horizontal="left" indent="1"/>
    </xf>
    <xf numFmtId="49" fontId="3" fillId="2" borderId="8" xfId="2" applyNumberFormat="1" applyFont="1" applyFill="1" applyBorder="1" applyAlignment="1">
      <alignment horizontal="left" wrapText="1" indent="2"/>
    </xf>
    <xf numFmtId="3" fontId="8" fillId="2" borderId="9" xfId="2" applyNumberFormat="1" applyFont="1" applyFill="1" applyBorder="1"/>
    <xf numFmtId="9" fontId="8" fillId="2" borderId="9" xfId="4" applyFont="1" applyFill="1" applyBorder="1" applyAlignment="1">
      <alignment wrapText="1"/>
    </xf>
    <xf numFmtId="9" fontId="3" fillId="2" borderId="9" xfId="4" applyFont="1" applyFill="1" applyBorder="1"/>
    <xf numFmtId="49" fontId="10" fillId="3" borderId="7" xfId="2" applyNumberFormat="1" applyFont="1" applyFill="1" applyBorder="1"/>
    <xf numFmtId="49" fontId="10" fillId="3" borderId="8" xfId="2" applyNumberFormat="1" applyFont="1" applyFill="1" applyBorder="1" applyAlignment="1">
      <alignment wrapText="1"/>
    </xf>
    <xf numFmtId="9" fontId="8" fillId="3" borderId="9" xfId="4" applyFont="1" applyFill="1" applyBorder="1" applyAlignment="1">
      <alignment wrapText="1"/>
    </xf>
    <xf numFmtId="0" fontId="18" fillId="0" borderId="0" xfId="2" applyFont="1"/>
    <xf numFmtId="49" fontId="3" fillId="0" borderId="7" xfId="2" applyNumberFormat="1" applyFont="1" applyBorder="1" applyAlignment="1">
      <alignment horizontal="left" indent="2"/>
    </xf>
    <xf numFmtId="49" fontId="3" fillId="0" borderId="8" xfId="2" applyNumberFormat="1" applyFont="1" applyBorder="1" applyAlignment="1">
      <alignment horizontal="left" wrapText="1" indent="2"/>
    </xf>
    <xf numFmtId="49" fontId="10" fillId="2" borderId="8" xfId="2" applyNumberFormat="1" applyFont="1" applyFill="1" applyBorder="1" applyAlignment="1">
      <alignment horizontal="left" wrapText="1" indent="2"/>
    </xf>
    <xf numFmtId="3" fontId="10" fillId="2" borderId="9" xfId="2" applyNumberFormat="1" applyFont="1" applyFill="1" applyBorder="1"/>
    <xf numFmtId="164" fontId="10" fillId="2" borderId="9" xfId="1" applyNumberFormat="1" applyFont="1" applyFill="1" applyBorder="1"/>
    <xf numFmtId="3" fontId="12" fillId="2" borderId="9" xfId="2" applyNumberFormat="1" applyFont="1" applyFill="1" applyBorder="1"/>
    <xf numFmtId="9" fontId="8" fillId="2" borderId="9" xfId="4" quotePrefix="1" applyFont="1" applyFill="1" applyBorder="1" applyAlignment="1">
      <alignment wrapText="1"/>
    </xf>
    <xf numFmtId="9" fontId="3" fillId="2" borderId="9" xfId="4" quotePrefix="1" applyFont="1" applyFill="1" applyBorder="1" applyAlignment="1">
      <alignment wrapText="1"/>
    </xf>
    <xf numFmtId="9" fontId="3" fillId="0" borderId="9" xfId="4" applyFont="1" applyBorder="1" applyAlignment="1">
      <alignment wrapText="1"/>
    </xf>
    <xf numFmtId="9" fontId="8" fillId="0" borderId="9" xfId="4" applyFont="1" applyBorder="1" applyAlignment="1">
      <alignment wrapText="1"/>
    </xf>
    <xf numFmtId="49" fontId="8" fillId="0" borderId="8" xfId="2" applyNumberFormat="1" applyFont="1" applyBorder="1" applyAlignment="1">
      <alignment horizontal="left" wrapText="1" indent="4"/>
    </xf>
    <xf numFmtId="49" fontId="3" fillId="16" borderId="7" xfId="2" applyNumberFormat="1" applyFont="1" applyFill="1" applyBorder="1" applyAlignment="1">
      <alignment horizontal="left" indent="2"/>
    </xf>
    <xf numFmtId="0" fontId="8" fillId="0" borderId="8" xfId="2" applyFont="1" applyBorder="1" applyAlignment="1">
      <alignment horizontal="left" wrapText="1" indent="3"/>
    </xf>
    <xf numFmtId="0" fontId="8" fillId="11" borderId="8" xfId="2" applyFont="1" applyFill="1" applyBorder="1" applyAlignment="1">
      <alignment horizontal="left" wrapText="1" indent="3"/>
    </xf>
    <xf numFmtId="9" fontId="3" fillId="0" borderId="12" xfId="4" applyFont="1" applyBorder="1" applyAlignment="1">
      <alignment wrapText="1"/>
    </xf>
    <xf numFmtId="9" fontId="3" fillId="0" borderId="28" xfId="4" applyFont="1" applyBorder="1" applyAlignment="1">
      <alignment horizontal="left" wrapText="1"/>
    </xf>
    <xf numFmtId="9" fontId="3" fillId="0" borderId="28" xfId="4" applyFont="1" applyBorder="1" applyAlignment="1">
      <alignment wrapText="1"/>
    </xf>
    <xf numFmtId="9" fontId="10" fillId="2" borderId="9" xfId="4" applyFont="1" applyFill="1" applyBorder="1"/>
    <xf numFmtId="49" fontId="7" fillId="0" borderId="7" xfId="2" applyNumberFormat="1" applyFont="1" applyBorder="1" applyAlignment="1">
      <alignment horizontal="left" indent="2"/>
    </xf>
    <xf numFmtId="0" fontId="7" fillId="11" borderId="8" xfId="2" applyFont="1" applyFill="1" applyBorder="1" applyAlignment="1">
      <alignment horizontal="left" wrapText="1" indent="3"/>
    </xf>
    <xf numFmtId="9" fontId="3" fillId="0" borderId="10" xfId="4" applyFont="1" applyBorder="1" applyAlignment="1">
      <alignment wrapText="1"/>
    </xf>
    <xf numFmtId="0" fontId="3" fillId="11" borderId="8" xfId="2" applyFont="1" applyFill="1" applyBorder="1" applyAlignment="1">
      <alignment horizontal="left" wrapText="1" indent="3"/>
    </xf>
    <xf numFmtId="3" fontId="3" fillId="16" borderId="9" xfId="2" applyNumberFormat="1" applyFont="1" applyFill="1" applyBorder="1"/>
    <xf numFmtId="3" fontId="3" fillId="17" borderId="9" xfId="2" applyNumberFormat="1" applyFont="1" applyFill="1" applyBorder="1"/>
    <xf numFmtId="164" fontId="3" fillId="14" borderId="9" xfId="1" applyNumberFormat="1" applyFont="1" applyFill="1" applyBorder="1"/>
    <xf numFmtId="49" fontId="19" fillId="0" borderId="7" xfId="2" applyNumberFormat="1" applyFont="1" applyBorder="1" applyAlignment="1">
      <alignment horizontal="left" indent="3"/>
    </xf>
    <xf numFmtId="0" fontId="19" fillId="11" borderId="8" xfId="2" applyFont="1" applyFill="1" applyBorder="1" applyAlignment="1">
      <alignment horizontal="left" wrapText="1" indent="6"/>
    </xf>
    <xf numFmtId="3" fontId="19" fillId="10" borderId="9" xfId="2" applyNumberFormat="1" applyFont="1" applyFill="1" applyBorder="1"/>
    <xf numFmtId="3" fontId="19" fillId="0" borderId="9" xfId="2" applyNumberFormat="1" applyFont="1" applyBorder="1"/>
    <xf numFmtId="3" fontId="19" fillId="16" borderId="9" xfId="2" applyNumberFormat="1" applyFont="1" applyFill="1" applyBorder="1"/>
    <xf numFmtId="0" fontId="19" fillId="0" borderId="0" xfId="2" applyFont="1"/>
    <xf numFmtId="3" fontId="3" fillId="11" borderId="9" xfId="2" applyNumberFormat="1" applyFont="1" applyFill="1" applyBorder="1"/>
    <xf numFmtId="0" fontId="3" fillId="18" borderId="8" xfId="2" applyFont="1" applyFill="1" applyBorder="1" applyAlignment="1">
      <alignment horizontal="left" wrapText="1" indent="3"/>
    </xf>
    <xf numFmtId="9" fontId="8" fillId="0" borderId="9" xfId="4" quotePrefix="1" applyFont="1" applyBorder="1" applyAlignment="1">
      <alignment wrapText="1"/>
    </xf>
    <xf numFmtId="9" fontId="3" fillId="0" borderId="9" xfId="4" quotePrefix="1" applyFont="1" applyBorder="1" applyAlignment="1">
      <alignment wrapText="1"/>
    </xf>
    <xf numFmtId="49" fontId="3" fillId="16" borderId="7" xfId="2" applyNumberFormat="1" applyFont="1" applyFill="1" applyBorder="1" applyAlignment="1">
      <alignment horizontal="left" indent="1"/>
    </xf>
    <xf numFmtId="9" fontId="19" fillId="2" borderId="9" xfId="4" applyFont="1" applyFill="1" applyBorder="1" applyAlignment="1">
      <alignment wrapText="1"/>
    </xf>
    <xf numFmtId="9" fontId="20" fillId="2" borderId="9" xfId="4" applyFont="1" applyFill="1" applyBorder="1" applyAlignment="1">
      <alignment wrapText="1"/>
    </xf>
    <xf numFmtId="0" fontId="15" fillId="11" borderId="0" xfId="2" applyFont="1" applyFill="1"/>
    <xf numFmtId="0" fontId="15" fillId="11" borderId="8" xfId="2" applyFont="1" applyFill="1" applyBorder="1" applyAlignment="1">
      <alignment horizontal="left" indent="2"/>
    </xf>
    <xf numFmtId="0" fontId="3" fillId="11" borderId="34" xfId="2" applyFont="1" applyFill="1" applyBorder="1" applyAlignment="1">
      <alignment horizontal="left" indent="3"/>
    </xf>
    <xf numFmtId="164" fontId="3" fillId="11" borderId="9" xfId="1" applyNumberFormat="1" applyFont="1" applyFill="1" applyBorder="1"/>
    <xf numFmtId="9" fontId="3" fillId="11" borderId="9" xfId="4" applyFont="1" applyFill="1" applyBorder="1"/>
    <xf numFmtId="3" fontId="8" fillId="11" borderId="9" xfId="2" applyNumberFormat="1" applyFont="1" applyFill="1" applyBorder="1"/>
    <xf numFmtId="3" fontId="3" fillId="19" borderId="9" xfId="2" applyNumberFormat="1" applyFont="1" applyFill="1" applyBorder="1"/>
    <xf numFmtId="164" fontId="3" fillId="19" borderId="9" xfId="1" applyNumberFormat="1" applyFont="1" applyFill="1" applyBorder="1"/>
    <xf numFmtId="0" fontId="15" fillId="0" borderId="8" xfId="2" applyFont="1" applyBorder="1" applyAlignment="1">
      <alignment horizontal="left" indent="2"/>
    </xf>
    <xf numFmtId="0" fontId="3" fillId="0" borderId="34" xfId="2" applyFont="1" applyBorder="1" applyAlignment="1">
      <alignment horizontal="left" indent="3"/>
    </xf>
    <xf numFmtId="0" fontId="15" fillId="16" borderId="8" xfId="2" applyFont="1" applyFill="1" applyBorder="1" applyAlignment="1">
      <alignment horizontal="left" indent="2"/>
    </xf>
    <xf numFmtId="9" fontId="7" fillId="2" borderId="9" xfId="4" applyFont="1" applyFill="1" applyBorder="1"/>
    <xf numFmtId="0" fontId="3" fillId="0" borderId="0" xfId="2" applyFont="1" applyAlignment="1">
      <alignment horizontal="right"/>
    </xf>
    <xf numFmtId="3" fontId="3" fillId="20" borderId="9" xfId="2" applyNumberFormat="1" applyFont="1" applyFill="1" applyBorder="1"/>
    <xf numFmtId="3" fontId="3" fillId="5" borderId="9" xfId="2" applyNumberFormat="1" applyFont="1" applyFill="1" applyBorder="1"/>
    <xf numFmtId="164" fontId="3" fillId="5" borderId="9" xfId="1" applyNumberFormat="1" applyFont="1" applyFill="1" applyBorder="1"/>
    <xf numFmtId="3" fontId="8" fillId="5" borderId="9" xfId="2" applyNumberFormat="1" applyFont="1" applyFill="1" applyBorder="1"/>
    <xf numFmtId="9" fontId="3" fillId="5" borderId="9" xfId="4" applyFont="1" applyFill="1" applyBorder="1" applyAlignment="1">
      <alignment wrapText="1"/>
    </xf>
    <xf numFmtId="49" fontId="10" fillId="2" borderId="7" xfId="2" applyNumberFormat="1" applyFont="1" applyFill="1" applyBorder="1" applyAlignment="1">
      <alignment horizontal="left" indent="1"/>
    </xf>
    <xf numFmtId="0" fontId="3" fillId="5" borderId="0" xfId="2" quotePrefix="1" applyFont="1" applyFill="1"/>
    <xf numFmtId="0" fontId="3" fillId="5" borderId="0" xfId="2" applyFont="1" applyFill="1"/>
    <xf numFmtId="49" fontId="3" fillId="5" borderId="7" xfId="2" applyNumberFormat="1" applyFont="1" applyFill="1" applyBorder="1" applyAlignment="1">
      <alignment horizontal="left" indent="2"/>
    </xf>
    <xf numFmtId="49" fontId="3" fillId="5" borderId="8" xfId="2" applyNumberFormat="1" applyFont="1" applyFill="1" applyBorder="1" applyAlignment="1">
      <alignment horizontal="left" wrapText="1" indent="4"/>
    </xf>
    <xf numFmtId="0" fontId="21" fillId="0" borderId="0" xfId="2" applyFont="1"/>
    <xf numFmtId="0" fontId="21" fillId="0" borderId="0" xfId="2" quotePrefix="1" applyFont="1"/>
    <xf numFmtId="49" fontId="10" fillId="0" borderId="7" xfId="2" applyNumberFormat="1" applyFont="1" applyBorder="1" applyAlignment="1">
      <alignment horizontal="left" indent="2"/>
    </xf>
    <xf numFmtId="49" fontId="10" fillId="0" borderId="8" xfId="2" applyNumberFormat="1" applyFont="1" applyBorder="1" applyAlignment="1">
      <alignment horizontal="left" wrapText="1" indent="4"/>
    </xf>
    <xf numFmtId="3" fontId="10" fillId="0" borderId="9" xfId="2" applyNumberFormat="1" applyFont="1" applyBorder="1"/>
    <xf numFmtId="164" fontId="10" fillId="0" borderId="9" xfId="1" applyNumberFormat="1" applyFont="1" applyBorder="1"/>
    <xf numFmtId="0" fontId="22" fillId="0" borderId="0" xfId="2" applyFont="1"/>
    <xf numFmtId="49" fontId="3" fillId="0" borderId="7" xfId="2" applyNumberFormat="1" applyFont="1" applyBorder="1" applyAlignment="1">
      <alignment horizontal="left" indent="3"/>
    </xf>
    <xf numFmtId="9" fontId="16" fillId="0" borderId="9" xfId="4" applyFont="1" applyFill="1" applyBorder="1" applyAlignment="1">
      <alignment wrapText="1"/>
    </xf>
    <xf numFmtId="49" fontId="23" fillId="2" borderId="7" xfId="2" applyNumberFormat="1" applyFont="1" applyFill="1" applyBorder="1" applyAlignment="1">
      <alignment horizontal="left" indent="1"/>
    </xf>
    <xf numFmtId="49" fontId="10" fillId="0" borderId="14" xfId="2" applyNumberFormat="1" applyFont="1" applyBorder="1"/>
    <xf numFmtId="49" fontId="10" fillId="0" borderId="15" xfId="2" applyNumberFormat="1" applyFont="1" applyBorder="1" applyAlignment="1">
      <alignment horizontal="right" wrapText="1"/>
    </xf>
    <xf numFmtId="3" fontId="10" fillId="0" borderId="35" xfId="2" applyNumberFormat="1" applyFont="1" applyBorder="1"/>
    <xf numFmtId="164" fontId="10" fillId="0" borderId="35" xfId="1" applyNumberFormat="1" applyFont="1" applyBorder="1"/>
    <xf numFmtId="9" fontId="10" fillId="0" borderId="35" xfId="4" applyFont="1" applyBorder="1"/>
    <xf numFmtId="3" fontId="10" fillId="0" borderId="36" xfId="2" applyNumberFormat="1" applyFont="1" applyBorder="1"/>
    <xf numFmtId="164" fontId="10" fillId="0" borderId="36" xfId="1" applyNumberFormat="1" applyFont="1" applyBorder="1"/>
    <xf numFmtId="9" fontId="3" fillId="0" borderId="36" xfId="4" applyFont="1" applyBorder="1"/>
    <xf numFmtId="49" fontId="10" fillId="3" borderId="37" xfId="2" applyNumberFormat="1" applyFont="1" applyFill="1" applyBorder="1" applyAlignment="1">
      <alignment horizontal="center"/>
    </xf>
    <xf numFmtId="49" fontId="10" fillId="3" borderId="38" xfId="2" applyNumberFormat="1" applyFont="1" applyFill="1" applyBorder="1" applyAlignment="1">
      <alignment wrapText="1"/>
    </xf>
    <xf numFmtId="3" fontId="10" fillId="3" borderId="39" xfId="2" applyNumberFormat="1" applyFont="1" applyFill="1" applyBorder="1"/>
    <xf numFmtId="164" fontId="10" fillId="3" borderId="39" xfId="1" applyNumberFormat="1" applyFont="1" applyFill="1" applyBorder="1"/>
    <xf numFmtId="9" fontId="10" fillId="3" borderId="39" xfId="4" applyFont="1" applyFill="1" applyBorder="1"/>
    <xf numFmtId="0" fontId="26" fillId="0" borderId="0" xfId="12" applyFont="1" applyAlignment="1">
      <alignment horizontal="right"/>
    </xf>
    <xf numFmtId="0" fontId="27" fillId="0" borderId="0" xfId="12" applyFont="1"/>
    <xf numFmtId="0" fontId="28" fillId="0" borderId="0" xfId="13" applyFont="1"/>
    <xf numFmtId="0" fontId="15" fillId="0" borderId="0" xfId="9" applyFont="1"/>
    <xf numFmtId="0" fontId="11" fillId="0" borderId="0" xfId="9" applyFont="1"/>
    <xf numFmtId="0" fontId="11" fillId="0" borderId="0" xfId="9" applyFont="1" applyAlignment="1">
      <alignment horizontal="center"/>
    </xf>
    <xf numFmtId="0" fontId="7" fillId="0" borderId="0" xfId="9" applyFont="1"/>
    <xf numFmtId="1" fontId="15" fillId="0" borderId="0" xfId="9" applyNumberFormat="1" applyFont="1"/>
    <xf numFmtId="0" fontId="29" fillId="0" borderId="0" xfId="12" applyFont="1"/>
    <xf numFmtId="164" fontId="15" fillId="0" borderId="0" xfId="9" applyNumberFormat="1" applyFont="1"/>
    <xf numFmtId="166" fontId="15" fillId="0" borderId="0" xfId="9" applyNumberFormat="1" applyFont="1"/>
    <xf numFmtId="0" fontId="11" fillId="0" borderId="43" xfId="9" applyFont="1" applyBorder="1" applyAlignment="1">
      <alignment horizontal="center"/>
    </xf>
    <xf numFmtId="0" fontId="10" fillId="6" borderId="0" xfId="9" applyFont="1" applyFill="1"/>
    <xf numFmtId="0" fontId="30" fillId="24" borderId="8" xfId="9" applyFont="1" applyFill="1" applyBorder="1" applyAlignment="1">
      <alignment horizontal="center" vertical="center"/>
    </xf>
    <xf numFmtId="0" fontId="30" fillId="24" borderId="8" xfId="9" applyFont="1" applyFill="1" applyBorder="1" applyAlignment="1">
      <alignment horizontal="center" vertical="center" wrapText="1"/>
    </xf>
    <xf numFmtId="0" fontId="11" fillId="24" borderId="8" xfId="9" applyFont="1" applyFill="1" applyBorder="1" applyAlignment="1">
      <alignment horizontal="center" vertical="center" wrapText="1"/>
    </xf>
    <xf numFmtId="0" fontId="10" fillId="24" borderId="19" xfId="9" applyFont="1" applyFill="1" applyBorder="1" applyAlignment="1">
      <alignment horizontal="center" vertical="center" wrapText="1"/>
    </xf>
    <xf numFmtId="0" fontId="31" fillId="24" borderId="19" xfId="9" applyFont="1" applyFill="1" applyBorder="1" applyAlignment="1">
      <alignment horizontal="center" vertical="center" wrapText="1"/>
    </xf>
    <xf numFmtId="0" fontId="31" fillId="24" borderId="8" xfId="9" applyFont="1" applyFill="1" applyBorder="1" applyAlignment="1">
      <alignment horizontal="center" vertical="center" wrapText="1"/>
    </xf>
    <xf numFmtId="0" fontId="10" fillId="24" borderId="8" xfId="9" applyFont="1" applyFill="1" applyBorder="1" applyAlignment="1">
      <alignment horizontal="center" vertical="center" wrapText="1"/>
    </xf>
    <xf numFmtId="0" fontId="15" fillId="0" borderId="0" xfId="9" applyFont="1" applyAlignment="1">
      <alignment horizontal="center" vertical="center"/>
    </xf>
    <xf numFmtId="0" fontId="30" fillId="24" borderId="19" xfId="9" applyFont="1" applyFill="1" applyBorder="1" applyAlignment="1">
      <alignment horizontal="center" vertical="center"/>
    </xf>
    <xf numFmtId="0" fontId="30" fillId="0" borderId="44" xfId="9" applyFont="1" applyBorder="1"/>
    <xf numFmtId="164" fontId="27" fillId="0" borderId="44" xfId="10" applyNumberFormat="1" applyFont="1" applyBorder="1"/>
    <xf numFmtId="167" fontId="27" fillId="0" borderId="44" xfId="10" applyNumberFormat="1" applyFont="1" applyBorder="1"/>
    <xf numFmtId="164" fontId="32" fillId="0" borderId="40" xfId="10" applyNumberFormat="1" applyFont="1" applyBorder="1"/>
    <xf numFmtId="164" fontId="27" fillId="0" borderId="40" xfId="10" applyNumberFormat="1" applyFont="1" applyBorder="1"/>
    <xf numFmtId="164" fontId="27" fillId="23" borderId="40" xfId="10" applyNumberFormat="1" applyFont="1" applyFill="1" applyBorder="1"/>
    <xf numFmtId="164" fontId="27" fillId="0" borderId="22" xfId="10" applyNumberFormat="1" applyFont="1" applyBorder="1"/>
    <xf numFmtId="0" fontId="30" fillId="0" borderId="0" xfId="9" applyFont="1"/>
    <xf numFmtId="164" fontId="30" fillId="0" borderId="0" xfId="9" applyNumberFormat="1" applyFont="1"/>
    <xf numFmtId="0" fontId="15" fillId="0" borderId="43" xfId="9" applyFont="1" applyBorder="1"/>
    <xf numFmtId="164" fontId="16" fillId="0" borderId="43" xfId="10" applyNumberFormat="1" applyFont="1" applyBorder="1"/>
    <xf numFmtId="167" fontId="16" fillId="0" borderId="43" xfId="10" applyNumberFormat="1" applyFont="1" applyBorder="1"/>
    <xf numFmtId="164" fontId="33" fillId="0" borderId="5" xfId="10" applyNumberFormat="1" applyFont="1" applyBorder="1"/>
    <xf numFmtId="164" fontId="16" fillId="0" borderId="5" xfId="10" applyNumberFormat="1" applyFont="1" applyBorder="1"/>
    <xf numFmtId="164" fontId="16" fillId="23" borderId="5" xfId="10" applyNumberFormat="1" applyFont="1" applyFill="1" applyBorder="1"/>
    <xf numFmtId="164" fontId="16" fillId="0" borderId="42" xfId="10" applyNumberFormat="1" applyFont="1" applyBorder="1"/>
    <xf numFmtId="164" fontId="16" fillId="0" borderId="43" xfId="10" applyNumberFormat="1" applyFont="1" applyFill="1" applyBorder="1"/>
    <xf numFmtId="167" fontId="16" fillId="9" borderId="43" xfId="10" applyNumberFormat="1" applyFont="1" applyFill="1" applyBorder="1"/>
    <xf numFmtId="164" fontId="27" fillId="0" borderId="44" xfId="10" applyNumberFormat="1" applyFont="1" applyFill="1" applyBorder="1"/>
    <xf numFmtId="0" fontId="10" fillId="0" borderId="44" xfId="9" applyFont="1" applyBorder="1"/>
    <xf numFmtId="164" fontId="16" fillId="0" borderId="44" xfId="10" applyNumberFormat="1" applyFont="1" applyBorder="1"/>
    <xf numFmtId="167" fontId="16" fillId="0" borderId="44" xfId="10" applyNumberFormat="1" applyFont="1" applyBorder="1"/>
    <xf numFmtId="167" fontId="27" fillId="0" borderId="40" xfId="10" applyNumberFormat="1" applyFont="1" applyBorder="1"/>
    <xf numFmtId="164" fontId="3" fillId="0" borderId="0" xfId="9" applyNumberFormat="1" applyFont="1"/>
    <xf numFmtId="0" fontId="3" fillId="0" borderId="0" xfId="9" applyFont="1"/>
    <xf numFmtId="0" fontId="10" fillId="0" borderId="0" xfId="9" applyFont="1"/>
    <xf numFmtId="164" fontId="10" fillId="0" borderId="0" xfId="9" applyNumberFormat="1" applyFont="1"/>
    <xf numFmtId="0" fontId="3" fillId="0" borderId="43" xfId="9" applyFont="1" applyBorder="1"/>
    <xf numFmtId="167" fontId="16" fillId="0" borderId="5" xfId="10" applyNumberFormat="1" applyFont="1" applyBorder="1"/>
    <xf numFmtId="0" fontId="3" fillId="0" borderId="44" xfId="9" applyFont="1" applyBorder="1"/>
    <xf numFmtId="0" fontId="34" fillId="0" borderId="44" xfId="9" applyFont="1" applyBorder="1"/>
    <xf numFmtId="0" fontId="17" fillId="0" borderId="44" xfId="9" applyFont="1" applyBorder="1"/>
    <xf numFmtId="14" fontId="17" fillId="0" borderId="44" xfId="9" applyNumberFormat="1" applyFont="1" applyBorder="1"/>
    <xf numFmtId="164" fontId="35" fillId="0" borderId="44" xfId="10" applyNumberFormat="1" applyFont="1" applyBorder="1"/>
    <xf numFmtId="167" fontId="35" fillId="0" borderId="44" xfId="10" applyNumberFormat="1" applyFont="1" applyBorder="1"/>
    <xf numFmtId="167" fontId="36" fillId="0" borderId="44" xfId="10" applyNumberFormat="1" applyFont="1" applyBorder="1"/>
    <xf numFmtId="164" fontId="36" fillId="0" borderId="40" xfId="10" applyNumberFormat="1" applyFont="1" applyBorder="1"/>
    <xf numFmtId="164" fontId="36" fillId="23" borderId="40" xfId="10" applyNumberFormat="1" applyFont="1" applyFill="1" applyBorder="1"/>
    <xf numFmtId="164" fontId="36" fillId="0" borderId="22" xfId="10" applyNumberFormat="1" applyFont="1" applyBorder="1"/>
    <xf numFmtId="0" fontId="17" fillId="0" borderId="0" xfId="9" applyFont="1"/>
    <xf numFmtId="0" fontId="17" fillId="0" borderId="43" xfId="9" applyFont="1" applyBorder="1"/>
    <xf numFmtId="164" fontId="35" fillId="0" borderId="43" xfId="10" applyNumberFormat="1" applyFont="1" applyBorder="1"/>
    <xf numFmtId="167" fontId="35" fillId="0" borderId="43" xfId="10" applyNumberFormat="1" applyFont="1" applyBorder="1"/>
    <xf numFmtId="164" fontId="35" fillId="0" borderId="5" xfId="10" applyNumberFormat="1" applyFont="1" applyBorder="1"/>
    <xf numFmtId="164" fontId="35" fillId="23" borderId="5" xfId="10" applyNumberFormat="1" applyFont="1" applyFill="1" applyBorder="1"/>
    <xf numFmtId="164" fontId="35" fillId="0" borderId="42" xfId="10" applyNumberFormat="1" applyFont="1" applyBorder="1"/>
    <xf numFmtId="164" fontId="16" fillId="0" borderId="0" xfId="10" applyNumberFormat="1" applyFont="1" applyFill="1" applyBorder="1"/>
    <xf numFmtId="167" fontId="16" fillId="0" borderId="0" xfId="10" applyNumberFormat="1" applyFont="1" applyFill="1" applyBorder="1"/>
    <xf numFmtId="164" fontId="37" fillId="0" borderId="0" xfId="10" applyNumberFormat="1" applyFont="1" applyFill="1" applyBorder="1"/>
    <xf numFmtId="0" fontId="30" fillId="0" borderId="0" xfId="9" applyFont="1" applyAlignment="1">
      <alignment horizontal="right"/>
    </xf>
    <xf numFmtId="164" fontId="30" fillId="24" borderId="0" xfId="9" applyNumberFormat="1" applyFont="1" applyFill="1"/>
    <xf numFmtId="167" fontId="30" fillId="24" borderId="0" xfId="9" applyNumberFormat="1" applyFont="1" applyFill="1"/>
    <xf numFmtId="167" fontId="30" fillId="0" borderId="0" xfId="9" applyNumberFormat="1" applyFont="1"/>
    <xf numFmtId="167" fontId="27" fillId="0" borderId="0" xfId="10" applyNumberFormat="1" applyFont="1" applyFill="1" applyBorder="1" applyAlignment="1">
      <alignment horizontal="right"/>
    </xf>
    <xf numFmtId="164" fontId="32" fillId="22" borderId="40" xfId="10" applyNumberFormat="1" applyFont="1" applyFill="1" applyBorder="1"/>
    <xf numFmtId="164" fontId="27" fillId="22" borderId="40" xfId="10" applyNumberFormat="1" applyFont="1" applyFill="1" applyBorder="1"/>
    <xf numFmtId="167" fontId="16" fillId="0" borderId="0" xfId="10" applyNumberFormat="1" applyFont="1" applyFill="1" applyBorder="1" applyAlignment="1">
      <alignment horizontal="right"/>
    </xf>
    <xf numFmtId="164" fontId="33" fillId="22" borderId="5" xfId="10" applyNumberFormat="1" applyFont="1" applyFill="1" applyBorder="1"/>
    <xf numFmtId="164" fontId="16" fillId="22" borderId="5" xfId="10" applyNumberFormat="1" applyFont="1" applyFill="1" applyBorder="1"/>
    <xf numFmtId="164" fontId="31" fillId="22" borderId="5" xfId="9" applyNumberFormat="1" applyFont="1" applyFill="1" applyBorder="1"/>
    <xf numFmtId="164" fontId="10" fillId="22" borderId="5" xfId="9" applyNumberFormat="1" applyFont="1" applyFill="1" applyBorder="1"/>
    <xf numFmtId="0" fontId="30" fillId="0" borderId="0" xfId="9" applyFont="1" applyAlignment="1">
      <alignment wrapText="1"/>
    </xf>
    <xf numFmtId="0" fontId="11" fillId="0" borderId="0" xfId="9" applyFont="1" applyAlignment="1">
      <alignment wrapText="1"/>
    </xf>
    <xf numFmtId="164" fontId="7" fillId="0" borderId="0" xfId="9" applyNumberFormat="1" applyFont="1"/>
    <xf numFmtId="14" fontId="30" fillId="0" borderId="44" xfId="9" applyNumberFormat="1" applyFont="1" applyBorder="1"/>
    <xf numFmtId="164" fontId="37" fillId="0" borderId="5" xfId="10" applyNumberFormat="1" applyFont="1" applyBorder="1"/>
    <xf numFmtId="14" fontId="10" fillId="0" borderId="44" xfId="9" applyNumberFormat="1" applyFont="1" applyBorder="1"/>
    <xf numFmtId="0" fontId="10" fillId="0" borderId="43" xfId="9" applyFont="1" applyBorder="1"/>
    <xf numFmtId="0" fontId="10" fillId="0" borderId="0" xfId="9" applyFont="1" applyAlignment="1">
      <alignment horizontal="right"/>
    </xf>
    <xf numFmtId="164" fontId="27" fillId="22" borderId="8" xfId="10" applyNumberFormat="1" applyFont="1" applyFill="1" applyBorder="1"/>
    <xf numFmtId="164" fontId="10" fillId="22" borderId="8" xfId="9" applyNumberFormat="1" applyFont="1" applyFill="1" applyBorder="1"/>
    <xf numFmtId="0" fontId="3" fillId="0" borderId="0" xfId="12" applyFont="1" applyAlignment="1">
      <alignment horizontal="right"/>
    </xf>
    <xf numFmtId="164" fontId="3" fillId="0" borderId="41" xfId="9" applyNumberFormat="1" applyFont="1" applyBorder="1"/>
    <xf numFmtId="164" fontId="27" fillId="23" borderId="41" xfId="10" applyNumberFormat="1" applyFont="1" applyFill="1" applyBorder="1"/>
    <xf numFmtId="164" fontId="16" fillId="0" borderId="41" xfId="10" applyNumberFormat="1" applyFont="1" applyBorder="1"/>
    <xf numFmtId="165" fontId="10" fillId="21" borderId="8" xfId="11" applyNumberFormat="1" applyFont="1" applyFill="1" applyBorder="1"/>
    <xf numFmtId="165" fontId="10" fillId="0" borderId="0" xfId="11" applyNumberFormat="1" applyFont="1" applyFill="1"/>
    <xf numFmtId="165" fontId="7" fillId="0" borderId="0" xfId="11" applyNumberFormat="1" applyFont="1"/>
    <xf numFmtId="164" fontId="27" fillId="21" borderId="0" xfId="10" applyNumberFormat="1" applyFont="1" applyFill="1"/>
    <xf numFmtId="0" fontId="38" fillId="0" borderId="0" xfId="9" applyFont="1"/>
    <xf numFmtId="9" fontId="38" fillId="0" borderId="0" xfId="9" applyNumberFormat="1" applyFont="1"/>
    <xf numFmtId="0" fontId="38" fillId="0" borderId="0" xfId="9" applyFont="1" applyAlignment="1">
      <alignment horizontal="right"/>
    </xf>
    <xf numFmtId="164" fontId="39" fillId="0" borderId="0" xfId="10" applyNumberFormat="1" applyFont="1"/>
    <xf numFmtId="164" fontId="40" fillId="0" borderId="0" xfId="10" applyNumberFormat="1" applyFont="1"/>
    <xf numFmtId="165" fontId="41" fillId="21" borderId="8" xfId="11" applyNumberFormat="1" applyFont="1" applyFill="1" applyBorder="1"/>
    <xf numFmtId="9" fontId="15" fillId="0" borderId="0" xfId="9" applyNumberFormat="1" applyFont="1"/>
    <xf numFmtId="164" fontId="37" fillId="0" borderId="0" xfId="10" applyNumberFormat="1" applyFont="1" applyAlignment="1">
      <alignment horizontal="right"/>
    </xf>
    <xf numFmtId="164" fontId="37" fillId="0" borderId="0" xfId="10" applyNumberFormat="1" applyFont="1"/>
    <xf numFmtId="164" fontId="16" fillId="10" borderId="8" xfId="10" applyNumberFormat="1" applyFont="1" applyFill="1" applyBorder="1"/>
    <xf numFmtId="0" fontId="10" fillId="0" borderId="0" xfId="0" applyFont="1"/>
    <xf numFmtId="0" fontId="10" fillId="0" borderId="44" xfId="0" applyFont="1" applyBorder="1"/>
    <xf numFmtId="14" fontId="10" fillId="0" borderId="44" xfId="0" applyNumberFormat="1" applyFont="1" applyBorder="1"/>
    <xf numFmtId="164" fontId="10" fillId="0" borderId="0" xfId="0" applyNumberFormat="1" applyFont="1"/>
    <xf numFmtId="0" fontId="3" fillId="0" borderId="0" xfId="0" applyFont="1"/>
    <xf numFmtId="0" fontId="3" fillId="0" borderId="43" xfId="0" applyFont="1" applyBorder="1"/>
    <xf numFmtId="164" fontId="3" fillId="0" borderId="0" xfId="0" applyNumberFormat="1" applyFont="1"/>
    <xf numFmtId="9" fontId="3" fillId="0" borderId="11" xfId="4" applyFont="1" applyFill="1" applyBorder="1" applyAlignment="1">
      <alignment horizontal="left" wrapText="1"/>
    </xf>
    <xf numFmtId="9" fontId="3" fillId="0" borderId="12" xfId="4" applyFont="1" applyFill="1" applyBorder="1" applyAlignment="1">
      <alignment horizontal="left" wrapText="1"/>
    </xf>
    <xf numFmtId="0" fontId="9" fillId="0" borderId="0" xfId="3" applyFont="1"/>
    <xf numFmtId="0" fontId="2" fillId="0" borderId="0" xfId="2"/>
    <xf numFmtId="9" fontId="3" fillId="0" borderId="11" xfId="4" applyFont="1" applyBorder="1" applyAlignment="1">
      <alignment horizontal="left" wrapText="1"/>
    </xf>
    <xf numFmtId="9" fontId="3" fillId="0" borderId="12" xfId="4" applyFont="1" applyBorder="1" applyAlignment="1">
      <alignment horizontal="left" wrapText="1"/>
    </xf>
    <xf numFmtId="0" fontId="4" fillId="0" borderId="0" xfId="3" applyFont="1"/>
  </cellXfs>
  <cellStyles count="14">
    <cellStyle name="Comma" xfId="1" builtinId="3"/>
    <cellStyle name="Comma 2" xfId="10" xr:uid="{45520747-BA53-4B10-9AB3-26CC485AB241}"/>
    <cellStyle name="Hyperlink" xfId="6" builtinId="8"/>
    <cellStyle name="Komats 10" xfId="5" xr:uid="{1EBECC5A-D3ED-44AC-8A54-C47204B7FBAF}"/>
    <cellStyle name="Normal" xfId="0" builtinId="0"/>
    <cellStyle name="Normal 2" xfId="9" xr:uid="{9D340F38-8A2E-4C09-80A5-FC8B65A0A4D2}"/>
    <cellStyle name="Normal 2 2" xfId="7" xr:uid="{7AFFCE59-8611-4B3D-A56B-46480792E262}"/>
    <cellStyle name="Normal 4" xfId="12" xr:uid="{90B92539-070F-48DD-ACF4-3ED9FC4D9FAB}"/>
    <cellStyle name="Parasts 2 2 2 2" xfId="13" xr:uid="{52B5B5FF-7977-467A-9ED6-5B7AAB5B2198}"/>
    <cellStyle name="Parasts 2 2 5" xfId="2" xr:uid="{06278131-42C7-4BF3-88F2-0D12083C60B1}"/>
    <cellStyle name="Parasts 2 2 5 2" xfId="3" xr:uid="{FA07FB78-9B69-4B53-8560-A0CB62C16A42}"/>
    <cellStyle name="Percent 2" xfId="11" xr:uid="{DA109AB4-3DC0-40F2-9173-26D4D3A27EDB}"/>
    <cellStyle name="Percent 4" xfId="8" xr:uid="{264576BD-85E6-48E1-A035-8B62F6C8A1AB}"/>
    <cellStyle name="Procenti 2 3" xfId="4" xr:uid="{50F60C18-649F-4B20-9AE7-BFF684AAD096}"/>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Sarmite.Muze\Nextcloud\Finansu%20nodala%20kopmape\10_2023\1_Budzets_2023_actual_10_2023.xlsx" TargetMode="External"/><Relationship Id="rId1" Type="http://schemas.openxmlformats.org/officeDocument/2006/relationships/externalLinkPath" Target="/Users/Sarmite.Muze/Nextcloud/Finansu%20nodala%20kopmape/10_2023/1_Budzets_2023_actual_10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Tame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4.piel_Saistibas (%likmes)"/>
      <sheetName val="Saistibas_VK_prognoze"/>
      <sheetName val="5.piel.EKK"/>
      <sheetName val="Deputāti"/>
      <sheetName val="Velesanu_komis_loc"/>
      <sheetName val="Adm_komisija"/>
      <sheetName val="Iepirk_komisija"/>
      <sheetName val="Komisijas"/>
      <sheetName val="1_Budzets_2023_actual_10_2023"/>
    </sheetNames>
    <sheetDataSet>
      <sheetData sheetId="0"/>
      <sheetData sheetId="1"/>
      <sheetData sheetId="2"/>
      <sheetData sheetId="3"/>
      <sheetData sheetId="4"/>
      <sheetData sheetId="5"/>
      <sheetData sheetId="6"/>
      <sheetData sheetId="7">
        <row r="4">
          <cell r="H4">
            <v>28441559</v>
          </cell>
        </row>
        <row r="5">
          <cell r="H5">
            <v>0</v>
          </cell>
        </row>
        <row r="7">
          <cell r="H7">
            <v>1807872</v>
          </cell>
        </row>
        <row r="8">
          <cell r="H8">
            <v>190423</v>
          </cell>
        </row>
        <row r="10">
          <cell r="H10">
            <v>326353</v>
          </cell>
        </row>
        <row r="11">
          <cell r="H11">
            <v>86119</v>
          </cell>
        </row>
        <row r="13">
          <cell r="H13">
            <v>431787</v>
          </cell>
        </row>
        <row r="14">
          <cell r="H14">
            <v>60758</v>
          </cell>
        </row>
        <row r="16">
          <cell r="H16">
            <v>160000</v>
          </cell>
        </row>
        <row r="18">
          <cell r="H18">
            <v>6453</v>
          </cell>
        </row>
        <row r="19">
          <cell r="H19">
            <v>433856</v>
          </cell>
        </row>
        <row r="25">
          <cell r="H25">
            <v>295000</v>
          </cell>
        </row>
        <row r="29">
          <cell r="H29">
            <v>24000</v>
          </cell>
        </row>
        <row r="30">
          <cell r="H30">
            <v>125000</v>
          </cell>
        </row>
        <row r="35">
          <cell r="H35">
            <v>120000</v>
          </cell>
        </row>
        <row r="36">
          <cell r="H36">
            <v>36000</v>
          </cell>
        </row>
        <row r="37">
          <cell r="H37">
            <v>1000</v>
          </cell>
        </row>
        <row r="39">
          <cell r="H39">
            <v>110000</v>
          </cell>
        </row>
        <row r="40">
          <cell r="H40">
            <v>2500</v>
          </cell>
        </row>
        <row r="41">
          <cell r="H41">
            <v>3713551</v>
          </cell>
        </row>
        <row r="42">
          <cell r="H42">
            <v>102000</v>
          </cell>
        </row>
        <row r="64">
          <cell r="H64">
            <v>1904695.882342119</v>
          </cell>
        </row>
        <row r="69">
          <cell r="H69">
            <v>355818.96720568801</v>
          </cell>
        </row>
        <row r="70">
          <cell r="H70">
            <v>58895.469599999997</v>
          </cell>
        </row>
        <row r="75">
          <cell r="H75">
            <v>50294.195200000002</v>
          </cell>
        </row>
        <row r="76">
          <cell r="H76">
            <v>6587.5</v>
          </cell>
        </row>
        <row r="77">
          <cell r="H77">
            <v>71620.138310000009</v>
          </cell>
        </row>
        <row r="80">
          <cell r="H80">
            <v>1047339.3380284834</v>
          </cell>
        </row>
        <row r="81">
          <cell r="H81">
            <v>4392666</v>
          </cell>
        </row>
        <row r="82">
          <cell r="H82">
            <v>349580.46043500002</v>
          </cell>
        </row>
        <row r="87">
          <cell r="H87">
            <v>926669.29245700024</v>
          </cell>
        </row>
        <row r="92">
          <cell r="H92">
            <v>207617.29264600005</v>
          </cell>
        </row>
        <row r="95">
          <cell r="H95">
            <v>45166.33</v>
          </cell>
        </row>
        <row r="105">
          <cell r="H105">
            <v>70000</v>
          </cell>
        </row>
        <row r="106">
          <cell r="H106">
            <v>313523.70461999997</v>
          </cell>
        </row>
        <row r="111">
          <cell r="H111">
            <v>402654.04988000001</v>
          </cell>
        </row>
        <row r="119">
          <cell r="H119">
            <v>267571.12844500004</v>
          </cell>
        </row>
        <row r="124">
          <cell r="H124">
            <v>160572.14087500004</v>
          </cell>
        </row>
        <row r="129">
          <cell r="H129">
            <v>177204.66029999999</v>
          </cell>
        </row>
        <row r="132">
          <cell r="H132">
            <v>4346663.8361329995</v>
          </cell>
        </row>
        <row r="137">
          <cell r="H137">
            <v>3779449</v>
          </cell>
        </row>
        <row r="143">
          <cell r="H143">
            <v>295000</v>
          </cell>
        </row>
        <row r="154">
          <cell r="H154">
            <v>420416.49502000003</v>
          </cell>
        </row>
        <row r="162">
          <cell r="H162">
            <v>269874.66324999998</v>
          </cell>
        </row>
        <row r="169">
          <cell r="H169">
            <v>121138.2865</v>
          </cell>
        </row>
        <row r="174">
          <cell r="H174">
            <v>62655.829250000003</v>
          </cell>
        </row>
        <row r="179">
          <cell r="H179">
            <v>579436.75136999995</v>
          </cell>
        </row>
        <row r="188">
          <cell r="H188">
            <v>185866.50440000001</v>
          </cell>
        </row>
        <row r="202">
          <cell r="H202">
            <v>1744009.2481999998</v>
          </cell>
        </row>
        <row r="205">
          <cell r="H205">
            <v>1170990</v>
          </cell>
        </row>
        <row r="210">
          <cell r="H210">
            <v>327695.39069250005</v>
          </cell>
        </row>
        <row r="216">
          <cell r="H216">
            <v>350812.36</v>
          </cell>
        </row>
        <row r="223">
          <cell r="H223">
            <v>5800</v>
          </cell>
        </row>
        <row r="227">
          <cell r="H227">
            <v>1407</v>
          </cell>
        </row>
        <row r="230">
          <cell r="H230">
            <v>132505.09117999999</v>
          </cell>
        </row>
        <row r="241">
          <cell r="H241">
            <v>1009440</v>
          </cell>
        </row>
        <row r="242">
          <cell r="H242">
            <v>1597136.3519472245</v>
          </cell>
        </row>
        <row r="249">
          <cell r="H249">
            <v>19228.173900000002</v>
          </cell>
        </row>
        <row r="253">
          <cell r="H253">
            <v>1123630.6494368</v>
          </cell>
        </row>
        <row r="259">
          <cell r="H259">
            <v>1127885.3067867202</v>
          </cell>
        </row>
        <row r="262">
          <cell r="H262">
            <v>160349</v>
          </cell>
        </row>
        <row r="266">
          <cell r="H266">
            <v>1147015.2936508402</v>
          </cell>
        </row>
        <row r="269">
          <cell r="H269">
            <v>158747</v>
          </cell>
        </row>
        <row r="273">
          <cell r="H273">
            <v>311541.28034260002</v>
          </cell>
        </row>
        <row r="280">
          <cell r="H280">
            <v>543319</v>
          </cell>
        </row>
        <row r="283">
          <cell r="H283">
            <v>135000</v>
          </cell>
        </row>
        <row r="284">
          <cell r="H284">
            <v>1377792</v>
          </cell>
        </row>
        <row r="286">
          <cell r="H286">
            <v>835367.24456400005</v>
          </cell>
        </row>
        <row r="293">
          <cell r="H293">
            <v>923235.59305699996</v>
          </cell>
        </row>
        <row r="296">
          <cell r="H296">
            <v>241081</v>
          </cell>
        </row>
        <row r="304">
          <cell r="H304">
            <v>1356697.7494320502</v>
          </cell>
        </row>
        <row r="313">
          <cell r="H313">
            <v>889452.98177700012</v>
          </cell>
        </row>
        <row r="320">
          <cell r="H320">
            <v>343948.80554049998</v>
          </cell>
        </row>
        <row r="326">
          <cell r="H326">
            <v>225484.5193245</v>
          </cell>
        </row>
      </sheetData>
      <sheetData sheetId="8">
        <row r="52">
          <cell r="L52">
            <v>59922</v>
          </cell>
        </row>
        <row r="53">
          <cell r="L53">
            <v>207089</v>
          </cell>
        </row>
        <row r="54">
          <cell r="L54">
            <v>320141.35220000002</v>
          </cell>
        </row>
        <row r="57">
          <cell r="L57">
            <v>624704.49</v>
          </cell>
        </row>
        <row r="62">
          <cell r="L62">
            <v>37334.9</v>
          </cell>
        </row>
        <row r="66">
          <cell r="L66">
            <v>582946</v>
          </cell>
        </row>
        <row r="68">
          <cell r="L68">
            <v>390000</v>
          </cell>
        </row>
        <row r="235">
          <cell r="L235">
            <v>645000</v>
          </cell>
        </row>
      </sheetData>
      <sheetData sheetId="9">
        <row r="4">
          <cell r="E4">
            <v>11000</v>
          </cell>
        </row>
        <row r="5">
          <cell r="E5">
            <v>4136</v>
          </cell>
        </row>
        <row r="6">
          <cell r="E6">
            <v>53240</v>
          </cell>
        </row>
        <row r="7">
          <cell r="E7">
            <v>42000</v>
          </cell>
        </row>
        <row r="8">
          <cell r="E8">
            <v>85290</v>
          </cell>
        </row>
        <row r="9">
          <cell r="E9">
            <v>236171</v>
          </cell>
        </row>
        <row r="10">
          <cell r="E10">
            <v>391245.35220000002</v>
          </cell>
        </row>
        <row r="11">
          <cell r="E11">
            <v>40898</v>
          </cell>
        </row>
        <row r="12">
          <cell r="E12">
            <v>15000</v>
          </cell>
        </row>
        <row r="13">
          <cell r="E13">
            <v>891139</v>
          </cell>
        </row>
        <row r="14">
          <cell r="E14">
            <v>2500</v>
          </cell>
        </row>
        <row r="15">
          <cell r="E15">
            <v>212422.11000000002</v>
          </cell>
        </row>
        <row r="16">
          <cell r="E16">
            <v>15704.03</v>
          </cell>
        </row>
        <row r="17">
          <cell r="E17">
            <v>16292</v>
          </cell>
        </row>
        <row r="18">
          <cell r="E18">
            <v>1049</v>
          </cell>
        </row>
        <row r="19">
          <cell r="E19">
            <v>7000</v>
          </cell>
        </row>
        <row r="20">
          <cell r="E20">
            <v>390000</v>
          </cell>
        </row>
        <row r="21">
          <cell r="E21">
            <v>16158</v>
          </cell>
        </row>
        <row r="22">
          <cell r="E22">
            <v>70943</v>
          </cell>
        </row>
        <row r="23">
          <cell r="E23">
            <v>250373</v>
          </cell>
        </row>
        <row r="24">
          <cell r="E24">
            <v>6454</v>
          </cell>
        </row>
        <row r="25">
          <cell r="E25">
            <v>35300</v>
          </cell>
        </row>
        <row r="26">
          <cell r="E26">
            <v>46613</v>
          </cell>
        </row>
        <row r="27">
          <cell r="E27">
            <v>23597</v>
          </cell>
        </row>
        <row r="28">
          <cell r="E28">
            <v>18440</v>
          </cell>
        </row>
        <row r="29">
          <cell r="E29">
            <v>161090</v>
          </cell>
        </row>
        <row r="30">
          <cell r="E30">
            <v>330670</v>
          </cell>
        </row>
        <row r="32">
          <cell r="E32">
            <v>32020</v>
          </cell>
        </row>
        <row r="33">
          <cell r="E33">
            <v>355701</v>
          </cell>
        </row>
        <row r="34">
          <cell r="E34">
            <v>836633.39</v>
          </cell>
        </row>
        <row r="35">
          <cell r="E35">
            <v>112172.33</v>
          </cell>
        </row>
        <row r="42">
          <cell r="E42">
            <v>9400</v>
          </cell>
        </row>
        <row r="44">
          <cell r="E44">
            <v>594259</v>
          </cell>
        </row>
        <row r="45">
          <cell r="E45">
            <v>50000</v>
          </cell>
        </row>
        <row r="46">
          <cell r="E46">
            <v>78000</v>
          </cell>
        </row>
        <row r="47">
          <cell r="E47">
            <v>120285</v>
          </cell>
        </row>
        <row r="48">
          <cell r="E48">
            <v>144900</v>
          </cell>
        </row>
        <row r="49">
          <cell r="E49">
            <v>130000</v>
          </cell>
        </row>
        <row r="50">
          <cell r="E50">
            <v>135145.60000000001</v>
          </cell>
        </row>
        <row r="51">
          <cell r="E51">
            <v>89935</v>
          </cell>
        </row>
        <row r="52">
          <cell r="E52">
            <v>3900</v>
          </cell>
        </row>
        <row r="53">
          <cell r="E53">
            <v>15000</v>
          </cell>
        </row>
        <row r="54">
          <cell r="E54">
            <v>2772703.5</v>
          </cell>
          <cell r="J54">
            <v>695984</v>
          </cell>
          <cell r="K54">
            <v>1400267</v>
          </cell>
        </row>
        <row r="56">
          <cell r="E56">
            <v>80000</v>
          </cell>
        </row>
        <row r="63">
          <cell r="E63">
            <v>8000</v>
          </cell>
        </row>
        <row r="64">
          <cell r="E64">
            <v>1000</v>
          </cell>
          <cell r="J64">
            <v>1000</v>
          </cell>
        </row>
        <row r="65">
          <cell r="E65">
            <v>0</v>
          </cell>
        </row>
        <row r="66">
          <cell r="E66">
            <v>29874.9</v>
          </cell>
        </row>
        <row r="67">
          <cell r="E67">
            <v>15462</v>
          </cell>
        </row>
        <row r="68">
          <cell r="E68">
            <v>5000</v>
          </cell>
        </row>
        <row r="69">
          <cell r="E69">
            <v>4000</v>
          </cell>
        </row>
        <row r="70">
          <cell r="E70">
            <v>1000</v>
          </cell>
        </row>
        <row r="71">
          <cell r="E71">
            <v>13500</v>
          </cell>
        </row>
        <row r="72">
          <cell r="E72">
            <v>73022</v>
          </cell>
        </row>
        <row r="73">
          <cell r="E73">
            <v>3000</v>
          </cell>
        </row>
        <row r="74">
          <cell r="E74">
            <v>65220</v>
          </cell>
        </row>
        <row r="75">
          <cell r="E75">
            <v>6000</v>
          </cell>
        </row>
        <row r="76">
          <cell r="E76">
            <v>3000</v>
          </cell>
        </row>
        <row r="77">
          <cell r="E77">
            <v>0</v>
          </cell>
        </row>
        <row r="78">
          <cell r="E78">
            <v>862600</v>
          </cell>
          <cell r="K78">
            <v>645000</v>
          </cell>
        </row>
      </sheetData>
      <sheetData sheetId="10"/>
      <sheetData sheetId="11"/>
      <sheetData sheetId="12"/>
      <sheetData sheetId="13"/>
      <sheetData sheetId="14"/>
      <sheetData sheetId="15"/>
      <sheetData sheetId="16"/>
      <sheetData sheetId="17">
        <row r="7">
          <cell r="E7">
            <v>185312.71</v>
          </cell>
        </row>
        <row r="81">
          <cell r="E81">
            <v>7321274.6200000001</v>
          </cell>
        </row>
        <row r="103">
          <cell r="J103">
            <v>234933.47000000026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row r="206">
          <cell r="X206">
            <v>3601890.1379218102</v>
          </cell>
        </row>
      </sheetData>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88E1-5B88-4809-9737-452D63565896}">
  <sheetPr>
    <tabColor rgb="FF92D050"/>
    <pageSetUpPr fitToPage="1"/>
  </sheetPr>
  <dimension ref="A1:AB280"/>
  <sheetViews>
    <sheetView tabSelected="1" zoomScaleNormal="100" zoomScaleSheetLayoutView="80" workbookViewId="0">
      <pane xSplit="4" ySplit="5" topLeftCell="T6" activePane="bottomRight" state="frozen"/>
      <selection activeCell="C1" sqref="C1"/>
      <selection pane="topRight" activeCell="E1" sqref="E1"/>
      <selection pane="bottomLeft" activeCell="C6" sqref="C6"/>
      <selection pane="bottomRight" activeCell="AA6" sqref="AA6"/>
    </sheetView>
  </sheetViews>
  <sheetFormatPr defaultRowHeight="13.8" outlineLevelRow="1" outlineLevelCol="2" x14ac:dyDescent="0.25"/>
  <cols>
    <col min="1" max="1" width="7.875" style="1" hidden="1" customWidth="1" outlineLevel="2"/>
    <col min="2" max="2" width="11.375" style="1" hidden="1" customWidth="1" outlineLevel="2"/>
    <col min="3" max="3" width="15" style="140" customWidth="1" collapsed="1"/>
    <col min="4" max="4" width="48.625" style="3" customWidth="1"/>
    <col min="5" max="5" width="14.875" style="1" hidden="1" customWidth="1" outlineLevel="2"/>
    <col min="6" max="6" width="16.625" style="1" hidden="1" customWidth="1" outlineLevel="2"/>
    <col min="7" max="11" width="14.875" style="1" hidden="1" customWidth="1" outlineLevel="2"/>
    <col min="12" max="12" width="14.875" style="1" hidden="1" customWidth="1" outlineLevel="1"/>
    <col min="13" max="14" width="14.875" style="7" customWidth="1" collapsed="1"/>
    <col min="15" max="15" width="14.875" style="1" hidden="1" customWidth="1" outlineLevel="1"/>
    <col min="16" max="16" width="54" style="13" hidden="1" customWidth="1" outlineLevel="1" collapsed="1"/>
    <col min="17" max="17" width="14.875" style="1" customWidth="1" collapsed="1"/>
    <col min="18" max="18" width="14.875" style="1" hidden="1" customWidth="1" outlineLevel="1"/>
    <col min="19" max="19" width="56.375" style="13" hidden="1" customWidth="1" outlineLevel="1" collapsed="1"/>
    <col min="20" max="20" width="14.875" style="1" customWidth="1" collapsed="1"/>
    <col min="21" max="21" width="14.875" style="1" hidden="1" customWidth="1" outlineLevel="1"/>
    <col min="22" max="22" width="56.375" style="13" hidden="1" customWidth="1" outlineLevel="1" collapsed="1"/>
    <col min="23" max="23" width="14.875" style="1" customWidth="1" collapsed="1"/>
    <col min="24" max="24" width="14.875" style="1" hidden="1" customWidth="1" outlineLevel="1"/>
    <col min="25" max="25" width="56.375" style="13" hidden="1" customWidth="1" outlineLevel="1" collapsed="1"/>
    <col min="26" max="26" width="14.875" style="1" customWidth="1" collapsed="1"/>
    <col min="27" max="27" width="14.875" style="1" customWidth="1"/>
    <col min="28" max="28" width="56.375" style="13" customWidth="1" collapsed="1"/>
    <col min="29" max="187" width="9.125" style="1"/>
    <col min="188" max="189" width="0" style="1" hidden="1" customWidth="1"/>
    <col min="190" max="190" width="13.75" style="1" customWidth="1"/>
    <col min="191" max="191" width="52.875" style="1" customWidth="1"/>
    <col min="192" max="231" width="0" style="1" hidden="1" customWidth="1"/>
    <col min="232" max="233" width="14.875" style="1" customWidth="1"/>
    <col min="234" max="235" width="0" style="1" hidden="1" customWidth="1"/>
    <col min="236" max="236" width="14.875" style="1" customWidth="1"/>
    <col min="237" max="238" width="0" style="1" hidden="1" customWidth="1"/>
    <col min="239" max="239" width="14.875" style="1" customWidth="1"/>
    <col min="240" max="241" width="0" style="1" hidden="1" customWidth="1"/>
    <col min="242" max="242" width="14.875" style="1" customWidth="1"/>
    <col min="243" max="244" width="0" style="1" hidden="1" customWidth="1"/>
    <col min="245" max="245" width="14.875" style="1" customWidth="1"/>
    <col min="246" max="247" width="0" style="1" hidden="1" customWidth="1"/>
    <col min="248" max="249" width="14.875" style="1" customWidth="1"/>
    <col min="250" max="250" width="44.375" style="1" customWidth="1"/>
    <col min="251" max="255" width="14.875" style="1" customWidth="1"/>
    <col min="256" max="256" width="63.875" style="1" customWidth="1"/>
    <col min="257" max="257" width="13.25" style="1" customWidth="1"/>
    <col min="258" max="443" width="9.125" style="1"/>
    <col min="444" max="445" width="0" style="1" hidden="1" customWidth="1"/>
    <col min="446" max="446" width="13.75" style="1" customWidth="1"/>
    <col min="447" max="447" width="52.875" style="1" customWidth="1"/>
    <col min="448" max="487" width="0" style="1" hidden="1" customWidth="1"/>
    <col min="488" max="489" width="14.875" style="1" customWidth="1"/>
    <col min="490" max="491" width="0" style="1" hidden="1" customWidth="1"/>
    <col min="492" max="492" width="14.875" style="1" customWidth="1"/>
    <col min="493" max="494" width="0" style="1" hidden="1" customWidth="1"/>
    <col min="495" max="495" width="14.875" style="1" customWidth="1"/>
    <col min="496" max="497" width="0" style="1" hidden="1" customWidth="1"/>
    <col min="498" max="498" width="14.875" style="1" customWidth="1"/>
    <col min="499" max="500" width="0" style="1" hidden="1" customWidth="1"/>
    <col min="501" max="501" width="14.875" style="1" customWidth="1"/>
    <col min="502" max="503" width="0" style="1" hidden="1" customWidth="1"/>
    <col min="504" max="505" width="14.875" style="1" customWidth="1"/>
    <col min="506" max="506" width="44.375" style="1" customWidth="1"/>
    <col min="507" max="511" width="14.875" style="1" customWidth="1"/>
    <col min="512" max="512" width="63.875" style="1" customWidth="1"/>
    <col min="513" max="513" width="13.25" style="1" customWidth="1"/>
    <col min="514" max="699" width="9.125" style="1"/>
    <col min="700" max="701" width="0" style="1" hidden="1" customWidth="1"/>
    <col min="702" max="702" width="13.75" style="1" customWidth="1"/>
    <col min="703" max="703" width="52.875" style="1" customWidth="1"/>
    <col min="704" max="743" width="0" style="1" hidden="1" customWidth="1"/>
    <col min="744" max="745" width="14.875" style="1" customWidth="1"/>
    <col min="746" max="747" width="0" style="1" hidden="1" customWidth="1"/>
    <col min="748" max="748" width="14.875" style="1" customWidth="1"/>
    <col min="749" max="750" width="0" style="1" hidden="1" customWidth="1"/>
    <col min="751" max="751" width="14.875" style="1" customWidth="1"/>
    <col min="752" max="753" width="0" style="1" hidden="1" customWidth="1"/>
    <col min="754" max="754" width="14.875" style="1" customWidth="1"/>
    <col min="755" max="756" width="0" style="1" hidden="1" customWidth="1"/>
    <col min="757" max="757" width="14.875" style="1" customWidth="1"/>
    <col min="758" max="759" width="0" style="1" hidden="1" customWidth="1"/>
    <col min="760" max="761" width="14.875" style="1" customWidth="1"/>
    <col min="762" max="762" width="44.375" style="1" customWidth="1"/>
    <col min="763" max="767" width="14.875" style="1" customWidth="1"/>
    <col min="768" max="768" width="63.875" style="1" customWidth="1"/>
    <col min="769" max="769" width="13.25" style="1" customWidth="1"/>
    <col min="770" max="955" width="9.125" style="1"/>
    <col min="956" max="957" width="0" style="1" hidden="1" customWidth="1"/>
    <col min="958" max="958" width="13.75" style="1" customWidth="1"/>
    <col min="959" max="959" width="52.875" style="1" customWidth="1"/>
    <col min="960" max="999" width="0" style="1" hidden="1" customWidth="1"/>
    <col min="1000" max="1001" width="14.875" style="1" customWidth="1"/>
    <col min="1002" max="1003" width="0" style="1" hidden="1" customWidth="1"/>
    <col min="1004" max="1004" width="14.875" style="1" customWidth="1"/>
    <col min="1005" max="1006" width="0" style="1" hidden="1" customWidth="1"/>
    <col min="1007" max="1007" width="14.875" style="1" customWidth="1"/>
    <col min="1008" max="1009" width="0" style="1" hidden="1" customWidth="1"/>
    <col min="1010" max="1010" width="14.875" style="1" customWidth="1"/>
    <col min="1011" max="1012" width="0" style="1" hidden="1" customWidth="1"/>
    <col min="1013" max="1013" width="14.875" style="1" customWidth="1"/>
    <col min="1014" max="1015" width="0" style="1" hidden="1" customWidth="1"/>
    <col min="1016" max="1017" width="14.875" style="1" customWidth="1"/>
    <col min="1018" max="1018" width="44.375" style="1" customWidth="1"/>
    <col min="1019" max="1023" width="14.875" style="1" customWidth="1"/>
    <col min="1024" max="1024" width="63.875" style="1" customWidth="1"/>
    <col min="1025" max="1025" width="13.25" style="1" customWidth="1"/>
    <col min="1026" max="1211" width="9.125" style="1"/>
    <col min="1212" max="1213" width="0" style="1" hidden="1" customWidth="1"/>
    <col min="1214" max="1214" width="13.75" style="1" customWidth="1"/>
    <col min="1215" max="1215" width="52.875" style="1" customWidth="1"/>
    <col min="1216" max="1255" width="0" style="1" hidden="1" customWidth="1"/>
    <col min="1256" max="1257" width="14.875" style="1" customWidth="1"/>
    <col min="1258" max="1259" width="0" style="1" hidden="1" customWidth="1"/>
    <col min="1260" max="1260" width="14.875" style="1" customWidth="1"/>
    <col min="1261" max="1262" width="0" style="1" hidden="1" customWidth="1"/>
    <col min="1263" max="1263" width="14.875" style="1" customWidth="1"/>
    <col min="1264" max="1265" width="0" style="1" hidden="1" customWidth="1"/>
    <col min="1266" max="1266" width="14.875" style="1" customWidth="1"/>
    <col min="1267" max="1268" width="0" style="1" hidden="1" customWidth="1"/>
    <col min="1269" max="1269" width="14.875" style="1" customWidth="1"/>
    <col min="1270" max="1271" width="0" style="1" hidden="1" customWidth="1"/>
    <col min="1272" max="1273" width="14.875" style="1" customWidth="1"/>
    <col min="1274" max="1274" width="44.375" style="1" customWidth="1"/>
    <col min="1275" max="1279" width="14.875" style="1" customWidth="1"/>
    <col min="1280" max="1280" width="63.875" style="1" customWidth="1"/>
    <col min="1281" max="1281" width="13.25" style="1" customWidth="1"/>
    <col min="1282" max="1467" width="9.125" style="1"/>
    <col min="1468" max="1469" width="0" style="1" hidden="1" customWidth="1"/>
    <col min="1470" max="1470" width="13.75" style="1" customWidth="1"/>
    <col min="1471" max="1471" width="52.875" style="1" customWidth="1"/>
    <col min="1472" max="1511" width="0" style="1" hidden="1" customWidth="1"/>
    <col min="1512" max="1513" width="14.875" style="1" customWidth="1"/>
    <col min="1514" max="1515" width="0" style="1" hidden="1" customWidth="1"/>
    <col min="1516" max="1516" width="14.875" style="1" customWidth="1"/>
    <col min="1517" max="1518" width="0" style="1" hidden="1" customWidth="1"/>
    <col min="1519" max="1519" width="14.875" style="1" customWidth="1"/>
    <col min="1520" max="1521" width="0" style="1" hidden="1" customWidth="1"/>
    <col min="1522" max="1522" width="14.875" style="1" customWidth="1"/>
    <col min="1523" max="1524" width="0" style="1" hidden="1" customWidth="1"/>
    <col min="1525" max="1525" width="14.875" style="1" customWidth="1"/>
    <col min="1526" max="1527" width="0" style="1" hidden="1" customWidth="1"/>
    <col min="1528" max="1529" width="14.875" style="1" customWidth="1"/>
    <col min="1530" max="1530" width="44.375" style="1" customWidth="1"/>
    <col min="1531" max="1535" width="14.875" style="1" customWidth="1"/>
    <col min="1536" max="1536" width="63.875" style="1" customWidth="1"/>
    <col min="1537" max="1537" width="13.25" style="1" customWidth="1"/>
    <col min="1538" max="1723" width="9.125" style="1"/>
    <col min="1724" max="1725" width="0" style="1" hidden="1" customWidth="1"/>
    <col min="1726" max="1726" width="13.75" style="1" customWidth="1"/>
    <col min="1727" max="1727" width="52.875" style="1" customWidth="1"/>
    <col min="1728" max="1767" width="0" style="1" hidden="1" customWidth="1"/>
    <col min="1768" max="1769" width="14.875" style="1" customWidth="1"/>
    <col min="1770" max="1771" width="0" style="1" hidden="1" customWidth="1"/>
    <col min="1772" max="1772" width="14.875" style="1" customWidth="1"/>
    <col min="1773" max="1774" width="0" style="1" hidden="1" customWidth="1"/>
    <col min="1775" max="1775" width="14.875" style="1" customWidth="1"/>
    <col min="1776" max="1777" width="0" style="1" hidden="1" customWidth="1"/>
    <col min="1778" max="1778" width="14.875" style="1" customWidth="1"/>
    <col min="1779" max="1780" width="0" style="1" hidden="1" customWidth="1"/>
    <col min="1781" max="1781" width="14.875" style="1" customWidth="1"/>
    <col min="1782" max="1783" width="0" style="1" hidden="1" customWidth="1"/>
    <col min="1784" max="1785" width="14.875" style="1" customWidth="1"/>
    <col min="1786" max="1786" width="44.375" style="1" customWidth="1"/>
    <col min="1787" max="1791" width="14.875" style="1" customWidth="1"/>
    <col min="1792" max="1792" width="63.875" style="1" customWidth="1"/>
    <col min="1793" max="1793" width="13.25" style="1" customWidth="1"/>
    <col min="1794" max="1979" width="9.125" style="1"/>
    <col min="1980" max="1981" width="0" style="1" hidden="1" customWidth="1"/>
    <col min="1982" max="1982" width="13.75" style="1" customWidth="1"/>
    <col min="1983" max="1983" width="52.875" style="1" customWidth="1"/>
    <col min="1984" max="2023" width="0" style="1" hidden="1" customWidth="1"/>
    <col min="2024" max="2025" width="14.875" style="1" customWidth="1"/>
    <col min="2026" max="2027" width="0" style="1" hidden="1" customWidth="1"/>
    <col min="2028" max="2028" width="14.875" style="1" customWidth="1"/>
    <col min="2029" max="2030" width="0" style="1" hidden="1" customWidth="1"/>
    <col min="2031" max="2031" width="14.875" style="1" customWidth="1"/>
    <col min="2032" max="2033" width="0" style="1" hidden="1" customWidth="1"/>
    <col min="2034" max="2034" width="14.875" style="1" customWidth="1"/>
    <col min="2035" max="2036" width="0" style="1" hidden="1" customWidth="1"/>
    <col min="2037" max="2037" width="14.875" style="1" customWidth="1"/>
    <col min="2038" max="2039" width="0" style="1" hidden="1" customWidth="1"/>
    <col min="2040" max="2041" width="14.875" style="1" customWidth="1"/>
    <col min="2042" max="2042" width="44.375" style="1" customWidth="1"/>
    <col min="2043" max="2047" width="14.875" style="1" customWidth="1"/>
    <col min="2048" max="2048" width="63.875" style="1" customWidth="1"/>
    <col min="2049" max="2049" width="13.25" style="1" customWidth="1"/>
    <col min="2050" max="2235" width="9.125" style="1"/>
    <col min="2236" max="2237" width="0" style="1" hidden="1" customWidth="1"/>
    <col min="2238" max="2238" width="13.75" style="1" customWidth="1"/>
    <col min="2239" max="2239" width="52.875" style="1" customWidth="1"/>
    <col min="2240" max="2279" width="0" style="1" hidden="1" customWidth="1"/>
    <col min="2280" max="2281" width="14.875" style="1" customWidth="1"/>
    <col min="2282" max="2283" width="0" style="1" hidden="1" customWidth="1"/>
    <col min="2284" max="2284" width="14.875" style="1" customWidth="1"/>
    <col min="2285" max="2286" width="0" style="1" hidden="1" customWidth="1"/>
    <col min="2287" max="2287" width="14.875" style="1" customWidth="1"/>
    <col min="2288" max="2289" width="0" style="1" hidden="1" customWidth="1"/>
    <col min="2290" max="2290" width="14.875" style="1" customWidth="1"/>
    <col min="2291" max="2292" width="0" style="1" hidden="1" customWidth="1"/>
    <col min="2293" max="2293" width="14.875" style="1" customWidth="1"/>
    <col min="2294" max="2295" width="0" style="1" hidden="1" customWidth="1"/>
    <col min="2296" max="2297" width="14.875" style="1" customWidth="1"/>
    <col min="2298" max="2298" width="44.375" style="1" customWidth="1"/>
    <col min="2299" max="2303" width="14.875" style="1" customWidth="1"/>
    <col min="2304" max="2304" width="63.875" style="1" customWidth="1"/>
    <col min="2305" max="2305" width="13.25" style="1" customWidth="1"/>
    <col min="2306" max="2491" width="9.125" style="1"/>
    <col min="2492" max="2493" width="0" style="1" hidden="1" customWidth="1"/>
    <col min="2494" max="2494" width="13.75" style="1" customWidth="1"/>
    <col min="2495" max="2495" width="52.875" style="1" customWidth="1"/>
    <col min="2496" max="2535" width="0" style="1" hidden="1" customWidth="1"/>
    <col min="2536" max="2537" width="14.875" style="1" customWidth="1"/>
    <col min="2538" max="2539" width="0" style="1" hidden="1" customWidth="1"/>
    <col min="2540" max="2540" width="14.875" style="1" customWidth="1"/>
    <col min="2541" max="2542" width="0" style="1" hidden="1" customWidth="1"/>
    <col min="2543" max="2543" width="14.875" style="1" customWidth="1"/>
    <col min="2544" max="2545" width="0" style="1" hidden="1" customWidth="1"/>
    <col min="2546" max="2546" width="14.875" style="1" customWidth="1"/>
    <col min="2547" max="2548" width="0" style="1" hidden="1" customWidth="1"/>
    <col min="2549" max="2549" width="14.875" style="1" customWidth="1"/>
    <col min="2550" max="2551" width="0" style="1" hidden="1" customWidth="1"/>
    <col min="2552" max="2553" width="14.875" style="1" customWidth="1"/>
    <col min="2554" max="2554" width="44.375" style="1" customWidth="1"/>
    <col min="2555" max="2559" width="14.875" style="1" customWidth="1"/>
    <col min="2560" max="2560" width="63.875" style="1" customWidth="1"/>
    <col min="2561" max="2561" width="13.25" style="1" customWidth="1"/>
    <col min="2562" max="2747" width="9.125" style="1"/>
    <col min="2748" max="2749" width="0" style="1" hidden="1" customWidth="1"/>
    <col min="2750" max="2750" width="13.75" style="1" customWidth="1"/>
    <col min="2751" max="2751" width="52.875" style="1" customWidth="1"/>
    <col min="2752" max="2791" width="0" style="1" hidden="1" customWidth="1"/>
    <col min="2792" max="2793" width="14.875" style="1" customWidth="1"/>
    <col min="2794" max="2795" width="0" style="1" hidden="1" customWidth="1"/>
    <col min="2796" max="2796" width="14.875" style="1" customWidth="1"/>
    <col min="2797" max="2798" width="0" style="1" hidden="1" customWidth="1"/>
    <col min="2799" max="2799" width="14.875" style="1" customWidth="1"/>
    <col min="2800" max="2801" width="0" style="1" hidden="1" customWidth="1"/>
    <col min="2802" max="2802" width="14.875" style="1" customWidth="1"/>
    <col min="2803" max="2804" width="0" style="1" hidden="1" customWidth="1"/>
    <col min="2805" max="2805" width="14.875" style="1" customWidth="1"/>
    <col min="2806" max="2807" width="0" style="1" hidden="1" customWidth="1"/>
    <col min="2808" max="2809" width="14.875" style="1" customWidth="1"/>
    <col min="2810" max="2810" width="44.375" style="1" customWidth="1"/>
    <col min="2811" max="2815" width="14.875" style="1" customWidth="1"/>
    <col min="2816" max="2816" width="63.875" style="1" customWidth="1"/>
    <col min="2817" max="2817" width="13.25" style="1" customWidth="1"/>
    <col min="2818" max="3003" width="9.125" style="1"/>
    <col min="3004" max="3005" width="0" style="1" hidden="1" customWidth="1"/>
    <col min="3006" max="3006" width="13.75" style="1" customWidth="1"/>
    <col min="3007" max="3007" width="52.875" style="1" customWidth="1"/>
    <col min="3008" max="3047" width="0" style="1" hidden="1" customWidth="1"/>
    <col min="3048" max="3049" width="14.875" style="1" customWidth="1"/>
    <col min="3050" max="3051" width="0" style="1" hidden="1" customWidth="1"/>
    <col min="3052" max="3052" width="14.875" style="1" customWidth="1"/>
    <col min="3053" max="3054" width="0" style="1" hidden="1" customWidth="1"/>
    <col min="3055" max="3055" width="14.875" style="1" customWidth="1"/>
    <col min="3056" max="3057" width="0" style="1" hidden="1" customWidth="1"/>
    <col min="3058" max="3058" width="14.875" style="1" customWidth="1"/>
    <col min="3059" max="3060" width="0" style="1" hidden="1" customWidth="1"/>
    <col min="3061" max="3061" width="14.875" style="1" customWidth="1"/>
    <col min="3062" max="3063" width="0" style="1" hidden="1" customWidth="1"/>
    <col min="3064" max="3065" width="14.875" style="1" customWidth="1"/>
    <col min="3066" max="3066" width="44.375" style="1" customWidth="1"/>
    <col min="3067" max="3071" width="14.875" style="1" customWidth="1"/>
    <col min="3072" max="3072" width="63.875" style="1" customWidth="1"/>
    <col min="3073" max="3073" width="13.25" style="1" customWidth="1"/>
    <col min="3074" max="3259" width="9.125" style="1"/>
    <col min="3260" max="3261" width="0" style="1" hidden="1" customWidth="1"/>
    <col min="3262" max="3262" width="13.75" style="1" customWidth="1"/>
    <col min="3263" max="3263" width="52.875" style="1" customWidth="1"/>
    <col min="3264" max="3303" width="0" style="1" hidden="1" customWidth="1"/>
    <col min="3304" max="3305" width="14.875" style="1" customWidth="1"/>
    <col min="3306" max="3307" width="0" style="1" hidden="1" customWidth="1"/>
    <col min="3308" max="3308" width="14.875" style="1" customWidth="1"/>
    <col min="3309" max="3310" width="0" style="1" hidden="1" customWidth="1"/>
    <col min="3311" max="3311" width="14.875" style="1" customWidth="1"/>
    <col min="3312" max="3313" width="0" style="1" hidden="1" customWidth="1"/>
    <col min="3314" max="3314" width="14.875" style="1" customWidth="1"/>
    <col min="3315" max="3316" width="0" style="1" hidden="1" customWidth="1"/>
    <col min="3317" max="3317" width="14.875" style="1" customWidth="1"/>
    <col min="3318" max="3319" width="0" style="1" hidden="1" customWidth="1"/>
    <col min="3320" max="3321" width="14.875" style="1" customWidth="1"/>
    <col min="3322" max="3322" width="44.375" style="1" customWidth="1"/>
    <col min="3323" max="3327" width="14.875" style="1" customWidth="1"/>
    <col min="3328" max="3328" width="63.875" style="1" customWidth="1"/>
    <col min="3329" max="3329" width="13.25" style="1" customWidth="1"/>
    <col min="3330" max="3515" width="9.125" style="1"/>
    <col min="3516" max="3517" width="0" style="1" hidden="1" customWidth="1"/>
    <col min="3518" max="3518" width="13.75" style="1" customWidth="1"/>
    <col min="3519" max="3519" width="52.875" style="1" customWidth="1"/>
    <col min="3520" max="3559" width="0" style="1" hidden="1" customWidth="1"/>
    <col min="3560" max="3561" width="14.875" style="1" customWidth="1"/>
    <col min="3562" max="3563" width="0" style="1" hidden="1" customWidth="1"/>
    <col min="3564" max="3564" width="14.875" style="1" customWidth="1"/>
    <col min="3565" max="3566" width="0" style="1" hidden="1" customWidth="1"/>
    <col min="3567" max="3567" width="14.875" style="1" customWidth="1"/>
    <col min="3568" max="3569" width="0" style="1" hidden="1" customWidth="1"/>
    <col min="3570" max="3570" width="14.875" style="1" customWidth="1"/>
    <col min="3571" max="3572" width="0" style="1" hidden="1" customWidth="1"/>
    <col min="3573" max="3573" width="14.875" style="1" customWidth="1"/>
    <col min="3574" max="3575" width="0" style="1" hidden="1" customWidth="1"/>
    <col min="3576" max="3577" width="14.875" style="1" customWidth="1"/>
    <col min="3578" max="3578" width="44.375" style="1" customWidth="1"/>
    <col min="3579" max="3583" width="14.875" style="1" customWidth="1"/>
    <col min="3584" max="3584" width="63.875" style="1" customWidth="1"/>
    <col min="3585" max="3585" width="13.25" style="1" customWidth="1"/>
    <col min="3586" max="3771" width="9.125" style="1"/>
    <col min="3772" max="3773" width="0" style="1" hidden="1" customWidth="1"/>
    <col min="3774" max="3774" width="13.75" style="1" customWidth="1"/>
    <col min="3775" max="3775" width="52.875" style="1" customWidth="1"/>
    <col min="3776" max="3815" width="0" style="1" hidden="1" customWidth="1"/>
    <col min="3816" max="3817" width="14.875" style="1" customWidth="1"/>
    <col min="3818" max="3819" width="0" style="1" hidden="1" customWidth="1"/>
    <col min="3820" max="3820" width="14.875" style="1" customWidth="1"/>
    <col min="3821" max="3822" width="0" style="1" hidden="1" customWidth="1"/>
    <col min="3823" max="3823" width="14.875" style="1" customWidth="1"/>
    <col min="3824" max="3825" width="0" style="1" hidden="1" customWidth="1"/>
    <col min="3826" max="3826" width="14.875" style="1" customWidth="1"/>
    <col min="3827" max="3828" width="0" style="1" hidden="1" customWidth="1"/>
    <col min="3829" max="3829" width="14.875" style="1" customWidth="1"/>
    <col min="3830" max="3831" width="0" style="1" hidden="1" customWidth="1"/>
    <col min="3832" max="3833" width="14.875" style="1" customWidth="1"/>
    <col min="3834" max="3834" width="44.375" style="1" customWidth="1"/>
    <col min="3835" max="3839" width="14.875" style="1" customWidth="1"/>
    <col min="3840" max="3840" width="63.875" style="1" customWidth="1"/>
    <col min="3841" max="3841" width="13.25" style="1" customWidth="1"/>
    <col min="3842" max="4027" width="9.125" style="1"/>
    <col min="4028" max="4029" width="0" style="1" hidden="1" customWidth="1"/>
    <col min="4030" max="4030" width="13.75" style="1" customWidth="1"/>
    <col min="4031" max="4031" width="52.875" style="1" customWidth="1"/>
    <col min="4032" max="4071" width="0" style="1" hidden="1" customWidth="1"/>
    <col min="4072" max="4073" width="14.875" style="1" customWidth="1"/>
    <col min="4074" max="4075" width="0" style="1" hidden="1" customWidth="1"/>
    <col min="4076" max="4076" width="14.875" style="1" customWidth="1"/>
    <col min="4077" max="4078" width="0" style="1" hidden="1" customWidth="1"/>
    <col min="4079" max="4079" width="14.875" style="1" customWidth="1"/>
    <col min="4080" max="4081" width="0" style="1" hidden="1" customWidth="1"/>
    <col min="4082" max="4082" width="14.875" style="1" customWidth="1"/>
    <col min="4083" max="4084" width="0" style="1" hidden="1" customWidth="1"/>
    <col min="4085" max="4085" width="14.875" style="1" customWidth="1"/>
    <col min="4086" max="4087" width="0" style="1" hidden="1" customWidth="1"/>
    <col min="4088" max="4089" width="14.875" style="1" customWidth="1"/>
    <col min="4090" max="4090" width="44.375" style="1" customWidth="1"/>
    <col min="4091" max="4095" width="14.875" style="1" customWidth="1"/>
    <col min="4096" max="4096" width="63.875" style="1" customWidth="1"/>
    <col min="4097" max="4097" width="13.25" style="1" customWidth="1"/>
    <col min="4098" max="4283" width="9.125" style="1"/>
    <col min="4284" max="4285" width="0" style="1" hidden="1" customWidth="1"/>
    <col min="4286" max="4286" width="13.75" style="1" customWidth="1"/>
    <col min="4287" max="4287" width="52.875" style="1" customWidth="1"/>
    <col min="4288" max="4327" width="0" style="1" hidden="1" customWidth="1"/>
    <col min="4328" max="4329" width="14.875" style="1" customWidth="1"/>
    <col min="4330" max="4331" width="0" style="1" hidden="1" customWidth="1"/>
    <col min="4332" max="4332" width="14.875" style="1" customWidth="1"/>
    <col min="4333" max="4334" width="0" style="1" hidden="1" customWidth="1"/>
    <col min="4335" max="4335" width="14.875" style="1" customWidth="1"/>
    <col min="4336" max="4337" width="0" style="1" hidden="1" customWidth="1"/>
    <col min="4338" max="4338" width="14.875" style="1" customWidth="1"/>
    <col min="4339" max="4340" width="0" style="1" hidden="1" customWidth="1"/>
    <col min="4341" max="4341" width="14.875" style="1" customWidth="1"/>
    <col min="4342" max="4343" width="0" style="1" hidden="1" customWidth="1"/>
    <col min="4344" max="4345" width="14.875" style="1" customWidth="1"/>
    <col min="4346" max="4346" width="44.375" style="1" customWidth="1"/>
    <col min="4347" max="4351" width="14.875" style="1" customWidth="1"/>
    <col min="4352" max="4352" width="63.875" style="1" customWidth="1"/>
    <col min="4353" max="4353" width="13.25" style="1" customWidth="1"/>
    <col min="4354" max="4539" width="9.125" style="1"/>
    <col min="4540" max="4541" width="0" style="1" hidden="1" customWidth="1"/>
    <col min="4542" max="4542" width="13.75" style="1" customWidth="1"/>
    <col min="4543" max="4543" width="52.875" style="1" customWidth="1"/>
    <col min="4544" max="4583" width="0" style="1" hidden="1" customWidth="1"/>
    <col min="4584" max="4585" width="14.875" style="1" customWidth="1"/>
    <col min="4586" max="4587" width="0" style="1" hidden="1" customWidth="1"/>
    <col min="4588" max="4588" width="14.875" style="1" customWidth="1"/>
    <col min="4589" max="4590" width="0" style="1" hidden="1" customWidth="1"/>
    <col min="4591" max="4591" width="14.875" style="1" customWidth="1"/>
    <col min="4592" max="4593" width="0" style="1" hidden="1" customWidth="1"/>
    <col min="4594" max="4594" width="14.875" style="1" customWidth="1"/>
    <col min="4595" max="4596" width="0" style="1" hidden="1" customWidth="1"/>
    <col min="4597" max="4597" width="14.875" style="1" customWidth="1"/>
    <col min="4598" max="4599" width="0" style="1" hidden="1" customWidth="1"/>
    <col min="4600" max="4601" width="14.875" style="1" customWidth="1"/>
    <col min="4602" max="4602" width="44.375" style="1" customWidth="1"/>
    <col min="4603" max="4607" width="14.875" style="1" customWidth="1"/>
    <col min="4608" max="4608" width="63.875" style="1" customWidth="1"/>
    <col min="4609" max="4609" width="13.25" style="1" customWidth="1"/>
    <col min="4610" max="4795" width="9.125" style="1"/>
    <col min="4796" max="4797" width="0" style="1" hidden="1" customWidth="1"/>
    <col min="4798" max="4798" width="13.75" style="1" customWidth="1"/>
    <col min="4799" max="4799" width="52.875" style="1" customWidth="1"/>
    <col min="4800" max="4839" width="0" style="1" hidden="1" customWidth="1"/>
    <col min="4840" max="4841" width="14.875" style="1" customWidth="1"/>
    <col min="4842" max="4843" width="0" style="1" hidden="1" customWidth="1"/>
    <col min="4844" max="4844" width="14.875" style="1" customWidth="1"/>
    <col min="4845" max="4846" width="0" style="1" hidden="1" customWidth="1"/>
    <col min="4847" max="4847" width="14.875" style="1" customWidth="1"/>
    <col min="4848" max="4849" width="0" style="1" hidden="1" customWidth="1"/>
    <col min="4850" max="4850" width="14.875" style="1" customWidth="1"/>
    <col min="4851" max="4852" width="0" style="1" hidden="1" customWidth="1"/>
    <col min="4853" max="4853" width="14.875" style="1" customWidth="1"/>
    <col min="4854" max="4855" width="0" style="1" hidden="1" customWidth="1"/>
    <col min="4856" max="4857" width="14.875" style="1" customWidth="1"/>
    <col min="4858" max="4858" width="44.375" style="1" customWidth="1"/>
    <col min="4859" max="4863" width="14.875" style="1" customWidth="1"/>
    <col min="4864" max="4864" width="63.875" style="1" customWidth="1"/>
    <col min="4865" max="4865" width="13.25" style="1" customWidth="1"/>
    <col min="4866" max="5051" width="9.125" style="1"/>
    <col min="5052" max="5053" width="0" style="1" hidden="1" customWidth="1"/>
    <col min="5054" max="5054" width="13.75" style="1" customWidth="1"/>
    <col min="5055" max="5055" width="52.875" style="1" customWidth="1"/>
    <col min="5056" max="5095" width="0" style="1" hidden="1" customWidth="1"/>
    <col min="5096" max="5097" width="14.875" style="1" customWidth="1"/>
    <col min="5098" max="5099" width="0" style="1" hidden="1" customWidth="1"/>
    <col min="5100" max="5100" width="14.875" style="1" customWidth="1"/>
    <col min="5101" max="5102" width="0" style="1" hidden="1" customWidth="1"/>
    <col min="5103" max="5103" width="14.875" style="1" customWidth="1"/>
    <col min="5104" max="5105" width="0" style="1" hidden="1" customWidth="1"/>
    <col min="5106" max="5106" width="14.875" style="1" customWidth="1"/>
    <col min="5107" max="5108" width="0" style="1" hidden="1" customWidth="1"/>
    <col min="5109" max="5109" width="14.875" style="1" customWidth="1"/>
    <col min="5110" max="5111" width="0" style="1" hidden="1" customWidth="1"/>
    <col min="5112" max="5113" width="14.875" style="1" customWidth="1"/>
    <col min="5114" max="5114" width="44.375" style="1" customWidth="1"/>
    <col min="5115" max="5119" width="14.875" style="1" customWidth="1"/>
    <col min="5120" max="5120" width="63.875" style="1" customWidth="1"/>
    <col min="5121" max="5121" width="13.25" style="1" customWidth="1"/>
    <col min="5122" max="5307" width="9.125" style="1"/>
    <col min="5308" max="5309" width="0" style="1" hidden="1" customWidth="1"/>
    <col min="5310" max="5310" width="13.75" style="1" customWidth="1"/>
    <col min="5311" max="5311" width="52.875" style="1" customWidth="1"/>
    <col min="5312" max="5351" width="0" style="1" hidden="1" customWidth="1"/>
    <col min="5352" max="5353" width="14.875" style="1" customWidth="1"/>
    <col min="5354" max="5355" width="0" style="1" hidden="1" customWidth="1"/>
    <col min="5356" max="5356" width="14.875" style="1" customWidth="1"/>
    <col min="5357" max="5358" width="0" style="1" hidden="1" customWidth="1"/>
    <col min="5359" max="5359" width="14.875" style="1" customWidth="1"/>
    <col min="5360" max="5361" width="0" style="1" hidden="1" customWidth="1"/>
    <col min="5362" max="5362" width="14.875" style="1" customWidth="1"/>
    <col min="5363" max="5364" width="0" style="1" hidden="1" customWidth="1"/>
    <col min="5365" max="5365" width="14.875" style="1" customWidth="1"/>
    <col min="5366" max="5367" width="0" style="1" hidden="1" customWidth="1"/>
    <col min="5368" max="5369" width="14.875" style="1" customWidth="1"/>
    <col min="5370" max="5370" width="44.375" style="1" customWidth="1"/>
    <col min="5371" max="5375" width="14.875" style="1" customWidth="1"/>
    <col min="5376" max="5376" width="63.875" style="1" customWidth="1"/>
    <col min="5377" max="5377" width="13.25" style="1" customWidth="1"/>
    <col min="5378" max="5563" width="9.125" style="1"/>
    <col min="5564" max="5565" width="0" style="1" hidden="1" customWidth="1"/>
    <col min="5566" max="5566" width="13.75" style="1" customWidth="1"/>
    <col min="5567" max="5567" width="52.875" style="1" customWidth="1"/>
    <col min="5568" max="5607" width="0" style="1" hidden="1" customWidth="1"/>
    <col min="5608" max="5609" width="14.875" style="1" customWidth="1"/>
    <col min="5610" max="5611" width="0" style="1" hidden="1" customWidth="1"/>
    <col min="5612" max="5612" width="14.875" style="1" customWidth="1"/>
    <col min="5613" max="5614" width="0" style="1" hidden="1" customWidth="1"/>
    <col min="5615" max="5615" width="14.875" style="1" customWidth="1"/>
    <col min="5616" max="5617" width="0" style="1" hidden="1" customWidth="1"/>
    <col min="5618" max="5618" width="14.875" style="1" customWidth="1"/>
    <col min="5619" max="5620" width="0" style="1" hidden="1" customWidth="1"/>
    <col min="5621" max="5621" width="14.875" style="1" customWidth="1"/>
    <col min="5622" max="5623" width="0" style="1" hidden="1" customWidth="1"/>
    <col min="5624" max="5625" width="14.875" style="1" customWidth="1"/>
    <col min="5626" max="5626" width="44.375" style="1" customWidth="1"/>
    <col min="5627" max="5631" width="14.875" style="1" customWidth="1"/>
    <col min="5632" max="5632" width="63.875" style="1" customWidth="1"/>
    <col min="5633" max="5633" width="13.25" style="1" customWidth="1"/>
    <col min="5634" max="5819" width="9.125" style="1"/>
    <col min="5820" max="5821" width="0" style="1" hidden="1" customWidth="1"/>
    <col min="5822" max="5822" width="13.75" style="1" customWidth="1"/>
    <col min="5823" max="5823" width="52.875" style="1" customWidth="1"/>
    <col min="5824" max="5863" width="0" style="1" hidden="1" customWidth="1"/>
    <col min="5864" max="5865" width="14.875" style="1" customWidth="1"/>
    <col min="5866" max="5867" width="0" style="1" hidden="1" customWidth="1"/>
    <col min="5868" max="5868" width="14.875" style="1" customWidth="1"/>
    <col min="5869" max="5870" width="0" style="1" hidden="1" customWidth="1"/>
    <col min="5871" max="5871" width="14.875" style="1" customWidth="1"/>
    <col min="5872" max="5873" width="0" style="1" hidden="1" customWidth="1"/>
    <col min="5874" max="5874" width="14.875" style="1" customWidth="1"/>
    <col min="5875" max="5876" width="0" style="1" hidden="1" customWidth="1"/>
    <col min="5877" max="5877" width="14.875" style="1" customWidth="1"/>
    <col min="5878" max="5879" width="0" style="1" hidden="1" customWidth="1"/>
    <col min="5880" max="5881" width="14.875" style="1" customWidth="1"/>
    <col min="5882" max="5882" width="44.375" style="1" customWidth="1"/>
    <col min="5883" max="5887" width="14.875" style="1" customWidth="1"/>
    <col min="5888" max="5888" width="63.875" style="1" customWidth="1"/>
    <col min="5889" max="5889" width="13.25" style="1" customWidth="1"/>
    <col min="5890" max="6075" width="9.125" style="1"/>
    <col min="6076" max="6077" width="0" style="1" hidden="1" customWidth="1"/>
    <col min="6078" max="6078" width="13.75" style="1" customWidth="1"/>
    <col min="6079" max="6079" width="52.875" style="1" customWidth="1"/>
    <col min="6080" max="6119" width="0" style="1" hidden="1" customWidth="1"/>
    <col min="6120" max="6121" width="14.875" style="1" customWidth="1"/>
    <col min="6122" max="6123" width="0" style="1" hidden="1" customWidth="1"/>
    <col min="6124" max="6124" width="14.875" style="1" customWidth="1"/>
    <col min="6125" max="6126" width="0" style="1" hidden="1" customWidth="1"/>
    <col min="6127" max="6127" width="14.875" style="1" customWidth="1"/>
    <col min="6128" max="6129" width="0" style="1" hidden="1" customWidth="1"/>
    <col min="6130" max="6130" width="14.875" style="1" customWidth="1"/>
    <col min="6131" max="6132" width="0" style="1" hidden="1" customWidth="1"/>
    <col min="6133" max="6133" width="14.875" style="1" customWidth="1"/>
    <col min="6134" max="6135" width="0" style="1" hidden="1" customWidth="1"/>
    <col min="6136" max="6137" width="14.875" style="1" customWidth="1"/>
    <col min="6138" max="6138" width="44.375" style="1" customWidth="1"/>
    <col min="6139" max="6143" width="14.875" style="1" customWidth="1"/>
    <col min="6144" max="6144" width="63.875" style="1" customWidth="1"/>
    <col min="6145" max="6145" width="13.25" style="1" customWidth="1"/>
    <col min="6146" max="6331" width="9.125" style="1"/>
    <col min="6332" max="6333" width="0" style="1" hidden="1" customWidth="1"/>
    <col min="6334" max="6334" width="13.75" style="1" customWidth="1"/>
    <col min="6335" max="6335" width="52.875" style="1" customWidth="1"/>
    <col min="6336" max="6375" width="0" style="1" hidden="1" customWidth="1"/>
    <col min="6376" max="6377" width="14.875" style="1" customWidth="1"/>
    <col min="6378" max="6379" width="0" style="1" hidden="1" customWidth="1"/>
    <col min="6380" max="6380" width="14.875" style="1" customWidth="1"/>
    <col min="6381" max="6382" width="0" style="1" hidden="1" customWidth="1"/>
    <col min="6383" max="6383" width="14.875" style="1" customWidth="1"/>
    <col min="6384" max="6385" width="0" style="1" hidden="1" customWidth="1"/>
    <col min="6386" max="6386" width="14.875" style="1" customWidth="1"/>
    <col min="6387" max="6388" width="0" style="1" hidden="1" customWidth="1"/>
    <col min="6389" max="6389" width="14.875" style="1" customWidth="1"/>
    <col min="6390" max="6391" width="0" style="1" hidden="1" customWidth="1"/>
    <col min="6392" max="6393" width="14.875" style="1" customWidth="1"/>
    <col min="6394" max="6394" width="44.375" style="1" customWidth="1"/>
    <col min="6395" max="6399" width="14.875" style="1" customWidth="1"/>
    <col min="6400" max="6400" width="63.875" style="1" customWidth="1"/>
    <col min="6401" max="6401" width="13.25" style="1" customWidth="1"/>
    <col min="6402" max="6587" width="9.125" style="1"/>
    <col min="6588" max="6589" width="0" style="1" hidden="1" customWidth="1"/>
    <col min="6590" max="6590" width="13.75" style="1" customWidth="1"/>
    <col min="6591" max="6591" width="52.875" style="1" customWidth="1"/>
    <col min="6592" max="6631" width="0" style="1" hidden="1" customWidth="1"/>
    <col min="6632" max="6633" width="14.875" style="1" customWidth="1"/>
    <col min="6634" max="6635" width="0" style="1" hidden="1" customWidth="1"/>
    <col min="6636" max="6636" width="14.875" style="1" customWidth="1"/>
    <col min="6637" max="6638" width="0" style="1" hidden="1" customWidth="1"/>
    <col min="6639" max="6639" width="14.875" style="1" customWidth="1"/>
    <col min="6640" max="6641" width="0" style="1" hidden="1" customWidth="1"/>
    <col min="6642" max="6642" width="14.875" style="1" customWidth="1"/>
    <col min="6643" max="6644" width="0" style="1" hidden="1" customWidth="1"/>
    <col min="6645" max="6645" width="14.875" style="1" customWidth="1"/>
    <col min="6646" max="6647" width="0" style="1" hidden="1" customWidth="1"/>
    <col min="6648" max="6649" width="14.875" style="1" customWidth="1"/>
    <col min="6650" max="6650" width="44.375" style="1" customWidth="1"/>
    <col min="6651" max="6655" width="14.875" style="1" customWidth="1"/>
    <col min="6656" max="6656" width="63.875" style="1" customWidth="1"/>
    <col min="6657" max="6657" width="13.25" style="1" customWidth="1"/>
    <col min="6658" max="6843" width="9.125" style="1"/>
    <col min="6844" max="6845" width="0" style="1" hidden="1" customWidth="1"/>
    <col min="6846" max="6846" width="13.75" style="1" customWidth="1"/>
    <col min="6847" max="6847" width="52.875" style="1" customWidth="1"/>
    <col min="6848" max="6887" width="0" style="1" hidden="1" customWidth="1"/>
    <col min="6888" max="6889" width="14.875" style="1" customWidth="1"/>
    <col min="6890" max="6891" width="0" style="1" hidden="1" customWidth="1"/>
    <col min="6892" max="6892" width="14.875" style="1" customWidth="1"/>
    <col min="6893" max="6894" width="0" style="1" hidden="1" customWidth="1"/>
    <col min="6895" max="6895" width="14.875" style="1" customWidth="1"/>
    <col min="6896" max="6897" width="0" style="1" hidden="1" customWidth="1"/>
    <col min="6898" max="6898" width="14.875" style="1" customWidth="1"/>
    <col min="6899" max="6900" width="0" style="1" hidden="1" customWidth="1"/>
    <col min="6901" max="6901" width="14.875" style="1" customWidth="1"/>
    <col min="6902" max="6903" width="0" style="1" hidden="1" customWidth="1"/>
    <col min="6904" max="6905" width="14.875" style="1" customWidth="1"/>
    <col min="6906" max="6906" width="44.375" style="1" customWidth="1"/>
    <col min="6907" max="6911" width="14.875" style="1" customWidth="1"/>
    <col min="6912" max="6912" width="63.875" style="1" customWidth="1"/>
    <col min="6913" max="6913" width="13.25" style="1" customWidth="1"/>
    <col min="6914" max="7099" width="9.125" style="1"/>
    <col min="7100" max="7101" width="0" style="1" hidden="1" customWidth="1"/>
    <col min="7102" max="7102" width="13.75" style="1" customWidth="1"/>
    <col min="7103" max="7103" width="52.875" style="1" customWidth="1"/>
    <col min="7104" max="7143" width="0" style="1" hidden="1" customWidth="1"/>
    <col min="7144" max="7145" width="14.875" style="1" customWidth="1"/>
    <col min="7146" max="7147" width="0" style="1" hidden="1" customWidth="1"/>
    <col min="7148" max="7148" width="14.875" style="1" customWidth="1"/>
    <col min="7149" max="7150" width="0" style="1" hidden="1" customWidth="1"/>
    <col min="7151" max="7151" width="14.875" style="1" customWidth="1"/>
    <col min="7152" max="7153" width="0" style="1" hidden="1" customWidth="1"/>
    <col min="7154" max="7154" width="14.875" style="1" customWidth="1"/>
    <col min="7155" max="7156" width="0" style="1" hidden="1" customWidth="1"/>
    <col min="7157" max="7157" width="14.875" style="1" customWidth="1"/>
    <col min="7158" max="7159" width="0" style="1" hidden="1" customWidth="1"/>
    <col min="7160" max="7161" width="14.875" style="1" customWidth="1"/>
    <col min="7162" max="7162" width="44.375" style="1" customWidth="1"/>
    <col min="7163" max="7167" width="14.875" style="1" customWidth="1"/>
    <col min="7168" max="7168" width="63.875" style="1" customWidth="1"/>
    <col min="7169" max="7169" width="13.25" style="1" customWidth="1"/>
    <col min="7170" max="7355" width="9.125" style="1"/>
    <col min="7356" max="7357" width="0" style="1" hidden="1" customWidth="1"/>
    <col min="7358" max="7358" width="13.75" style="1" customWidth="1"/>
    <col min="7359" max="7359" width="52.875" style="1" customWidth="1"/>
    <col min="7360" max="7399" width="0" style="1" hidden="1" customWidth="1"/>
    <col min="7400" max="7401" width="14.875" style="1" customWidth="1"/>
    <col min="7402" max="7403" width="0" style="1" hidden="1" customWidth="1"/>
    <col min="7404" max="7404" width="14.875" style="1" customWidth="1"/>
    <col min="7405" max="7406" width="0" style="1" hidden="1" customWidth="1"/>
    <col min="7407" max="7407" width="14.875" style="1" customWidth="1"/>
    <col min="7408" max="7409" width="0" style="1" hidden="1" customWidth="1"/>
    <col min="7410" max="7410" width="14.875" style="1" customWidth="1"/>
    <col min="7411" max="7412" width="0" style="1" hidden="1" customWidth="1"/>
    <col min="7413" max="7413" width="14.875" style="1" customWidth="1"/>
    <col min="7414" max="7415" width="0" style="1" hidden="1" customWidth="1"/>
    <col min="7416" max="7417" width="14.875" style="1" customWidth="1"/>
    <col min="7418" max="7418" width="44.375" style="1" customWidth="1"/>
    <col min="7419" max="7423" width="14.875" style="1" customWidth="1"/>
    <col min="7424" max="7424" width="63.875" style="1" customWidth="1"/>
    <col min="7425" max="7425" width="13.25" style="1" customWidth="1"/>
    <col min="7426" max="7611" width="9.125" style="1"/>
    <col min="7612" max="7613" width="0" style="1" hidden="1" customWidth="1"/>
    <col min="7614" max="7614" width="13.75" style="1" customWidth="1"/>
    <col min="7615" max="7615" width="52.875" style="1" customWidth="1"/>
    <col min="7616" max="7655" width="0" style="1" hidden="1" customWidth="1"/>
    <col min="7656" max="7657" width="14.875" style="1" customWidth="1"/>
    <col min="7658" max="7659" width="0" style="1" hidden="1" customWidth="1"/>
    <col min="7660" max="7660" width="14.875" style="1" customWidth="1"/>
    <col min="7661" max="7662" width="0" style="1" hidden="1" customWidth="1"/>
    <col min="7663" max="7663" width="14.875" style="1" customWidth="1"/>
    <col min="7664" max="7665" width="0" style="1" hidden="1" customWidth="1"/>
    <col min="7666" max="7666" width="14.875" style="1" customWidth="1"/>
    <col min="7667" max="7668" width="0" style="1" hidden="1" customWidth="1"/>
    <col min="7669" max="7669" width="14.875" style="1" customWidth="1"/>
    <col min="7670" max="7671" width="0" style="1" hidden="1" customWidth="1"/>
    <col min="7672" max="7673" width="14.875" style="1" customWidth="1"/>
    <col min="7674" max="7674" width="44.375" style="1" customWidth="1"/>
    <col min="7675" max="7679" width="14.875" style="1" customWidth="1"/>
    <col min="7680" max="7680" width="63.875" style="1" customWidth="1"/>
    <col min="7681" max="7681" width="13.25" style="1" customWidth="1"/>
    <col min="7682" max="7867" width="9.125" style="1"/>
    <col min="7868" max="7869" width="0" style="1" hidden="1" customWidth="1"/>
    <col min="7870" max="7870" width="13.75" style="1" customWidth="1"/>
    <col min="7871" max="7871" width="52.875" style="1" customWidth="1"/>
    <col min="7872" max="7911" width="0" style="1" hidden="1" customWidth="1"/>
    <col min="7912" max="7913" width="14.875" style="1" customWidth="1"/>
    <col min="7914" max="7915" width="0" style="1" hidden="1" customWidth="1"/>
    <col min="7916" max="7916" width="14.875" style="1" customWidth="1"/>
    <col min="7917" max="7918" width="0" style="1" hidden="1" customWidth="1"/>
    <col min="7919" max="7919" width="14.875" style="1" customWidth="1"/>
    <col min="7920" max="7921" width="0" style="1" hidden="1" customWidth="1"/>
    <col min="7922" max="7922" width="14.875" style="1" customWidth="1"/>
    <col min="7923" max="7924" width="0" style="1" hidden="1" customWidth="1"/>
    <col min="7925" max="7925" width="14.875" style="1" customWidth="1"/>
    <col min="7926" max="7927" width="0" style="1" hidden="1" customWidth="1"/>
    <col min="7928" max="7929" width="14.875" style="1" customWidth="1"/>
    <col min="7930" max="7930" width="44.375" style="1" customWidth="1"/>
    <col min="7931" max="7935" width="14.875" style="1" customWidth="1"/>
    <col min="7936" max="7936" width="63.875" style="1" customWidth="1"/>
    <col min="7937" max="7937" width="13.25" style="1" customWidth="1"/>
    <col min="7938" max="8123" width="9.125" style="1"/>
    <col min="8124" max="8125" width="0" style="1" hidden="1" customWidth="1"/>
    <col min="8126" max="8126" width="13.75" style="1" customWidth="1"/>
    <col min="8127" max="8127" width="52.875" style="1" customWidth="1"/>
    <col min="8128" max="8167" width="0" style="1" hidden="1" customWidth="1"/>
    <col min="8168" max="8169" width="14.875" style="1" customWidth="1"/>
    <col min="8170" max="8171" width="0" style="1" hidden="1" customWidth="1"/>
    <col min="8172" max="8172" width="14.875" style="1" customWidth="1"/>
    <col min="8173" max="8174" width="0" style="1" hidden="1" customWidth="1"/>
    <col min="8175" max="8175" width="14.875" style="1" customWidth="1"/>
    <col min="8176" max="8177" width="0" style="1" hidden="1" customWidth="1"/>
    <col min="8178" max="8178" width="14.875" style="1" customWidth="1"/>
    <col min="8179" max="8180" width="0" style="1" hidden="1" customWidth="1"/>
    <col min="8181" max="8181" width="14.875" style="1" customWidth="1"/>
    <col min="8182" max="8183" width="0" style="1" hidden="1" customWidth="1"/>
    <col min="8184" max="8185" width="14.875" style="1" customWidth="1"/>
    <col min="8186" max="8186" width="44.375" style="1" customWidth="1"/>
    <col min="8187" max="8191" width="14.875" style="1" customWidth="1"/>
    <col min="8192" max="8192" width="63.875" style="1" customWidth="1"/>
    <col min="8193" max="8193" width="13.25" style="1" customWidth="1"/>
    <col min="8194" max="8379" width="9.125" style="1"/>
    <col min="8380" max="8381" width="0" style="1" hidden="1" customWidth="1"/>
    <col min="8382" max="8382" width="13.75" style="1" customWidth="1"/>
    <col min="8383" max="8383" width="52.875" style="1" customWidth="1"/>
    <col min="8384" max="8423" width="0" style="1" hidden="1" customWidth="1"/>
    <col min="8424" max="8425" width="14.875" style="1" customWidth="1"/>
    <col min="8426" max="8427" width="0" style="1" hidden="1" customWidth="1"/>
    <col min="8428" max="8428" width="14.875" style="1" customWidth="1"/>
    <col min="8429" max="8430" width="0" style="1" hidden="1" customWidth="1"/>
    <col min="8431" max="8431" width="14.875" style="1" customWidth="1"/>
    <col min="8432" max="8433" width="0" style="1" hidden="1" customWidth="1"/>
    <col min="8434" max="8434" width="14.875" style="1" customWidth="1"/>
    <col min="8435" max="8436" width="0" style="1" hidden="1" customWidth="1"/>
    <col min="8437" max="8437" width="14.875" style="1" customWidth="1"/>
    <col min="8438" max="8439" width="0" style="1" hidden="1" customWidth="1"/>
    <col min="8440" max="8441" width="14.875" style="1" customWidth="1"/>
    <col min="8442" max="8442" width="44.375" style="1" customWidth="1"/>
    <col min="8443" max="8447" width="14.875" style="1" customWidth="1"/>
    <col min="8448" max="8448" width="63.875" style="1" customWidth="1"/>
    <col min="8449" max="8449" width="13.25" style="1" customWidth="1"/>
    <col min="8450" max="8635" width="9.125" style="1"/>
    <col min="8636" max="8637" width="0" style="1" hidden="1" customWidth="1"/>
    <col min="8638" max="8638" width="13.75" style="1" customWidth="1"/>
    <col min="8639" max="8639" width="52.875" style="1" customWidth="1"/>
    <col min="8640" max="8679" width="0" style="1" hidden="1" customWidth="1"/>
    <col min="8680" max="8681" width="14.875" style="1" customWidth="1"/>
    <col min="8682" max="8683" width="0" style="1" hidden="1" customWidth="1"/>
    <col min="8684" max="8684" width="14.875" style="1" customWidth="1"/>
    <col min="8685" max="8686" width="0" style="1" hidden="1" customWidth="1"/>
    <col min="8687" max="8687" width="14.875" style="1" customWidth="1"/>
    <col min="8688" max="8689" width="0" style="1" hidden="1" customWidth="1"/>
    <col min="8690" max="8690" width="14.875" style="1" customWidth="1"/>
    <col min="8691" max="8692" width="0" style="1" hidden="1" customWidth="1"/>
    <col min="8693" max="8693" width="14.875" style="1" customWidth="1"/>
    <col min="8694" max="8695" width="0" style="1" hidden="1" customWidth="1"/>
    <col min="8696" max="8697" width="14.875" style="1" customWidth="1"/>
    <col min="8698" max="8698" width="44.375" style="1" customWidth="1"/>
    <col min="8699" max="8703" width="14.875" style="1" customWidth="1"/>
    <col min="8704" max="8704" width="63.875" style="1" customWidth="1"/>
    <col min="8705" max="8705" width="13.25" style="1" customWidth="1"/>
    <col min="8706" max="8891" width="9.125" style="1"/>
    <col min="8892" max="8893" width="0" style="1" hidden="1" customWidth="1"/>
    <col min="8894" max="8894" width="13.75" style="1" customWidth="1"/>
    <col min="8895" max="8895" width="52.875" style="1" customWidth="1"/>
    <col min="8896" max="8935" width="0" style="1" hidden="1" customWidth="1"/>
    <col min="8936" max="8937" width="14.875" style="1" customWidth="1"/>
    <col min="8938" max="8939" width="0" style="1" hidden="1" customWidth="1"/>
    <col min="8940" max="8940" width="14.875" style="1" customWidth="1"/>
    <col min="8941" max="8942" width="0" style="1" hidden="1" customWidth="1"/>
    <col min="8943" max="8943" width="14.875" style="1" customWidth="1"/>
    <col min="8944" max="8945" width="0" style="1" hidden="1" customWidth="1"/>
    <col min="8946" max="8946" width="14.875" style="1" customWidth="1"/>
    <col min="8947" max="8948" width="0" style="1" hidden="1" customWidth="1"/>
    <col min="8949" max="8949" width="14.875" style="1" customWidth="1"/>
    <col min="8950" max="8951" width="0" style="1" hidden="1" customWidth="1"/>
    <col min="8952" max="8953" width="14.875" style="1" customWidth="1"/>
    <col min="8954" max="8954" width="44.375" style="1" customWidth="1"/>
    <col min="8955" max="8959" width="14.875" style="1" customWidth="1"/>
    <col min="8960" max="8960" width="63.875" style="1" customWidth="1"/>
    <col min="8961" max="8961" width="13.25" style="1" customWidth="1"/>
    <col min="8962" max="9147" width="9.125" style="1"/>
    <col min="9148" max="9149" width="0" style="1" hidden="1" customWidth="1"/>
    <col min="9150" max="9150" width="13.75" style="1" customWidth="1"/>
    <col min="9151" max="9151" width="52.875" style="1" customWidth="1"/>
    <col min="9152" max="9191" width="0" style="1" hidden="1" customWidth="1"/>
    <col min="9192" max="9193" width="14.875" style="1" customWidth="1"/>
    <col min="9194" max="9195" width="0" style="1" hidden="1" customWidth="1"/>
    <col min="9196" max="9196" width="14.875" style="1" customWidth="1"/>
    <col min="9197" max="9198" width="0" style="1" hidden="1" customWidth="1"/>
    <col min="9199" max="9199" width="14.875" style="1" customWidth="1"/>
    <col min="9200" max="9201" width="0" style="1" hidden="1" customWidth="1"/>
    <col min="9202" max="9202" width="14.875" style="1" customWidth="1"/>
    <col min="9203" max="9204" width="0" style="1" hidden="1" customWidth="1"/>
    <col min="9205" max="9205" width="14.875" style="1" customWidth="1"/>
    <col min="9206" max="9207" width="0" style="1" hidden="1" customWidth="1"/>
    <col min="9208" max="9209" width="14.875" style="1" customWidth="1"/>
    <col min="9210" max="9210" width="44.375" style="1" customWidth="1"/>
    <col min="9211" max="9215" width="14.875" style="1" customWidth="1"/>
    <col min="9216" max="9216" width="63.875" style="1" customWidth="1"/>
    <col min="9217" max="9217" width="13.25" style="1" customWidth="1"/>
    <col min="9218" max="9403" width="9.125" style="1"/>
    <col min="9404" max="9405" width="0" style="1" hidden="1" customWidth="1"/>
    <col min="9406" max="9406" width="13.75" style="1" customWidth="1"/>
    <col min="9407" max="9407" width="52.875" style="1" customWidth="1"/>
    <col min="9408" max="9447" width="0" style="1" hidden="1" customWidth="1"/>
    <col min="9448" max="9449" width="14.875" style="1" customWidth="1"/>
    <col min="9450" max="9451" width="0" style="1" hidden="1" customWidth="1"/>
    <col min="9452" max="9452" width="14.875" style="1" customWidth="1"/>
    <col min="9453" max="9454" width="0" style="1" hidden="1" customWidth="1"/>
    <col min="9455" max="9455" width="14.875" style="1" customWidth="1"/>
    <col min="9456" max="9457" width="0" style="1" hidden="1" customWidth="1"/>
    <col min="9458" max="9458" width="14.875" style="1" customWidth="1"/>
    <col min="9459" max="9460" width="0" style="1" hidden="1" customWidth="1"/>
    <col min="9461" max="9461" width="14.875" style="1" customWidth="1"/>
    <col min="9462" max="9463" width="0" style="1" hidden="1" customWidth="1"/>
    <col min="9464" max="9465" width="14.875" style="1" customWidth="1"/>
    <col min="9466" max="9466" width="44.375" style="1" customWidth="1"/>
    <col min="9467" max="9471" width="14.875" style="1" customWidth="1"/>
    <col min="9472" max="9472" width="63.875" style="1" customWidth="1"/>
    <col min="9473" max="9473" width="13.25" style="1" customWidth="1"/>
    <col min="9474" max="9659" width="9.125" style="1"/>
    <col min="9660" max="9661" width="0" style="1" hidden="1" customWidth="1"/>
    <col min="9662" max="9662" width="13.75" style="1" customWidth="1"/>
    <col min="9663" max="9663" width="52.875" style="1" customWidth="1"/>
    <col min="9664" max="9703" width="0" style="1" hidden="1" customWidth="1"/>
    <col min="9704" max="9705" width="14.875" style="1" customWidth="1"/>
    <col min="9706" max="9707" width="0" style="1" hidden="1" customWidth="1"/>
    <col min="9708" max="9708" width="14.875" style="1" customWidth="1"/>
    <col min="9709" max="9710" width="0" style="1" hidden="1" customWidth="1"/>
    <col min="9711" max="9711" width="14.875" style="1" customWidth="1"/>
    <col min="9712" max="9713" width="0" style="1" hidden="1" customWidth="1"/>
    <col min="9714" max="9714" width="14.875" style="1" customWidth="1"/>
    <col min="9715" max="9716" width="0" style="1" hidden="1" customWidth="1"/>
    <col min="9717" max="9717" width="14.875" style="1" customWidth="1"/>
    <col min="9718" max="9719" width="0" style="1" hidden="1" customWidth="1"/>
    <col min="9720" max="9721" width="14.875" style="1" customWidth="1"/>
    <col min="9722" max="9722" width="44.375" style="1" customWidth="1"/>
    <col min="9723" max="9727" width="14.875" style="1" customWidth="1"/>
    <col min="9728" max="9728" width="63.875" style="1" customWidth="1"/>
    <col min="9729" max="9729" width="13.25" style="1" customWidth="1"/>
    <col min="9730" max="9915" width="9.125" style="1"/>
    <col min="9916" max="9917" width="0" style="1" hidden="1" customWidth="1"/>
    <col min="9918" max="9918" width="13.75" style="1" customWidth="1"/>
    <col min="9919" max="9919" width="52.875" style="1" customWidth="1"/>
    <col min="9920" max="9959" width="0" style="1" hidden="1" customWidth="1"/>
    <col min="9960" max="9961" width="14.875" style="1" customWidth="1"/>
    <col min="9962" max="9963" width="0" style="1" hidden="1" customWidth="1"/>
    <col min="9964" max="9964" width="14.875" style="1" customWidth="1"/>
    <col min="9965" max="9966" width="0" style="1" hidden="1" customWidth="1"/>
    <col min="9967" max="9967" width="14.875" style="1" customWidth="1"/>
    <col min="9968" max="9969" width="0" style="1" hidden="1" customWidth="1"/>
    <col min="9970" max="9970" width="14.875" style="1" customWidth="1"/>
    <col min="9971" max="9972" width="0" style="1" hidden="1" customWidth="1"/>
    <col min="9973" max="9973" width="14.875" style="1" customWidth="1"/>
    <col min="9974" max="9975" width="0" style="1" hidden="1" customWidth="1"/>
    <col min="9976" max="9977" width="14.875" style="1" customWidth="1"/>
    <col min="9978" max="9978" width="44.375" style="1" customWidth="1"/>
    <col min="9979" max="9983" width="14.875" style="1" customWidth="1"/>
    <col min="9984" max="9984" width="63.875" style="1" customWidth="1"/>
    <col min="9985" max="9985" width="13.25" style="1" customWidth="1"/>
    <col min="9986" max="10171" width="9.125" style="1"/>
    <col min="10172" max="10173" width="0" style="1" hidden="1" customWidth="1"/>
    <col min="10174" max="10174" width="13.75" style="1" customWidth="1"/>
    <col min="10175" max="10175" width="52.875" style="1" customWidth="1"/>
    <col min="10176" max="10215" width="0" style="1" hidden="1" customWidth="1"/>
    <col min="10216" max="10217" width="14.875" style="1" customWidth="1"/>
    <col min="10218" max="10219" width="0" style="1" hidden="1" customWidth="1"/>
    <col min="10220" max="10220" width="14.875" style="1" customWidth="1"/>
    <col min="10221" max="10222" width="0" style="1" hidden="1" customWidth="1"/>
    <col min="10223" max="10223" width="14.875" style="1" customWidth="1"/>
    <col min="10224" max="10225" width="0" style="1" hidden="1" customWidth="1"/>
    <col min="10226" max="10226" width="14.875" style="1" customWidth="1"/>
    <col min="10227" max="10228" width="0" style="1" hidden="1" customWidth="1"/>
    <col min="10229" max="10229" width="14.875" style="1" customWidth="1"/>
    <col min="10230" max="10231" width="0" style="1" hidden="1" customWidth="1"/>
    <col min="10232" max="10233" width="14.875" style="1" customWidth="1"/>
    <col min="10234" max="10234" width="44.375" style="1" customWidth="1"/>
    <col min="10235" max="10239" width="14.875" style="1" customWidth="1"/>
    <col min="10240" max="10240" width="63.875" style="1" customWidth="1"/>
    <col min="10241" max="10241" width="13.25" style="1" customWidth="1"/>
    <col min="10242" max="10427" width="9.125" style="1"/>
    <col min="10428" max="10429" width="0" style="1" hidden="1" customWidth="1"/>
    <col min="10430" max="10430" width="13.75" style="1" customWidth="1"/>
    <col min="10431" max="10431" width="52.875" style="1" customWidth="1"/>
    <col min="10432" max="10471" width="0" style="1" hidden="1" customWidth="1"/>
    <col min="10472" max="10473" width="14.875" style="1" customWidth="1"/>
    <col min="10474" max="10475" width="0" style="1" hidden="1" customWidth="1"/>
    <col min="10476" max="10476" width="14.875" style="1" customWidth="1"/>
    <col min="10477" max="10478" width="0" style="1" hidden="1" customWidth="1"/>
    <col min="10479" max="10479" width="14.875" style="1" customWidth="1"/>
    <col min="10480" max="10481" width="0" style="1" hidden="1" customWidth="1"/>
    <col min="10482" max="10482" width="14.875" style="1" customWidth="1"/>
    <col min="10483" max="10484" width="0" style="1" hidden="1" customWidth="1"/>
    <col min="10485" max="10485" width="14.875" style="1" customWidth="1"/>
    <col min="10486" max="10487" width="0" style="1" hidden="1" customWidth="1"/>
    <col min="10488" max="10489" width="14.875" style="1" customWidth="1"/>
    <col min="10490" max="10490" width="44.375" style="1" customWidth="1"/>
    <col min="10491" max="10495" width="14.875" style="1" customWidth="1"/>
    <col min="10496" max="10496" width="63.875" style="1" customWidth="1"/>
    <col min="10497" max="10497" width="13.25" style="1" customWidth="1"/>
    <col min="10498" max="10683" width="9.125" style="1"/>
    <col min="10684" max="10685" width="0" style="1" hidden="1" customWidth="1"/>
    <col min="10686" max="10686" width="13.75" style="1" customWidth="1"/>
    <col min="10687" max="10687" width="52.875" style="1" customWidth="1"/>
    <col min="10688" max="10727" width="0" style="1" hidden="1" customWidth="1"/>
    <col min="10728" max="10729" width="14.875" style="1" customWidth="1"/>
    <col min="10730" max="10731" width="0" style="1" hidden="1" customWidth="1"/>
    <col min="10732" max="10732" width="14.875" style="1" customWidth="1"/>
    <col min="10733" max="10734" width="0" style="1" hidden="1" customWidth="1"/>
    <col min="10735" max="10735" width="14.875" style="1" customWidth="1"/>
    <col min="10736" max="10737" width="0" style="1" hidden="1" customWidth="1"/>
    <col min="10738" max="10738" width="14.875" style="1" customWidth="1"/>
    <col min="10739" max="10740" width="0" style="1" hidden="1" customWidth="1"/>
    <col min="10741" max="10741" width="14.875" style="1" customWidth="1"/>
    <col min="10742" max="10743" width="0" style="1" hidden="1" customWidth="1"/>
    <col min="10744" max="10745" width="14.875" style="1" customWidth="1"/>
    <col min="10746" max="10746" width="44.375" style="1" customWidth="1"/>
    <col min="10747" max="10751" width="14.875" style="1" customWidth="1"/>
    <col min="10752" max="10752" width="63.875" style="1" customWidth="1"/>
    <col min="10753" max="10753" width="13.25" style="1" customWidth="1"/>
    <col min="10754" max="10939" width="9.125" style="1"/>
    <col min="10940" max="10941" width="0" style="1" hidden="1" customWidth="1"/>
    <col min="10942" max="10942" width="13.75" style="1" customWidth="1"/>
    <col min="10943" max="10943" width="52.875" style="1" customWidth="1"/>
    <col min="10944" max="10983" width="0" style="1" hidden="1" customWidth="1"/>
    <col min="10984" max="10985" width="14.875" style="1" customWidth="1"/>
    <col min="10986" max="10987" width="0" style="1" hidden="1" customWidth="1"/>
    <col min="10988" max="10988" width="14.875" style="1" customWidth="1"/>
    <col min="10989" max="10990" width="0" style="1" hidden="1" customWidth="1"/>
    <col min="10991" max="10991" width="14.875" style="1" customWidth="1"/>
    <col min="10992" max="10993" width="0" style="1" hidden="1" customWidth="1"/>
    <col min="10994" max="10994" width="14.875" style="1" customWidth="1"/>
    <col min="10995" max="10996" width="0" style="1" hidden="1" customWidth="1"/>
    <col min="10997" max="10997" width="14.875" style="1" customWidth="1"/>
    <col min="10998" max="10999" width="0" style="1" hidden="1" customWidth="1"/>
    <col min="11000" max="11001" width="14.875" style="1" customWidth="1"/>
    <col min="11002" max="11002" width="44.375" style="1" customWidth="1"/>
    <col min="11003" max="11007" width="14.875" style="1" customWidth="1"/>
    <col min="11008" max="11008" width="63.875" style="1" customWidth="1"/>
    <col min="11009" max="11009" width="13.25" style="1" customWidth="1"/>
    <col min="11010" max="11195" width="9.125" style="1"/>
    <col min="11196" max="11197" width="0" style="1" hidden="1" customWidth="1"/>
    <col min="11198" max="11198" width="13.75" style="1" customWidth="1"/>
    <col min="11199" max="11199" width="52.875" style="1" customWidth="1"/>
    <col min="11200" max="11239" width="0" style="1" hidden="1" customWidth="1"/>
    <col min="11240" max="11241" width="14.875" style="1" customWidth="1"/>
    <col min="11242" max="11243" width="0" style="1" hidden="1" customWidth="1"/>
    <col min="11244" max="11244" width="14.875" style="1" customWidth="1"/>
    <col min="11245" max="11246" width="0" style="1" hidden="1" customWidth="1"/>
    <col min="11247" max="11247" width="14.875" style="1" customWidth="1"/>
    <col min="11248" max="11249" width="0" style="1" hidden="1" customWidth="1"/>
    <col min="11250" max="11250" width="14.875" style="1" customWidth="1"/>
    <col min="11251" max="11252" width="0" style="1" hidden="1" customWidth="1"/>
    <col min="11253" max="11253" width="14.875" style="1" customWidth="1"/>
    <col min="11254" max="11255" width="0" style="1" hidden="1" customWidth="1"/>
    <col min="11256" max="11257" width="14.875" style="1" customWidth="1"/>
    <col min="11258" max="11258" width="44.375" style="1" customWidth="1"/>
    <col min="11259" max="11263" width="14.875" style="1" customWidth="1"/>
    <col min="11264" max="11264" width="63.875" style="1" customWidth="1"/>
    <col min="11265" max="11265" width="13.25" style="1" customWidth="1"/>
    <col min="11266" max="11451" width="9.125" style="1"/>
    <col min="11452" max="11453" width="0" style="1" hidden="1" customWidth="1"/>
    <col min="11454" max="11454" width="13.75" style="1" customWidth="1"/>
    <col min="11455" max="11455" width="52.875" style="1" customWidth="1"/>
    <col min="11456" max="11495" width="0" style="1" hidden="1" customWidth="1"/>
    <col min="11496" max="11497" width="14.875" style="1" customWidth="1"/>
    <col min="11498" max="11499" width="0" style="1" hidden="1" customWidth="1"/>
    <col min="11500" max="11500" width="14.875" style="1" customWidth="1"/>
    <col min="11501" max="11502" width="0" style="1" hidden="1" customWidth="1"/>
    <col min="11503" max="11503" width="14.875" style="1" customWidth="1"/>
    <col min="11504" max="11505" width="0" style="1" hidden="1" customWidth="1"/>
    <col min="11506" max="11506" width="14.875" style="1" customWidth="1"/>
    <col min="11507" max="11508" width="0" style="1" hidden="1" customWidth="1"/>
    <col min="11509" max="11509" width="14.875" style="1" customWidth="1"/>
    <col min="11510" max="11511" width="0" style="1" hidden="1" customWidth="1"/>
    <col min="11512" max="11513" width="14.875" style="1" customWidth="1"/>
    <col min="11514" max="11514" width="44.375" style="1" customWidth="1"/>
    <col min="11515" max="11519" width="14.875" style="1" customWidth="1"/>
    <col min="11520" max="11520" width="63.875" style="1" customWidth="1"/>
    <col min="11521" max="11521" width="13.25" style="1" customWidth="1"/>
    <col min="11522" max="11707" width="9.125" style="1"/>
    <col min="11708" max="11709" width="0" style="1" hidden="1" customWidth="1"/>
    <col min="11710" max="11710" width="13.75" style="1" customWidth="1"/>
    <col min="11711" max="11711" width="52.875" style="1" customWidth="1"/>
    <col min="11712" max="11751" width="0" style="1" hidden="1" customWidth="1"/>
    <col min="11752" max="11753" width="14.875" style="1" customWidth="1"/>
    <col min="11754" max="11755" width="0" style="1" hidden="1" customWidth="1"/>
    <col min="11756" max="11756" width="14.875" style="1" customWidth="1"/>
    <col min="11757" max="11758" width="0" style="1" hidden="1" customWidth="1"/>
    <col min="11759" max="11759" width="14.875" style="1" customWidth="1"/>
    <col min="11760" max="11761" width="0" style="1" hidden="1" customWidth="1"/>
    <col min="11762" max="11762" width="14.875" style="1" customWidth="1"/>
    <col min="11763" max="11764" width="0" style="1" hidden="1" customWidth="1"/>
    <col min="11765" max="11765" width="14.875" style="1" customWidth="1"/>
    <col min="11766" max="11767" width="0" style="1" hidden="1" customWidth="1"/>
    <col min="11768" max="11769" width="14.875" style="1" customWidth="1"/>
    <col min="11770" max="11770" width="44.375" style="1" customWidth="1"/>
    <col min="11771" max="11775" width="14.875" style="1" customWidth="1"/>
    <col min="11776" max="11776" width="63.875" style="1" customWidth="1"/>
    <col min="11777" max="11777" width="13.25" style="1" customWidth="1"/>
    <col min="11778" max="11963" width="9.125" style="1"/>
    <col min="11964" max="11965" width="0" style="1" hidden="1" customWidth="1"/>
    <col min="11966" max="11966" width="13.75" style="1" customWidth="1"/>
    <col min="11967" max="11967" width="52.875" style="1" customWidth="1"/>
    <col min="11968" max="12007" width="0" style="1" hidden="1" customWidth="1"/>
    <col min="12008" max="12009" width="14.875" style="1" customWidth="1"/>
    <col min="12010" max="12011" width="0" style="1" hidden="1" customWidth="1"/>
    <col min="12012" max="12012" width="14.875" style="1" customWidth="1"/>
    <col min="12013" max="12014" width="0" style="1" hidden="1" customWidth="1"/>
    <col min="12015" max="12015" width="14.875" style="1" customWidth="1"/>
    <col min="12016" max="12017" width="0" style="1" hidden="1" customWidth="1"/>
    <col min="12018" max="12018" width="14.875" style="1" customWidth="1"/>
    <col min="12019" max="12020" width="0" style="1" hidden="1" customWidth="1"/>
    <col min="12021" max="12021" width="14.875" style="1" customWidth="1"/>
    <col min="12022" max="12023" width="0" style="1" hidden="1" customWidth="1"/>
    <col min="12024" max="12025" width="14.875" style="1" customWidth="1"/>
    <col min="12026" max="12026" width="44.375" style="1" customWidth="1"/>
    <col min="12027" max="12031" width="14.875" style="1" customWidth="1"/>
    <col min="12032" max="12032" width="63.875" style="1" customWidth="1"/>
    <col min="12033" max="12033" width="13.25" style="1" customWidth="1"/>
    <col min="12034" max="12219" width="9.125" style="1"/>
    <col min="12220" max="12221" width="0" style="1" hidden="1" customWidth="1"/>
    <col min="12222" max="12222" width="13.75" style="1" customWidth="1"/>
    <col min="12223" max="12223" width="52.875" style="1" customWidth="1"/>
    <col min="12224" max="12263" width="0" style="1" hidden="1" customWidth="1"/>
    <col min="12264" max="12265" width="14.875" style="1" customWidth="1"/>
    <col min="12266" max="12267" width="0" style="1" hidden="1" customWidth="1"/>
    <col min="12268" max="12268" width="14.875" style="1" customWidth="1"/>
    <col min="12269" max="12270" width="0" style="1" hidden="1" customWidth="1"/>
    <col min="12271" max="12271" width="14.875" style="1" customWidth="1"/>
    <col min="12272" max="12273" width="0" style="1" hidden="1" customWidth="1"/>
    <col min="12274" max="12274" width="14.875" style="1" customWidth="1"/>
    <col min="12275" max="12276" width="0" style="1" hidden="1" customWidth="1"/>
    <col min="12277" max="12277" width="14.875" style="1" customWidth="1"/>
    <col min="12278" max="12279" width="0" style="1" hidden="1" customWidth="1"/>
    <col min="12280" max="12281" width="14.875" style="1" customWidth="1"/>
    <col min="12282" max="12282" width="44.375" style="1" customWidth="1"/>
    <col min="12283" max="12287" width="14.875" style="1" customWidth="1"/>
    <col min="12288" max="12288" width="63.875" style="1" customWidth="1"/>
    <col min="12289" max="12289" width="13.25" style="1" customWidth="1"/>
    <col min="12290" max="12475" width="9.125" style="1"/>
    <col min="12476" max="12477" width="0" style="1" hidden="1" customWidth="1"/>
    <col min="12478" max="12478" width="13.75" style="1" customWidth="1"/>
    <col min="12479" max="12479" width="52.875" style="1" customWidth="1"/>
    <col min="12480" max="12519" width="0" style="1" hidden="1" customWidth="1"/>
    <col min="12520" max="12521" width="14.875" style="1" customWidth="1"/>
    <col min="12522" max="12523" width="0" style="1" hidden="1" customWidth="1"/>
    <col min="12524" max="12524" width="14.875" style="1" customWidth="1"/>
    <col min="12525" max="12526" width="0" style="1" hidden="1" customWidth="1"/>
    <col min="12527" max="12527" width="14.875" style="1" customWidth="1"/>
    <col min="12528" max="12529" width="0" style="1" hidden="1" customWidth="1"/>
    <col min="12530" max="12530" width="14.875" style="1" customWidth="1"/>
    <col min="12531" max="12532" width="0" style="1" hidden="1" customWidth="1"/>
    <col min="12533" max="12533" width="14.875" style="1" customWidth="1"/>
    <col min="12534" max="12535" width="0" style="1" hidden="1" customWidth="1"/>
    <col min="12536" max="12537" width="14.875" style="1" customWidth="1"/>
    <col min="12538" max="12538" width="44.375" style="1" customWidth="1"/>
    <col min="12539" max="12543" width="14.875" style="1" customWidth="1"/>
    <col min="12544" max="12544" width="63.875" style="1" customWidth="1"/>
    <col min="12545" max="12545" width="13.25" style="1" customWidth="1"/>
    <col min="12546" max="12731" width="9.125" style="1"/>
    <col min="12732" max="12733" width="0" style="1" hidden="1" customWidth="1"/>
    <col min="12734" max="12734" width="13.75" style="1" customWidth="1"/>
    <col min="12735" max="12735" width="52.875" style="1" customWidth="1"/>
    <col min="12736" max="12775" width="0" style="1" hidden="1" customWidth="1"/>
    <col min="12776" max="12777" width="14.875" style="1" customWidth="1"/>
    <col min="12778" max="12779" width="0" style="1" hidden="1" customWidth="1"/>
    <col min="12780" max="12780" width="14.875" style="1" customWidth="1"/>
    <col min="12781" max="12782" width="0" style="1" hidden="1" customWidth="1"/>
    <col min="12783" max="12783" width="14.875" style="1" customWidth="1"/>
    <col min="12784" max="12785" width="0" style="1" hidden="1" customWidth="1"/>
    <col min="12786" max="12786" width="14.875" style="1" customWidth="1"/>
    <col min="12787" max="12788" width="0" style="1" hidden="1" customWidth="1"/>
    <col min="12789" max="12789" width="14.875" style="1" customWidth="1"/>
    <col min="12790" max="12791" width="0" style="1" hidden="1" customWidth="1"/>
    <col min="12792" max="12793" width="14.875" style="1" customWidth="1"/>
    <col min="12794" max="12794" width="44.375" style="1" customWidth="1"/>
    <col min="12795" max="12799" width="14.875" style="1" customWidth="1"/>
    <col min="12800" max="12800" width="63.875" style="1" customWidth="1"/>
    <col min="12801" max="12801" width="13.25" style="1" customWidth="1"/>
    <col min="12802" max="12987" width="9.125" style="1"/>
    <col min="12988" max="12989" width="0" style="1" hidden="1" customWidth="1"/>
    <col min="12990" max="12990" width="13.75" style="1" customWidth="1"/>
    <col min="12991" max="12991" width="52.875" style="1" customWidth="1"/>
    <col min="12992" max="13031" width="0" style="1" hidden="1" customWidth="1"/>
    <col min="13032" max="13033" width="14.875" style="1" customWidth="1"/>
    <col min="13034" max="13035" width="0" style="1" hidden="1" customWidth="1"/>
    <col min="13036" max="13036" width="14.875" style="1" customWidth="1"/>
    <col min="13037" max="13038" width="0" style="1" hidden="1" customWidth="1"/>
    <col min="13039" max="13039" width="14.875" style="1" customWidth="1"/>
    <col min="13040" max="13041" width="0" style="1" hidden="1" customWidth="1"/>
    <col min="13042" max="13042" width="14.875" style="1" customWidth="1"/>
    <col min="13043" max="13044" width="0" style="1" hidden="1" customWidth="1"/>
    <col min="13045" max="13045" width="14.875" style="1" customWidth="1"/>
    <col min="13046" max="13047" width="0" style="1" hidden="1" customWidth="1"/>
    <col min="13048" max="13049" width="14.875" style="1" customWidth="1"/>
    <col min="13050" max="13050" width="44.375" style="1" customWidth="1"/>
    <col min="13051" max="13055" width="14.875" style="1" customWidth="1"/>
    <col min="13056" max="13056" width="63.875" style="1" customWidth="1"/>
    <col min="13057" max="13057" width="13.25" style="1" customWidth="1"/>
    <col min="13058" max="13243" width="9.125" style="1"/>
    <col min="13244" max="13245" width="0" style="1" hidden="1" customWidth="1"/>
    <col min="13246" max="13246" width="13.75" style="1" customWidth="1"/>
    <col min="13247" max="13247" width="52.875" style="1" customWidth="1"/>
    <col min="13248" max="13287" width="0" style="1" hidden="1" customWidth="1"/>
    <col min="13288" max="13289" width="14.875" style="1" customWidth="1"/>
    <col min="13290" max="13291" width="0" style="1" hidden="1" customWidth="1"/>
    <col min="13292" max="13292" width="14.875" style="1" customWidth="1"/>
    <col min="13293" max="13294" width="0" style="1" hidden="1" customWidth="1"/>
    <col min="13295" max="13295" width="14.875" style="1" customWidth="1"/>
    <col min="13296" max="13297" width="0" style="1" hidden="1" customWidth="1"/>
    <col min="13298" max="13298" width="14.875" style="1" customWidth="1"/>
    <col min="13299" max="13300" width="0" style="1" hidden="1" customWidth="1"/>
    <col min="13301" max="13301" width="14.875" style="1" customWidth="1"/>
    <col min="13302" max="13303" width="0" style="1" hidden="1" customWidth="1"/>
    <col min="13304" max="13305" width="14.875" style="1" customWidth="1"/>
    <col min="13306" max="13306" width="44.375" style="1" customWidth="1"/>
    <col min="13307" max="13311" width="14.875" style="1" customWidth="1"/>
    <col min="13312" max="13312" width="63.875" style="1" customWidth="1"/>
    <col min="13313" max="13313" width="13.25" style="1" customWidth="1"/>
    <col min="13314" max="13499" width="9.125" style="1"/>
    <col min="13500" max="13501" width="0" style="1" hidden="1" customWidth="1"/>
    <col min="13502" max="13502" width="13.75" style="1" customWidth="1"/>
    <col min="13503" max="13503" width="52.875" style="1" customWidth="1"/>
    <col min="13504" max="13543" width="0" style="1" hidden="1" customWidth="1"/>
    <col min="13544" max="13545" width="14.875" style="1" customWidth="1"/>
    <col min="13546" max="13547" width="0" style="1" hidden="1" customWidth="1"/>
    <col min="13548" max="13548" width="14.875" style="1" customWidth="1"/>
    <col min="13549" max="13550" width="0" style="1" hidden="1" customWidth="1"/>
    <col min="13551" max="13551" width="14.875" style="1" customWidth="1"/>
    <col min="13552" max="13553" width="0" style="1" hidden="1" customWidth="1"/>
    <col min="13554" max="13554" width="14.875" style="1" customWidth="1"/>
    <col min="13555" max="13556" width="0" style="1" hidden="1" customWidth="1"/>
    <col min="13557" max="13557" width="14.875" style="1" customWidth="1"/>
    <col min="13558" max="13559" width="0" style="1" hidden="1" customWidth="1"/>
    <col min="13560" max="13561" width="14.875" style="1" customWidth="1"/>
    <col min="13562" max="13562" width="44.375" style="1" customWidth="1"/>
    <col min="13563" max="13567" width="14.875" style="1" customWidth="1"/>
    <col min="13568" max="13568" width="63.875" style="1" customWidth="1"/>
    <col min="13569" max="13569" width="13.25" style="1" customWidth="1"/>
    <col min="13570" max="13755" width="9.125" style="1"/>
    <col min="13756" max="13757" width="0" style="1" hidden="1" customWidth="1"/>
    <col min="13758" max="13758" width="13.75" style="1" customWidth="1"/>
    <col min="13759" max="13759" width="52.875" style="1" customWidth="1"/>
    <col min="13760" max="13799" width="0" style="1" hidden="1" customWidth="1"/>
    <col min="13800" max="13801" width="14.875" style="1" customWidth="1"/>
    <col min="13802" max="13803" width="0" style="1" hidden="1" customWidth="1"/>
    <col min="13804" max="13804" width="14.875" style="1" customWidth="1"/>
    <col min="13805" max="13806" width="0" style="1" hidden="1" customWidth="1"/>
    <col min="13807" max="13807" width="14.875" style="1" customWidth="1"/>
    <col min="13808" max="13809" width="0" style="1" hidden="1" customWidth="1"/>
    <col min="13810" max="13810" width="14.875" style="1" customWidth="1"/>
    <col min="13811" max="13812" width="0" style="1" hidden="1" customWidth="1"/>
    <col min="13813" max="13813" width="14.875" style="1" customWidth="1"/>
    <col min="13814" max="13815" width="0" style="1" hidden="1" customWidth="1"/>
    <col min="13816" max="13817" width="14.875" style="1" customWidth="1"/>
    <col min="13818" max="13818" width="44.375" style="1" customWidth="1"/>
    <col min="13819" max="13823" width="14.875" style="1" customWidth="1"/>
    <col min="13824" max="13824" width="63.875" style="1" customWidth="1"/>
    <col min="13825" max="13825" width="13.25" style="1" customWidth="1"/>
    <col min="13826" max="14011" width="9.125" style="1"/>
    <col min="14012" max="14013" width="0" style="1" hidden="1" customWidth="1"/>
    <col min="14014" max="14014" width="13.75" style="1" customWidth="1"/>
    <col min="14015" max="14015" width="52.875" style="1" customWidth="1"/>
    <col min="14016" max="14055" width="0" style="1" hidden="1" customWidth="1"/>
    <col min="14056" max="14057" width="14.875" style="1" customWidth="1"/>
    <col min="14058" max="14059" width="0" style="1" hidden="1" customWidth="1"/>
    <col min="14060" max="14060" width="14.875" style="1" customWidth="1"/>
    <col min="14061" max="14062" width="0" style="1" hidden="1" customWidth="1"/>
    <col min="14063" max="14063" width="14.875" style="1" customWidth="1"/>
    <col min="14064" max="14065" width="0" style="1" hidden="1" customWidth="1"/>
    <col min="14066" max="14066" width="14.875" style="1" customWidth="1"/>
    <col min="14067" max="14068" width="0" style="1" hidden="1" customWidth="1"/>
    <col min="14069" max="14069" width="14.875" style="1" customWidth="1"/>
    <col min="14070" max="14071" width="0" style="1" hidden="1" customWidth="1"/>
    <col min="14072" max="14073" width="14.875" style="1" customWidth="1"/>
    <col min="14074" max="14074" width="44.375" style="1" customWidth="1"/>
    <col min="14075" max="14079" width="14.875" style="1" customWidth="1"/>
    <col min="14080" max="14080" width="63.875" style="1" customWidth="1"/>
    <col min="14081" max="14081" width="13.25" style="1" customWidth="1"/>
    <col min="14082" max="14267" width="9.125" style="1"/>
    <col min="14268" max="14269" width="0" style="1" hidden="1" customWidth="1"/>
    <col min="14270" max="14270" width="13.75" style="1" customWidth="1"/>
    <col min="14271" max="14271" width="52.875" style="1" customWidth="1"/>
    <col min="14272" max="14311" width="0" style="1" hidden="1" customWidth="1"/>
    <col min="14312" max="14313" width="14.875" style="1" customWidth="1"/>
    <col min="14314" max="14315" width="0" style="1" hidden="1" customWidth="1"/>
    <col min="14316" max="14316" width="14.875" style="1" customWidth="1"/>
    <col min="14317" max="14318" width="0" style="1" hidden="1" customWidth="1"/>
    <col min="14319" max="14319" width="14.875" style="1" customWidth="1"/>
    <col min="14320" max="14321" width="0" style="1" hidden="1" customWidth="1"/>
    <col min="14322" max="14322" width="14.875" style="1" customWidth="1"/>
    <col min="14323" max="14324" width="0" style="1" hidden="1" customWidth="1"/>
    <col min="14325" max="14325" width="14.875" style="1" customWidth="1"/>
    <col min="14326" max="14327" width="0" style="1" hidden="1" customWidth="1"/>
    <col min="14328" max="14329" width="14.875" style="1" customWidth="1"/>
    <col min="14330" max="14330" width="44.375" style="1" customWidth="1"/>
    <col min="14331" max="14335" width="14.875" style="1" customWidth="1"/>
    <col min="14336" max="14336" width="63.875" style="1" customWidth="1"/>
    <col min="14337" max="14337" width="13.25" style="1" customWidth="1"/>
    <col min="14338" max="14523" width="9.125" style="1"/>
    <col min="14524" max="14525" width="0" style="1" hidden="1" customWidth="1"/>
    <col min="14526" max="14526" width="13.75" style="1" customWidth="1"/>
    <col min="14527" max="14527" width="52.875" style="1" customWidth="1"/>
    <col min="14528" max="14567" width="0" style="1" hidden="1" customWidth="1"/>
    <col min="14568" max="14569" width="14.875" style="1" customWidth="1"/>
    <col min="14570" max="14571" width="0" style="1" hidden="1" customWidth="1"/>
    <col min="14572" max="14572" width="14.875" style="1" customWidth="1"/>
    <col min="14573" max="14574" width="0" style="1" hidden="1" customWidth="1"/>
    <col min="14575" max="14575" width="14.875" style="1" customWidth="1"/>
    <col min="14576" max="14577" width="0" style="1" hidden="1" customWidth="1"/>
    <col min="14578" max="14578" width="14.875" style="1" customWidth="1"/>
    <col min="14579" max="14580" width="0" style="1" hidden="1" customWidth="1"/>
    <col min="14581" max="14581" width="14.875" style="1" customWidth="1"/>
    <col min="14582" max="14583" width="0" style="1" hidden="1" customWidth="1"/>
    <col min="14584" max="14585" width="14.875" style="1" customWidth="1"/>
    <col min="14586" max="14586" width="44.375" style="1" customWidth="1"/>
    <col min="14587" max="14591" width="14.875" style="1" customWidth="1"/>
    <col min="14592" max="14592" width="63.875" style="1" customWidth="1"/>
    <col min="14593" max="14593" width="13.25" style="1" customWidth="1"/>
    <col min="14594" max="14779" width="9.125" style="1"/>
    <col min="14780" max="14781" width="0" style="1" hidden="1" customWidth="1"/>
    <col min="14782" max="14782" width="13.75" style="1" customWidth="1"/>
    <col min="14783" max="14783" width="52.875" style="1" customWidth="1"/>
    <col min="14784" max="14823" width="0" style="1" hidden="1" customWidth="1"/>
    <col min="14824" max="14825" width="14.875" style="1" customWidth="1"/>
    <col min="14826" max="14827" width="0" style="1" hidden="1" customWidth="1"/>
    <col min="14828" max="14828" width="14.875" style="1" customWidth="1"/>
    <col min="14829" max="14830" width="0" style="1" hidden="1" customWidth="1"/>
    <col min="14831" max="14831" width="14.875" style="1" customWidth="1"/>
    <col min="14832" max="14833" width="0" style="1" hidden="1" customWidth="1"/>
    <col min="14834" max="14834" width="14.875" style="1" customWidth="1"/>
    <col min="14835" max="14836" width="0" style="1" hidden="1" customWidth="1"/>
    <col min="14837" max="14837" width="14.875" style="1" customWidth="1"/>
    <col min="14838" max="14839" width="0" style="1" hidden="1" customWidth="1"/>
    <col min="14840" max="14841" width="14.875" style="1" customWidth="1"/>
    <col min="14842" max="14842" width="44.375" style="1" customWidth="1"/>
    <col min="14843" max="14847" width="14.875" style="1" customWidth="1"/>
    <col min="14848" max="14848" width="63.875" style="1" customWidth="1"/>
    <col min="14849" max="14849" width="13.25" style="1" customWidth="1"/>
    <col min="14850" max="15035" width="9.125" style="1"/>
    <col min="15036" max="15037" width="0" style="1" hidden="1" customWidth="1"/>
    <col min="15038" max="15038" width="13.75" style="1" customWidth="1"/>
    <col min="15039" max="15039" width="52.875" style="1" customWidth="1"/>
    <col min="15040" max="15079" width="0" style="1" hidden="1" customWidth="1"/>
    <col min="15080" max="15081" width="14.875" style="1" customWidth="1"/>
    <col min="15082" max="15083" width="0" style="1" hidden="1" customWidth="1"/>
    <col min="15084" max="15084" width="14.875" style="1" customWidth="1"/>
    <col min="15085" max="15086" width="0" style="1" hidden="1" customWidth="1"/>
    <col min="15087" max="15087" width="14.875" style="1" customWidth="1"/>
    <col min="15088" max="15089" width="0" style="1" hidden="1" customWidth="1"/>
    <col min="15090" max="15090" width="14.875" style="1" customWidth="1"/>
    <col min="15091" max="15092" width="0" style="1" hidden="1" customWidth="1"/>
    <col min="15093" max="15093" width="14.875" style="1" customWidth="1"/>
    <col min="15094" max="15095" width="0" style="1" hidden="1" customWidth="1"/>
    <col min="15096" max="15097" width="14.875" style="1" customWidth="1"/>
    <col min="15098" max="15098" width="44.375" style="1" customWidth="1"/>
    <col min="15099" max="15103" width="14.875" style="1" customWidth="1"/>
    <col min="15104" max="15104" width="63.875" style="1" customWidth="1"/>
    <col min="15105" max="15105" width="13.25" style="1" customWidth="1"/>
    <col min="15106" max="15291" width="9.125" style="1"/>
    <col min="15292" max="15293" width="0" style="1" hidden="1" customWidth="1"/>
    <col min="15294" max="15294" width="13.75" style="1" customWidth="1"/>
    <col min="15295" max="15295" width="52.875" style="1" customWidth="1"/>
    <col min="15296" max="15335" width="0" style="1" hidden="1" customWidth="1"/>
    <col min="15336" max="15337" width="14.875" style="1" customWidth="1"/>
    <col min="15338" max="15339" width="0" style="1" hidden="1" customWidth="1"/>
    <col min="15340" max="15340" width="14.875" style="1" customWidth="1"/>
    <col min="15341" max="15342" width="0" style="1" hidden="1" customWidth="1"/>
    <col min="15343" max="15343" width="14.875" style="1" customWidth="1"/>
    <col min="15344" max="15345" width="0" style="1" hidden="1" customWidth="1"/>
    <col min="15346" max="15346" width="14.875" style="1" customWidth="1"/>
    <col min="15347" max="15348" width="0" style="1" hidden="1" customWidth="1"/>
    <col min="15349" max="15349" width="14.875" style="1" customWidth="1"/>
    <col min="15350" max="15351" width="0" style="1" hidden="1" customWidth="1"/>
    <col min="15352" max="15353" width="14.875" style="1" customWidth="1"/>
    <col min="15354" max="15354" width="44.375" style="1" customWidth="1"/>
    <col min="15355" max="15359" width="14.875" style="1" customWidth="1"/>
    <col min="15360" max="15360" width="63.875" style="1" customWidth="1"/>
    <col min="15361" max="15361" width="13.25" style="1" customWidth="1"/>
    <col min="15362" max="15547" width="9.125" style="1"/>
    <col min="15548" max="15549" width="0" style="1" hidden="1" customWidth="1"/>
    <col min="15550" max="15550" width="13.75" style="1" customWidth="1"/>
    <col min="15551" max="15551" width="52.875" style="1" customWidth="1"/>
    <col min="15552" max="15591" width="0" style="1" hidden="1" customWidth="1"/>
    <col min="15592" max="15593" width="14.875" style="1" customWidth="1"/>
    <col min="15594" max="15595" width="0" style="1" hidden="1" customWidth="1"/>
    <col min="15596" max="15596" width="14.875" style="1" customWidth="1"/>
    <col min="15597" max="15598" width="0" style="1" hidden="1" customWidth="1"/>
    <col min="15599" max="15599" width="14.875" style="1" customWidth="1"/>
    <col min="15600" max="15601" width="0" style="1" hidden="1" customWidth="1"/>
    <col min="15602" max="15602" width="14.875" style="1" customWidth="1"/>
    <col min="15603" max="15604" width="0" style="1" hidden="1" customWidth="1"/>
    <col min="15605" max="15605" width="14.875" style="1" customWidth="1"/>
    <col min="15606" max="15607" width="0" style="1" hidden="1" customWidth="1"/>
    <col min="15608" max="15609" width="14.875" style="1" customWidth="1"/>
    <col min="15610" max="15610" width="44.375" style="1" customWidth="1"/>
    <col min="15611" max="15615" width="14.875" style="1" customWidth="1"/>
    <col min="15616" max="15616" width="63.875" style="1" customWidth="1"/>
    <col min="15617" max="15617" width="13.25" style="1" customWidth="1"/>
    <col min="15618" max="15803" width="9.125" style="1"/>
    <col min="15804" max="15805" width="0" style="1" hidden="1" customWidth="1"/>
    <col min="15806" max="15806" width="13.75" style="1" customWidth="1"/>
    <col min="15807" max="15807" width="52.875" style="1" customWidth="1"/>
    <col min="15808" max="15847" width="0" style="1" hidden="1" customWidth="1"/>
    <col min="15848" max="15849" width="14.875" style="1" customWidth="1"/>
    <col min="15850" max="15851" width="0" style="1" hidden="1" customWidth="1"/>
    <col min="15852" max="15852" width="14.875" style="1" customWidth="1"/>
    <col min="15853" max="15854" width="0" style="1" hidden="1" customWidth="1"/>
    <col min="15855" max="15855" width="14.875" style="1" customWidth="1"/>
    <col min="15856" max="15857" width="0" style="1" hidden="1" customWidth="1"/>
    <col min="15858" max="15858" width="14.875" style="1" customWidth="1"/>
    <col min="15859" max="15860" width="0" style="1" hidden="1" customWidth="1"/>
    <col min="15861" max="15861" width="14.875" style="1" customWidth="1"/>
    <col min="15862" max="15863" width="0" style="1" hidden="1" customWidth="1"/>
    <col min="15864" max="15865" width="14.875" style="1" customWidth="1"/>
    <col min="15866" max="15866" width="44.375" style="1" customWidth="1"/>
    <col min="15867" max="15871" width="14.875" style="1" customWidth="1"/>
    <col min="15872" max="15872" width="63.875" style="1" customWidth="1"/>
    <col min="15873" max="15873" width="13.25" style="1" customWidth="1"/>
    <col min="15874" max="16059" width="9.125" style="1"/>
    <col min="16060" max="16061" width="0" style="1" hidden="1" customWidth="1"/>
    <col min="16062" max="16062" width="13.75" style="1" customWidth="1"/>
    <col min="16063" max="16063" width="52.875" style="1" customWidth="1"/>
    <col min="16064" max="16103" width="0" style="1" hidden="1" customWidth="1"/>
    <col min="16104" max="16105" width="14.875" style="1" customWidth="1"/>
    <col min="16106" max="16107" width="0" style="1" hidden="1" customWidth="1"/>
    <col min="16108" max="16108" width="14.875" style="1" customWidth="1"/>
    <col min="16109" max="16110" width="0" style="1" hidden="1" customWidth="1"/>
    <col min="16111" max="16111" width="14.875" style="1" customWidth="1"/>
    <col min="16112" max="16113" width="0" style="1" hidden="1" customWidth="1"/>
    <col min="16114" max="16114" width="14.875" style="1" customWidth="1"/>
    <col min="16115" max="16116" width="0" style="1" hidden="1" customWidth="1"/>
    <col min="16117" max="16117" width="14.875" style="1" customWidth="1"/>
    <col min="16118" max="16119" width="0" style="1" hidden="1" customWidth="1"/>
    <col min="16120" max="16121" width="14.875" style="1" customWidth="1"/>
    <col min="16122" max="16122" width="44.375" style="1" customWidth="1"/>
    <col min="16123" max="16127" width="14.875" style="1" customWidth="1"/>
    <col min="16128" max="16128" width="63.875" style="1" customWidth="1"/>
    <col min="16129" max="16129" width="13.25" style="1" customWidth="1"/>
    <col min="16130" max="16328" width="9.125" style="1"/>
    <col min="16329" max="16361" width="9.125" style="1" customWidth="1"/>
    <col min="16362" max="16384" width="9.125" style="1"/>
  </cols>
  <sheetData>
    <row r="1" spans="1:28" ht="24.6" outlineLevel="1" x14ac:dyDescent="0.4">
      <c r="C1" s="2" t="s">
        <v>0</v>
      </c>
      <c r="D1" s="2"/>
      <c r="E1" s="3"/>
      <c r="F1" s="3"/>
      <c r="G1" s="3"/>
      <c r="H1" s="4"/>
      <c r="I1" s="3"/>
      <c r="J1" s="3"/>
      <c r="K1" s="3"/>
      <c r="L1" s="3"/>
      <c r="M1" s="5"/>
      <c r="N1" s="5"/>
      <c r="O1" s="3"/>
      <c r="P1" s="6"/>
      <c r="Q1" s="3"/>
      <c r="R1" s="3"/>
      <c r="S1" s="6"/>
      <c r="T1" s="3"/>
      <c r="U1" s="3"/>
      <c r="V1" s="6"/>
      <c r="W1" s="3"/>
      <c r="X1" s="3"/>
      <c r="Y1" s="6"/>
      <c r="Z1" s="3"/>
      <c r="AA1" s="3"/>
      <c r="AB1" s="6"/>
    </row>
    <row r="2" spans="1:28" ht="24.6" outlineLevel="1" x14ac:dyDescent="0.4">
      <c r="C2" s="365" t="s">
        <v>1</v>
      </c>
      <c r="D2" s="365"/>
      <c r="E2" s="4"/>
      <c r="F2" s="4"/>
      <c r="G2" s="4"/>
      <c r="H2" s="4"/>
      <c r="I2" s="3"/>
      <c r="J2" s="3"/>
      <c r="K2" s="4"/>
      <c r="L2" s="4"/>
      <c r="O2" s="4"/>
      <c r="P2" s="8"/>
      <c r="Q2" s="4"/>
      <c r="R2" s="4"/>
      <c r="S2" s="8"/>
      <c r="T2" s="4"/>
      <c r="U2" s="4"/>
      <c r="V2" s="8"/>
      <c r="W2" s="9"/>
      <c r="X2" s="4"/>
      <c r="Y2" s="8"/>
      <c r="Z2" s="10"/>
      <c r="AA2" s="10"/>
      <c r="AB2" s="8"/>
    </row>
    <row r="3" spans="1:28" ht="20.399999999999999" outlineLevel="1" x14ac:dyDescent="0.35">
      <c r="C3" s="361" t="s">
        <v>2</v>
      </c>
      <c r="D3" s="361"/>
      <c r="E3" s="11"/>
      <c r="F3" s="11"/>
      <c r="G3" s="11"/>
      <c r="H3" s="4"/>
      <c r="I3" s="3"/>
      <c r="J3" s="3"/>
      <c r="K3" s="11">
        <f>K23-[4]PIVOT_2023!H16</f>
        <v>0</v>
      </c>
      <c r="L3" s="11"/>
      <c r="M3" s="12"/>
      <c r="N3" s="12"/>
      <c r="O3" s="11"/>
      <c r="Q3" s="11"/>
      <c r="R3" s="11"/>
      <c r="T3" s="11"/>
      <c r="U3" s="11"/>
      <c r="W3" s="11"/>
      <c r="X3" s="11"/>
      <c r="Z3" s="11"/>
      <c r="AA3" s="11"/>
    </row>
    <row r="4" spans="1:28" ht="14.4" outlineLevel="1" thickBot="1" x14ac:dyDescent="0.3">
      <c r="C4" s="14"/>
      <c r="E4" s="13"/>
      <c r="F4" s="13"/>
      <c r="G4" s="11"/>
      <c r="H4" s="4"/>
      <c r="I4" s="3"/>
      <c r="J4" s="3"/>
      <c r="K4" s="13"/>
      <c r="L4" s="12"/>
      <c r="M4" s="12"/>
      <c r="N4" s="12"/>
      <c r="O4" s="13"/>
      <c r="Q4" s="12"/>
      <c r="R4" s="13"/>
      <c r="T4" s="12"/>
      <c r="U4" s="13"/>
      <c r="W4" s="12"/>
      <c r="X4" s="13"/>
      <c r="Z4" s="12"/>
      <c r="AA4" s="13"/>
    </row>
    <row r="5" spans="1:28" ht="55.2" customHeight="1" thickBot="1" x14ac:dyDescent="0.3">
      <c r="C5" s="15" t="s">
        <v>3</v>
      </c>
      <c r="D5" s="16" t="s">
        <v>4</v>
      </c>
      <c r="E5" s="17" t="s">
        <v>5</v>
      </c>
      <c r="F5" s="17" t="s">
        <v>6</v>
      </c>
      <c r="G5" s="17" t="s">
        <v>7</v>
      </c>
      <c r="H5" s="17" t="s">
        <v>8</v>
      </c>
      <c r="I5" s="17" t="s">
        <v>9</v>
      </c>
      <c r="J5" s="17" t="s">
        <v>10</v>
      </c>
      <c r="K5" s="17" t="s">
        <v>11</v>
      </c>
      <c r="L5" s="17" t="s">
        <v>12</v>
      </c>
      <c r="M5" s="18" t="s">
        <v>12</v>
      </c>
      <c r="N5" s="18" t="s">
        <v>13</v>
      </c>
      <c r="O5" s="17" t="s">
        <v>14</v>
      </c>
      <c r="P5" s="19" t="s">
        <v>15</v>
      </c>
      <c r="Q5" s="17" t="s">
        <v>16</v>
      </c>
      <c r="R5" s="17" t="s">
        <v>17</v>
      </c>
      <c r="S5" s="19" t="s">
        <v>15</v>
      </c>
      <c r="T5" s="17" t="s">
        <v>18</v>
      </c>
      <c r="U5" s="17" t="s">
        <v>19</v>
      </c>
      <c r="V5" s="19" t="s">
        <v>15</v>
      </c>
      <c r="W5" s="17" t="s">
        <v>20</v>
      </c>
      <c r="X5" s="17" t="s">
        <v>21</v>
      </c>
      <c r="Y5" s="19" t="s">
        <v>15</v>
      </c>
      <c r="Z5" s="17" t="s">
        <v>22</v>
      </c>
      <c r="AA5" s="17" t="s">
        <v>23</v>
      </c>
      <c r="AB5" s="19" t="s">
        <v>15</v>
      </c>
    </row>
    <row r="6" spans="1:28" x14ac:dyDescent="0.25">
      <c r="C6" s="20" t="s">
        <v>24</v>
      </c>
      <c r="D6" s="21" t="s">
        <v>25</v>
      </c>
      <c r="E6" s="22">
        <f>ROUND((E7+E11+E14+E17+E20),0)</f>
        <v>190002</v>
      </c>
      <c r="F6" s="22">
        <f t="shared" ref="F6:N6" si="0">ROUND((F7+F11+F14+F17+F20),0)</f>
        <v>70000</v>
      </c>
      <c r="G6" s="22">
        <f t="shared" si="0"/>
        <v>0</v>
      </c>
      <c r="H6" s="22">
        <f t="shared" si="0"/>
        <v>0</v>
      </c>
      <c r="I6" s="22">
        <f t="shared" si="0"/>
        <v>0</v>
      </c>
      <c r="J6" s="22">
        <f t="shared" si="0"/>
        <v>0</v>
      </c>
      <c r="K6" s="22">
        <f t="shared" si="0"/>
        <v>31344871</v>
      </c>
      <c r="L6" s="22">
        <f t="shared" si="0"/>
        <v>31414871</v>
      </c>
      <c r="M6" s="22">
        <v>31414871</v>
      </c>
      <c r="N6" s="22">
        <f t="shared" si="0"/>
        <v>31414871</v>
      </c>
      <c r="O6" s="23">
        <f>N6-M6</f>
        <v>0</v>
      </c>
      <c r="P6" s="24"/>
      <c r="Q6" s="22">
        <f>ROUND((Q7+Q11+Q14+Q17+Q20),0)</f>
        <v>31582267</v>
      </c>
      <c r="R6" s="23">
        <f>Q6-N6</f>
        <v>167396</v>
      </c>
      <c r="S6" s="24"/>
      <c r="T6" s="22">
        <f>ROUND((T7+T11+T14+T17+T20),0)</f>
        <v>31582267</v>
      </c>
      <c r="U6" s="23">
        <f>T6-Q6</f>
        <v>0</v>
      </c>
      <c r="V6" s="24"/>
      <c r="W6" s="22">
        <f>ROUND((W7+W11+W14+W17+W20),0)</f>
        <v>31582267</v>
      </c>
      <c r="X6" s="23">
        <f>W6-T6</f>
        <v>0</v>
      </c>
      <c r="Y6" s="24"/>
      <c r="Z6" s="22">
        <f>ROUND((Z7+Z11+Z14+Z17+Z20),0)</f>
        <v>31732267</v>
      </c>
      <c r="AA6" s="23">
        <f>Z6-W6</f>
        <v>150000</v>
      </c>
      <c r="AB6" s="24"/>
    </row>
    <row r="7" spans="1:28" x14ac:dyDescent="0.25">
      <c r="B7" s="1" t="s">
        <v>26</v>
      </c>
      <c r="C7" s="25" t="s">
        <v>27</v>
      </c>
      <c r="D7" s="26" t="s">
        <v>28</v>
      </c>
      <c r="E7" s="27">
        <f>SUM(E8:E9)</f>
        <v>0</v>
      </c>
      <c r="F7" s="27">
        <f t="shared" ref="F7:K7" si="1">SUM(F8:F9)</f>
        <v>0</v>
      </c>
      <c r="G7" s="27">
        <f t="shared" si="1"/>
        <v>0</v>
      </c>
      <c r="H7" s="27">
        <f t="shared" si="1"/>
        <v>0</v>
      </c>
      <c r="I7" s="27">
        <f>SUM(I8:I9)</f>
        <v>0</v>
      </c>
      <c r="J7" s="27">
        <f t="shared" si="1"/>
        <v>0</v>
      </c>
      <c r="K7" s="27">
        <f t="shared" si="1"/>
        <v>28441559</v>
      </c>
      <c r="L7" s="27">
        <f>SUM(L8:L9)</f>
        <v>28441559</v>
      </c>
      <c r="M7" s="28">
        <v>28441559</v>
      </c>
      <c r="N7" s="28">
        <f>SUM(N8:N9)</f>
        <v>28441559</v>
      </c>
      <c r="O7" s="27">
        <f t="shared" ref="O7:O71" si="2">N7-M7</f>
        <v>0</v>
      </c>
      <c r="P7" s="29"/>
      <c r="Q7" s="27">
        <f>SUM(Q8:Q9)</f>
        <v>28608955</v>
      </c>
      <c r="R7" s="27">
        <f>Q7-N7</f>
        <v>167396</v>
      </c>
      <c r="S7" s="29"/>
      <c r="T7" s="27">
        <f>SUM(T8:T9)</f>
        <v>28608955</v>
      </c>
      <c r="U7" s="27">
        <f>T7-Q7</f>
        <v>0</v>
      </c>
      <c r="V7" s="29"/>
      <c r="W7" s="27">
        <f>SUM(W8:W9)</f>
        <v>28608955</v>
      </c>
      <c r="X7" s="27">
        <f>W7-T7</f>
        <v>0</v>
      </c>
      <c r="Y7" s="29"/>
      <c r="Z7" s="27">
        <f>SUM(Z8:Z9)</f>
        <v>28758955</v>
      </c>
      <c r="AA7" s="27">
        <f>Z7-W7</f>
        <v>150000</v>
      </c>
      <c r="AB7" s="29"/>
    </row>
    <row r="8" spans="1:28" x14ac:dyDescent="0.25">
      <c r="A8" s="1" t="s">
        <v>29</v>
      </c>
      <c r="B8" s="30" t="s">
        <v>30</v>
      </c>
      <c r="C8" s="31" t="s">
        <v>31</v>
      </c>
      <c r="D8" s="32" t="s">
        <v>32</v>
      </c>
      <c r="E8" s="33"/>
      <c r="F8" s="33"/>
      <c r="G8" s="33"/>
      <c r="H8" s="33"/>
      <c r="I8" s="33"/>
      <c r="J8" s="33"/>
      <c r="K8" s="33">
        <f>[4]PIVOT_2023!H4</f>
        <v>28441559</v>
      </c>
      <c r="L8" s="33">
        <f>F8+G8+H8+I8+J8+K8</f>
        <v>28441559</v>
      </c>
      <c r="M8" s="34">
        <v>28441559</v>
      </c>
      <c r="N8" s="34">
        <f>ROUND(M8,0)</f>
        <v>28441559</v>
      </c>
      <c r="O8" s="33">
        <f t="shared" si="2"/>
        <v>0</v>
      </c>
      <c r="P8" s="35"/>
      <c r="Q8" s="33">
        <f>ROUND(N8,0)+167396</f>
        <v>28608955</v>
      </c>
      <c r="R8" s="33">
        <f>Q8-N8</f>
        <v>167396</v>
      </c>
      <c r="S8" s="35" t="s">
        <v>33</v>
      </c>
      <c r="T8" s="33">
        <f>ROUND(Q8,0)</f>
        <v>28608955</v>
      </c>
      <c r="U8" s="33">
        <f>T8-Q8</f>
        <v>0</v>
      </c>
      <c r="V8" s="35"/>
      <c r="W8" s="33">
        <f>ROUND(T8,0)</f>
        <v>28608955</v>
      </c>
      <c r="X8" s="33">
        <f>W8-T8</f>
        <v>0</v>
      </c>
      <c r="Y8" s="35"/>
      <c r="Z8" s="33">
        <f>ROUND(W8,0)+150000</f>
        <v>28758955</v>
      </c>
      <c r="AA8" s="33">
        <f>Z8-W8</f>
        <v>150000</v>
      </c>
      <c r="AB8" s="35" t="s">
        <v>34</v>
      </c>
    </row>
    <row r="9" spans="1:28" ht="27.75" hidden="1" customHeight="1" outlineLevel="1" x14ac:dyDescent="0.25">
      <c r="B9" s="30"/>
      <c r="C9" s="31" t="s">
        <v>35</v>
      </c>
      <c r="D9" s="32" t="s">
        <v>36</v>
      </c>
      <c r="E9" s="33"/>
      <c r="F9" s="33"/>
      <c r="G9" s="33"/>
      <c r="H9" s="33"/>
      <c r="I9" s="33"/>
      <c r="J9" s="33"/>
      <c r="K9" s="33">
        <f>[4]PIVOT_2023!H5</f>
        <v>0</v>
      </c>
      <c r="L9" s="33">
        <f>F9+G9+H9+I9+J9+K9</f>
        <v>0</v>
      </c>
      <c r="M9" s="34">
        <v>0</v>
      </c>
      <c r="N9" s="34">
        <f>ROUND(M9,0)</f>
        <v>0</v>
      </c>
      <c r="O9" s="33">
        <f t="shared" si="2"/>
        <v>0</v>
      </c>
      <c r="P9" s="35"/>
      <c r="Q9" s="33">
        <f>ROUND(P9,0)</f>
        <v>0</v>
      </c>
      <c r="R9" s="33">
        <f t="shared" ref="R9:R72" si="3">Q9-N9</f>
        <v>0</v>
      </c>
      <c r="S9" s="35"/>
      <c r="T9" s="33">
        <f>ROUND(S9,0)</f>
        <v>0</v>
      </c>
      <c r="U9" s="33">
        <f t="shared" ref="U9:U72" si="4">T9-Q9</f>
        <v>0</v>
      </c>
      <c r="V9" s="35"/>
      <c r="W9" s="33">
        <f>ROUND(V9,0)</f>
        <v>0</v>
      </c>
      <c r="X9" s="33">
        <f t="shared" ref="X9:X72" si="5">W9-T9</f>
        <v>0</v>
      </c>
      <c r="Y9" s="35"/>
      <c r="Z9" s="33">
        <f>ROUND(Y9,0)</f>
        <v>0</v>
      </c>
      <c r="AA9" s="33">
        <f t="shared" ref="AA9:AA72" si="6">Z9-W9</f>
        <v>0</v>
      </c>
      <c r="AB9" s="35"/>
    </row>
    <row r="10" spans="1:28" ht="32.4" customHeight="1" collapsed="1" x14ac:dyDescent="0.25">
      <c r="C10" s="20" t="s">
        <v>37</v>
      </c>
      <c r="D10" s="21" t="s">
        <v>38</v>
      </c>
      <c r="E10" s="22"/>
      <c r="F10" s="22"/>
      <c r="G10" s="22"/>
      <c r="H10" s="22"/>
      <c r="I10" s="22"/>
      <c r="J10" s="22"/>
      <c r="K10" s="22"/>
      <c r="L10" s="22">
        <f>L11+L14+L17</f>
        <v>2903312</v>
      </c>
      <c r="M10" s="22">
        <v>2903312</v>
      </c>
      <c r="N10" s="22">
        <f>N11+N14+N17</f>
        <v>2903312</v>
      </c>
      <c r="O10" s="23">
        <f t="shared" si="2"/>
        <v>0</v>
      </c>
      <c r="P10" s="24"/>
      <c r="Q10" s="22">
        <f>Q11+Q14+Q17</f>
        <v>2903312</v>
      </c>
      <c r="R10" s="23">
        <f t="shared" si="3"/>
        <v>0</v>
      </c>
      <c r="S10" s="24"/>
      <c r="T10" s="22">
        <f>T11+T14+T17</f>
        <v>2903312</v>
      </c>
      <c r="U10" s="23">
        <f t="shared" si="4"/>
        <v>0</v>
      </c>
      <c r="V10" s="24"/>
      <c r="W10" s="22">
        <f>W11+W14+W17</f>
        <v>2903312</v>
      </c>
      <c r="X10" s="23">
        <f t="shared" si="5"/>
        <v>0</v>
      </c>
      <c r="Y10" s="24"/>
      <c r="Z10" s="22">
        <f>Z11+Z14+Z17</f>
        <v>2903312</v>
      </c>
      <c r="AA10" s="23">
        <f t="shared" si="6"/>
        <v>0</v>
      </c>
      <c r="AB10" s="24"/>
    </row>
    <row r="11" spans="1:28" x14ac:dyDescent="0.25">
      <c r="B11" s="1" t="s">
        <v>39</v>
      </c>
      <c r="C11" s="37" t="s">
        <v>40</v>
      </c>
      <c r="D11" s="38" t="s">
        <v>41</v>
      </c>
      <c r="E11" s="39">
        <f t="shared" ref="E11:K11" si="7">SUM(E12:E13)</f>
        <v>0</v>
      </c>
      <c r="F11" s="39">
        <f t="shared" si="7"/>
        <v>0</v>
      </c>
      <c r="G11" s="39">
        <f t="shared" si="7"/>
        <v>0</v>
      </c>
      <c r="H11" s="39">
        <f t="shared" si="7"/>
        <v>0</v>
      </c>
      <c r="I11" s="39">
        <f>SUM(I12:I13)</f>
        <v>0</v>
      </c>
      <c r="J11" s="39">
        <f t="shared" si="7"/>
        <v>0</v>
      </c>
      <c r="K11" s="39">
        <f t="shared" si="7"/>
        <v>1998295</v>
      </c>
      <c r="L11" s="39">
        <f>SUM(L12:L13)</f>
        <v>1998295</v>
      </c>
      <c r="M11" s="40">
        <v>1998295</v>
      </c>
      <c r="N11" s="40">
        <f>SUM(N12:N13)</f>
        <v>1998295</v>
      </c>
      <c r="O11" s="39">
        <f t="shared" si="2"/>
        <v>0</v>
      </c>
      <c r="P11" s="41"/>
      <c r="Q11" s="39">
        <f>SUM(Q12:Q13)</f>
        <v>1998295</v>
      </c>
      <c r="R11" s="39">
        <f t="shared" si="3"/>
        <v>0</v>
      </c>
      <c r="S11" s="41"/>
      <c r="T11" s="39">
        <f>SUM(T12:T13)</f>
        <v>1998295</v>
      </c>
      <c r="U11" s="39">
        <f t="shared" si="4"/>
        <v>0</v>
      </c>
      <c r="V11" s="41"/>
      <c r="W11" s="39">
        <f>SUM(W12:W13)</f>
        <v>1998295</v>
      </c>
      <c r="X11" s="39">
        <f t="shared" si="5"/>
        <v>0</v>
      </c>
      <c r="Y11" s="41"/>
      <c r="Z11" s="39">
        <f>SUM(Z12:Z13)</f>
        <v>1998295</v>
      </c>
      <c r="AA11" s="39">
        <f t="shared" si="6"/>
        <v>0</v>
      </c>
      <c r="AB11" s="41"/>
    </row>
    <row r="12" spans="1:28" x14ac:dyDescent="0.25">
      <c r="A12" s="1" t="s">
        <v>29</v>
      </c>
      <c r="B12" s="30" t="s">
        <v>42</v>
      </c>
      <c r="C12" s="31" t="s">
        <v>43</v>
      </c>
      <c r="D12" s="32" t="s">
        <v>32</v>
      </c>
      <c r="E12" s="33"/>
      <c r="F12" s="33"/>
      <c r="G12" s="33"/>
      <c r="H12" s="33"/>
      <c r="I12" s="33"/>
      <c r="J12" s="33"/>
      <c r="K12" s="33">
        <f>[4]PIVOT_2023!H7</f>
        <v>1807872</v>
      </c>
      <c r="L12" s="33">
        <f>F12+G12+H12+I12+J12+K12</f>
        <v>1807872</v>
      </c>
      <c r="M12" s="34">
        <v>1807872</v>
      </c>
      <c r="N12" s="34">
        <f>ROUND(M12,0)</f>
        <v>1807872</v>
      </c>
      <c r="O12" s="33">
        <f t="shared" si="2"/>
        <v>0</v>
      </c>
      <c r="P12" s="42"/>
      <c r="Q12" s="33">
        <f>ROUND(N12,0)</f>
        <v>1807872</v>
      </c>
      <c r="R12" s="33">
        <f t="shared" si="3"/>
        <v>0</v>
      </c>
      <c r="S12" s="42"/>
      <c r="T12" s="33">
        <f>ROUND(Q12,0)</f>
        <v>1807872</v>
      </c>
      <c r="U12" s="33">
        <f t="shared" si="4"/>
        <v>0</v>
      </c>
      <c r="V12" s="42"/>
      <c r="W12" s="33">
        <f>ROUND(T12,0)</f>
        <v>1807872</v>
      </c>
      <c r="X12" s="33">
        <f t="shared" si="5"/>
        <v>0</v>
      </c>
      <c r="Y12" s="42"/>
      <c r="Z12" s="33">
        <f>ROUND(W12,0)</f>
        <v>1807872</v>
      </c>
      <c r="AA12" s="33">
        <f t="shared" si="6"/>
        <v>0</v>
      </c>
      <c r="AB12" s="42"/>
    </row>
    <row r="13" spans="1:28" x14ac:dyDescent="0.25">
      <c r="A13" s="1" t="s">
        <v>29</v>
      </c>
      <c r="B13" s="30" t="s">
        <v>44</v>
      </c>
      <c r="C13" s="31" t="s">
        <v>45</v>
      </c>
      <c r="D13" s="32" t="s">
        <v>46</v>
      </c>
      <c r="E13" s="33"/>
      <c r="F13" s="33"/>
      <c r="G13" s="33"/>
      <c r="H13" s="33"/>
      <c r="I13" s="33"/>
      <c r="J13" s="33"/>
      <c r="K13" s="33">
        <f>[4]PIVOT_2023!H8</f>
        <v>190423</v>
      </c>
      <c r="L13" s="33">
        <f>F13+G13+H13+I13+J13+K13</f>
        <v>190423</v>
      </c>
      <c r="M13" s="34">
        <v>190423</v>
      </c>
      <c r="N13" s="34">
        <f>ROUND(M13,0)</f>
        <v>190423</v>
      </c>
      <c r="O13" s="33">
        <f t="shared" si="2"/>
        <v>0</v>
      </c>
      <c r="P13" s="35"/>
      <c r="Q13" s="33">
        <f>ROUND(N13,0)</f>
        <v>190423</v>
      </c>
      <c r="R13" s="33">
        <f t="shared" si="3"/>
        <v>0</v>
      </c>
      <c r="S13" s="35"/>
      <c r="T13" s="33">
        <f>ROUND(Q13,0)</f>
        <v>190423</v>
      </c>
      <c r="U13" s="33">
        <f t="shared" si="4"/>
        <v>0</v>
      </c>
      <c r="V13" s="35"/>
      <c r="W13" s="33">
        <f>ROUND(T13,0)</f>
        <v>190423</v>
      </c>
      <c r="X13" s="33">
        <f t="shared" si="5"/>
        <v>0</v>
      </c>
      <c r="Y13" s="35"/>
      <c r="Z13" s="33">
        <f>ROUND(W13,0)</f>
        <v>190423</v>
      </c>
      <c r="AA13" s="33">
        <f t="shared" si="6"/>
        <v>0</v>
      </c>
      <c r="AB13" s="35"/>
    </row>
    <row r="14" spans="1:28" x14ac:dyDescent="0.25">
      <c r="B14" s="1" t="s">
        <v>47</v>
      </c>
      <c r="C14" s="37" t="s">
        <v>48</v>
      </c>
      <c r="D14" s="38" t="s">
        <v>49</v>
      </c>
      <c r="E14" s="39">
        <f t="shared" ref="E14:K14" si="8">SUM(E15:E16)</f>
        <v>0</v>
      </c>
      <c r="F14" s="39">
        <f t="shared" si="8"/>
        <v>0</v>
      </c>
      <c r="G14" s="39">
        <f t="shared" si="8"/>
        <v>0</v>
      </c>
      <c r="H14" s="39">
        <f t="shared" si="8"/>
        <v>0</v>
      </c>
      <c r="I14" s="39">
        <f>SUM(I15:I16)</f>
        <v>0</v>
      </c>
      <c r="J14" s="39">
        <f t="shared" si="8"/>
        <v>0</v>
      </c>
      <c r="K14" s="39">
        <f t="shared" si="8"/>
        <v>412472</v>
      </c>
      <c r="L14" s="39">
        <f>SUM(L15:L16)</f>
        <v>412472</v>
      </c>
      <c r="M14" s="40">
        <v>412472</v>
      </c>
      <c r="N14" s="40">
        <f>SUM(N15:N16)</f>
        <v>412472</v>
      </c>
      <c r="O14" s="39">
        <f t="shared" si="2"/>
        <v>0</v>
      </c>
      <c r="P14" s="41"/>
      <c r="Q14" s="39">
        <f>SUM(Q15:Q16)</f>
        <v>412472</v>
      </c>
      <c r="R14" s="39">
        <f t="shared" si="3"/>
        <v>0</v>
      </c>
      <c r="S14" s="41"/>
      <c r="T14" s="39">
        <f>SUM(T15:T16)</f>
        <v>412472</v>
      </c>
      <c r="U14" s="39">
        <f t="shared" si="4"/>
        <v>0</v>
      </c>
      <c r="V14" s="41"/>
      <c r="W14" s="39">
        <f>SUM(W15:W16)</f>
        <v>412472</v>
      </c>
      <c r="X14" s="39">
        <f t="shared" si="5"/>
        <v>0</v>
      </c>
      <c r="Y14" s="41"/>
      <c r="Z14" s="39">
        <f>SUM(Z15:Z16)</f>
        <v>412472</v>
      </c>
      <c r="AA14" s="39">
        <f t="shared" si="6"/>
        <v>0</v>
      </c>
      <c r="AB14" s="41"/>
    </row>
    <row r="15" spans="1:28" x14ac:dyDescent="0.25">
      <c r="A15" s="1" t="s">
        <v>29</v>
      </c>
      <c r="B15" s="30" t="s">
        <v>50</v>
      </c>
      <c r="C15" s="31" t="s">
        <v>51</v>
      </c>
      <c r="D15" s="32" t="s">
        <v>52</v>
      </c>
      <c r="E15" s="33"/>
      <c r="F15" s="33"/>
      <c r="G15" s="33"/>
      <c r="H15" s="33"/>
      <c r="I15" s="33"/>
      <c r="J15" s="33"/>
      <c r="K15" s="33">
        <f>[4]PIVOT_2023!H10</f>
        <v>326353</v>
      </c>
      <c r="L15" s="33">
        <f>F15+G15+H15+I15+J15+K15</f>
        <v>326353</v>
      </c>
      <c r="M15" s="34">
        <v>326353</v>
      </c>
      <c r="N15" s="34">
        <f>ROUND(M15,0)</f>
        <v>326353</v>
      </c>
      <c r="O15" s="33">
        <f t="shared" si="2"/>
        <v>0</v>
      </c>
      <c r="P15" s="43"/>
      <c r="Q15" s="33">
        <f>ROUND(N15,0)</f>
        <v>326353</v>
      </c>
      <c r="R15" s="33">
        <f t="shared" si="3"/>
        <v>0</v>
      </c>
      <c r="S15" s="43"/>
      <c r="T15" s="33">
        <f>ROUND(Q15,0)</f>
        <v>326353</v>
      </c>
      <c r="U15" s="33">
        <f t="shared" si="4"/>
        <v>0</v>
      </c>
      <c r="V15" s="43"/>
      <c r="W15" s="33">
        <f>ROUND(T15,0)</f>
        <v>326353</v>
      </c>
      <c r="X15" s="33">
        <f t="shared" si="5"/>
        <v>0</v>
      </c>
      <c r="Y15" s="43"/>
      <c r="Z15" s="33">
        <f>ROUND(W15,0)</f>
        <v>326353</v>
      </c>
      <c r="AA15" s="33">
        <f t="shared" si="6"/>
        <v>0</v>
      </c>
      <c r="AB15" s="43"/>
    </row>
    <row r="16" spans="1:28" x14ac:dyDescent="0.25">
      <c r="A16" s="1" t="s">
        <v>29</v>
      </c>
      <c r="B16" s="30" t="s">
        <v>53</v>
      </c>
      <c r="C16" s="31" t="s">
        <v>54</v>
      </c>
      <c r="D16" s="32" t="s">
        <v>46</v>
      </c>
      <c r="E16" s="33"/>
      <c r="F16" s="33"/>
      <c r="G16" s="33"/>
      <c r="H16" s="33"/>
      <c r="I16" s="33"/>
      <c r="J16" s="33"/>
      <c r="K16" s="33">
        <f>[4]PIVOT_2023!H11</f>
        <v>86119</v>
      </c>
      <c r="L16" s="33">
        <f>F16+G16+H16+I16+J16+K16</f>
        <v>86119</v>
      </c>
      <c r="M16" s="34">
        <v>86119</v>
      </c>
      <c r="N16" s="34">
        <f>ROUND(M16,0)</f>
        <v>86119</v>
      </c>
      <c r="O16" s="33">
        <f t="shared" si="2"/>
        <v>0</v>
      </c>
      <c r="P16" s="35"/>
      <c r="Q16" s="33">
        <f>ROUND(N16,0)</f>
        <v>86119</v>
      </c>
      <c r="R16" s="33">
        <f t="shared" si="3"/>
        <v>0</v>
      </c>
      <c r="S16" s="35"/>
      <c r="T16" s="33">
        <f>ROUND(Q16,0)</f>
        <v>86119</v>
      </c>
      <c r="U16" s="33">
        <f t="shared" si="4"/>
        <v>0</v>
      </c>
      <c r="V16" s="35"/>
      <c r="W16" s="33">
        <f>ROUND(T16,0)</f>
        <v>86119</v>
      </c>
      <c r="X16" s="33">
        <f t="shared" si="5"/>
        <v>0</v>
      </c>
      <c r="Y16" s="35"/>
      <c r="Z16" s="33">
        <f>ROUND(W16,0)</f>
        <v>86119</v>
      </c>
      <c r="AA16" s="33">
        <f t="shared" si="6"/>
        <v>0</v>
      </c>
      <c r="AB16" s="35"/>
    </row>
    <row r="17" spans="1:28" ht="27.6" x14ac:dyDescent="0.25">
      <c r="B17" s="1" t="s">
        <v>55</v>
      </c>
      <c r="C17" s="37" t="s">
        <v>56</v>
      </c>
      <c r="D17" s="38" t="s">
        <v>57</v>
      </c>
      <c r="E17" s="39">
        <f t="shared" ref="E17:L17" si="9">SUM(E18:E19)</f>
        <v>0</v>
      </c>
      <c r="F17" s="39">
        <f t="shared" si="9"/>
        <v>0</v>
      </c>
      <c r="G17" s="39">
        <f t="shared" si="9"/>
        <v>0</v>
      </c>
      <c r="H17" s="39">
        <f t="shared" si="9"/>
        <v>0</v>
      </c>
      <c r="I17" s="39">
        <f>SUM(I18:I19)</f>
        <v>0</v>
      </c>
      <c r="J17" s="39">
        <f t="shared" si="9"/>
        <v>0</v>
      </c>
      <c r="K17" s="39">
        <f t="shared" si="9"/>
        <v>492545</v>
      </c>
      <c r="L17" s="39">
        <f t="shared" si="9"/>
        <v>492545</v>
      </c>
      <c r="M17" s="40">
        <v>492545</v>
      </c>
      <c r="N17" s="40">
        <f>SUM(N18:N19)</f>
        <v>492545</v>
      </c>
      <c r="O17" s="39">
        <f t="shared" si="2"/>
        <v>0</v>
      </c>
      <c r="P17" s="41"/>
      <c r="Q17" s="39">
        <f>SUM(Q18:Q19)</f>
        <v>492545</v>
      </c>
      <c r="R17" s="39">
        <f t="shared" si="3"/>
        <v>0</v>
      </c>
      <c r="S17" s="41"/>
      <c r="T17" s="39">
        <f>SUM(T18:T19)</f>
        <v>492545</v>
      </c>
      <c r="U17" s="39">
        <f t="shared" si="4"/>
        <v>0</v>
      </c>
      <c r="V17" s="41"/>
      <c r="W17" s="39">
        <f>SUM(W18:W19)</f>
        <v>492545</v>
      </c>
      <c r="X17" s="39">
        <f t="shared" si="5"/>
        <v>0</v>
      </c>
      <c r="Y17" s="41"/>
      <c r="Z17" s="39">
        <f>SUM(Z18:Z19)</f>
        <v>492545</v>
      </c>
      <c r="AA17" s="39">
        <f t="shared" si="6"/>
        <v>0</v>
      </c>
      <c r="AB17" s="41"/>
    </row>
    <row r="18" spans="1:28" ht="18.75" customHeight="1" x14ac:dyDescent="0.25">
      <c r="A18" s="1" t="s">
        <v>29</v>
      </c>
      <c r="B18" s="30" t="s">
        <v>58</v>
      </c>
      <c r="C18" s="31" t="s">
        <v>59</v>
      </c>
      <c r="D18" s="32" t="s">
        <v>52</v>
      </c>
      <c r="E18" s="33"/>
      <c r="F18" s="33"/>
      <c r="G18" s="33"/>
      <c r="H18" s="33"/>
      <c r="I18" s="33"/>
      <c r="J18" s="33"/>
      <c r="K18" s="33">
        <f>[4]PIVOT_2023!H13</f>
        <v>431787</v>
      </c>
      <c r="L18" s="33">
        <f>F18+G18+H18+I18+J18+K18</f>
        <v>431787</v>
      </c>
      <c r="M18" s="34">
        <v>431787</v>
      </c>
      <c r="N18" s="34">
        <f>ROUND(M18,0)</f>
        <v>431787</v>
      </c>
      <c r="O18" s="33">
        <f t="shared" si="2"/>
        <v>0</v>
      </c>
      <c r="P18" s="43"/>
      <c r="Q18" s="33">
        <f>ROUND(N18,0)</f>
        <v>431787</v>
      </c>
      <c r="R18" s="33">
        <f t="shared" si="3"/>
        <v>0</v>
      </c>
      <c r="S18" s="43"/>
      <c r="T18" s="33">
        <f>ROUND(Q18,0)</f>
        <v>431787</v>
      </c>
      <c r="U18" s="33">
        <f t="shared" si="4"/>
        <v>0</v>
      </c>
      <c r="V18" s="43"/>
      <c r="W18" s="33">
        <f>ROUND(T18,0)</f>
        <v>431787</v>
      </c>
      <c r="X18" s="33">
        <f t="shared" si="5"/>
        <v>0</v>
      </c>
      <c r="Y18" s="43"/>
      <c r="Z18" s="33">
        <f>ROUND(W18,0)</f>
        <v>431787</v>
      </c>
      <c r="AA18" s="33">
        <f t="shared" si="6"/>
        <v>0</v>
      </c>
      <c r="AB18" s="43"/>
    </row>
    <row r="19" spans="1:28" x14ac:dyDescent="0.25">
      <c r="A19" s="1" t="s">
        <v>29</v>
      </c>
      <c r="B19" s="30" t="s">
        <v>60</v>
      </c>
      <c r="C19" s="31" t="s">
        <v>61</v>
      </c>
      <c r="D19" s="32" t="s">
        <v>46</v>
      </c>
      <c r="E19" s="33"/>
      <c r="F19" s="33"/>
      <c r="G19" s="33"/>
      <c r="H19" s="33"/>
      <c r="I19" s="33"/>
      <c r="J19" s="33"/>
      <c r="K19" s="33">
        <f>[4]PIVOT_2023!H14</f>
        <v>60758</v>
      </c>
      <c r="L19" s="33">
        <f>F19+G19+H19+I19+J19+K19</f>
        <v>60758</v>
      </c>
      <c r="M19" s="34">
        <v>60758</v>
      </c>
      <c r="N19" s="34">
        <f>ROUND(M19,0)</f>
        <v>60758</v>
      </c>
      <c r="O19" s="33">
        <f t="shared" si="2"/>
        <v>0</v>
      </c>
      <c r="P19" s="42"/>
      <c r="Q19" s="33">
        <f>ROUND(N19,0)</f>
        <v>60758</v>
      </c>
      <c r="R19" s="33">
        <f t="shared" si="3"/>
        <v>0</v>
      </c>
      <c r="S19" s="42"/>
      <c r="T19" s="33">
        <f>ROUND(Q19,0)</f>
        <v>60758</v>
      </c>
      <c r="U19" s="33">
        <f t="shared" si="4"/>
        <v>0</v>
      </c>
      <c r="V19" s="42"/>
      <c r="W19" s="33">
        <f>ROUND(T19,0)</f>
        <v>60758</v>
      </c>
      <c r="X19" s="33">
        <f t="shared" si="5"/>
        <v>0</v>
      </c>
      <c r="Y19" s="42"/>
      <c r="Z19" s="33">
        <f>ROUND(W19,0)</f>
        <v>60758</v>
      </c>
      <c r="AA19" s="33">
        <f t="shared" si="6"/>
        <v>0</v>
      </c>
      <c r="AB19" s="42"/>
    </row>
    <row r="20" spans="1:28" ht="28.2" x14ac:dyDescent="0.3">
      <c r="B20" s="44"/>
      <c r="C20" s="37" t="s">
        <v>62</v>
      </c>
      <c r="D20" s="38" t="s">
        <v>63</v>
      </c>
      <c r="E20" s="39">
        <f t="shared" ref="E20:N20" si="10">SUM(E21:E22)</f>
        <v>190002</v>
      </c>
      <c r="F20" s="39">
        <f t="shared" si="10"/>
        <v>70000</v>
      </c>
      <c r="G20" s="39">
        <f t="shared" si="10"/>
        <v>0</v>
      </c>
      <c r="H20" s="39">
        <f t="shared" si="10"/>
        <v>0</v>
      </c>
      <c r="I20" s="39">
        <f t="shared" si="10"/>
        <v>0</v>
      </c>
      <c r="J20" s="39">
        <f t="shared" si="10"/>
        <v>0</v>
      </c>
      <c r="K20" s="39">
        <f t="shared" si="10"/>
        <v>0</v>
      </c>
      <c r="L20" s="39">
        <f t="shared" si="10"/>
        <v>70000</v>
      </c>
      <c r="M20" s="40">
        <v>70000</v>
      </c>
      <c r="N20" s="40">
        <f t="shared" si="10"/>
        <v>70000</v>
      </c>
      <c r="O20" s="39">
        <f t="shared" si="2"/>
        <v>0</v>
      </c>
      <c r="P20" s="41"/>
      <c r="Q20" s="39">
        <f>SUM(Q21:Q22)</f>
        <v>70000</v>
      </c>
      <c r="R20" s="39">
        <f t="shared" si="3"/>
        <v>0</v>
      </c>
      <c r="S20" s="41"/>
      <c r="T20" s="39">
        <f>SUM(T21:T22)</f>
        <v>70000</v>
      </c>
      <c r="U20" s="39">
        <f t="shared" si="4"/>
        <v>0</v>
      </c>
      <c r="V20" s="41"/>
      <c r="W20" s="39">
        <f>SUM(W21:W22)</f>
        <v>70000</v>
      </c>
      <c r="X20" s="39">
        <f t="shared" si="5"/>
        <v>0</v>
      </c>
      <c r="Y20" s="41"/>
      <c r="Z20" s="39">
        <f>SUM(Z21:Z22)</f>
        <v>70000</v>
      </c>
      <c r="AA20" s="39">
        <f t="shared" si="6"/>
        <v>0</v>
      </c>
      <c r="AB20" s="41"/>
    </row>
    <row r="21" spans="1:28" ht="14.4" customHeight="1" outlineLevel="1" x14ac:dyDescent="0.25">
      <c r="B21" s="30" t="s">
        <v>64</v>
      </c>
      <c r="C21" s="31" t="s">
        <v>65</v>
      </c>
      <c r="D21" s="32" t="s">
        <v>66</v>
      </c>
      <c r="E21" s="33"/>
      <c r="F21" s="33"/>
      <c r="G21" s="33"/>
      <c r="H21" s="33"/>
      <c r="I21" s="33"/>
      <c r="J21" s="33"/>
      <c r="K21" s="33"/>
      <c r="L21" s="33">
        <f>F21+G21+H21+I21+J21+K21</f>
        <v>0</v>
      </c>
      <c r="M21" s="34">
        <v>0</v>
      </c>
      <c r="N21" s="34">
        <f>ROUND(M21,0)</f>
        <v>0</v>
      </c>
      <c r="O21" s="33">
        <f t="shared" si="2"/>
        <v>0</v>
      </c>
      <c r="P21" s="43"/>
      <c r="Q21" s="33">
        <f>ROUND(N21,0)</f>
        <v>0</v>
      </c>
      <c r="R21" s="33">
        <f t="shared" si="3"/>
        <v>0</v>
      </c>
      <c r="S21" s="43"/>
      <c r="T21" s="33">
        <f>ROUND(Q21,0)</f>
        <v>0</v>
      </c>
      <c r="U21" s="33">
        <f t="shared" si="4"/>
        <v>0</v>
      </c>
      <c r="V21" s="43"/>
      <c r="W21" s="33">
        <f>ROUND(T21,0)</f>
        <v>0</v>
      </c>
      <c r="X21" s="33">
        <f t="shared" si="5"/>
        <v>0</v>
      </c>
      <c r="Y21" s="43"/>
      <c r="Z21" s="33">
        <f>ROUND(W21,0)</f>
        <v>0</v>
      </c>
      <c r="AA21" s="33">
        <f t="shared" si="6"/>
        <v>0</v>
      </c>
      <c r="AB21" s="43"/>
    </row>
    <row r="22" spans="1:28" ht="15.6" customHeight="1" x14ac:dyDescent="0.25">
      <c r="B22" s="30" t="s">
        <v>67</v>
      </c>
      <c r="C22" s="31" t="s">
        <v>65</v>
      </c>
      <c r="D22" s="32" t="s">
        <v>68</v>
      </c>
      <c r="E22" s="33">
        <f>185313+4689</f>
        <v>190002</v>
      </c>
      <c r="F22" s="33">
        <v>70000</v>
      </c>
      <c r="G22" s="33"/>
      <c r="H22" s="33"/>
      <c r="I22" s="33"/>
      <c r="J22" s="33"/>
      <c r="K22" s="33"/>
      <c r="L22" s="33">
        <f>F22+G22+H22+I22+J22+K22</f>
        <v>70000</v>
      </c>
      <c r="M22" s="34">
        <v>70000</v>
      </c>
      <c r="N22" s="34">
        <f>ROUND(M22,0)</f>
        <v>70000</v>
      </c>
      <c r="O22" s="33">
        <f t="shared" si="2"/>
        <v>0</v>
      </c>
      <c r="P22" s="45"/>
      <c r="Q22" s="33">
        <f>ROUND(N22,0)</f>
        <v>70000</v>
      </c>
      <c r="R22" s="33">
        <f t="shared" si="3"/>
        <v>0</v>
      </c>
      <c r="S22" s="45"/>
      <c r="T22" s="33">
        <f>ROUND(Q22,0)</f>
        <v>70000</v>
      </c>
      <c r="U22" s="33">
        <f t="shared" si="4"/>
        <v>0</v>
      </c>
      <c r="V22" s="45"/>
      <c r="W22" s="33">
        <f>ROUND(T22,0)</f>
        <v>70000</v>
      </c>
      <c r="X22" s="33">
        <f t="shared" si="5"/>
        <v>0</v>
      </c>
      <c r="Y22" s="45"/>
      <c r="Z22" s="33">
        <f>ROUND(W22,0)</f>
        <v>70000</v>
      </c>
      <c r="AA22" s="33">
        <f t="shared" si="6"/>
        <v>0</v>
      </c>
      <c r="AB22" s="45"/>
    </row>
    <row r="23" spans="1:28" ht="15.75" customHeight="1" x14ac:dyDescent="0.25">
      <c r="B23" s="1" t="s">
        <v>69</v>
      </c>
      <c r="C23" s="37" t="s">
        <v>70</v>
      </c>
      <c r="D23" s="38" t="s">
        <v>71</v>
      </c>
      <c r="E23" s="39">
        <f t="shared" ref="E23:N23" si="11">E24+E28</f>
        <v>0</v>
      </c>
      <c r="F23" s="39">
        <f t="shared" si="11"/>
        <v>0</v>
      </c>
      <c r="G23" s="39">
        <f t="shared" si="11"/>
        <v>0</v>
      </c>
      <c r="H23" s="39">
        <f t="shared" si="11"/>
        <v>0</v>
      </c>
      <c r="I23" s="39">
        <f t="shared" si="11"/>
        <v>0</v>
      </c>
      <c r="J23" s="39">
        <f t="shared" si="11"/>
        <v>0</v>
      </c>
      <c r="K23" s="39">
        <f t="shared" si="11"/>
        <v>160000</v>
      </c>
      <c r="L23" s="39">
        <f t="shared" si="11"/>
        <v>160000</v>
      </c>
      <c r="M23" s="40">
        <v>160000</v>
      </c>
      <c r="N23" s="40">
        <f t="shared" si="11"/>
        <v>160000</v>
      </c>
      <c r="O23" s="39">
        <f t="shared" si="2"/>
        <v>0</v>
      </c>
      <c r="P23" s="41"/>
      <c r="Q23" s="39">
        <f>Q24+Q28</f>
        <v>160000</v>
      </c>
      <c r="R23" s="39">
        <f t="shared" si="3"/>
        <v>0</v>
      </c>
      <c r="S23" s="41"/>
      <c r="T23" s="39">
        <f>T24+T28</f>
        <v>160000</v>
      </c>
      <c r="U23" s="39">
        <f t="shared" si="4"/>
        <v>0</v>
      </c>
      <c r="V23" s="41"/>
      <c r="W23" s="39">
        <f>W24+W28</f>
        <v>160000</v>
      </c>
      <c r="X23" s="39">
        <f t="shared" si="5"/>
        <v>0</v>
      </c>
      <c r="Y23" s="41"/>
      <c r="Z23" s="39">
        <f>Z24+Z28</f>
        <v>160000</v>
      </c>
      <c r="AA23" s="39">
        <f t="shared" si="6"/>
        <v>0</v>
      </c>
      <c r="AB23" s="41"/>
    </row>
    <row r="24" spans="1:28" x14ac:dyDescent="0.25">
      <c r="A24" s="1" t="s">
        <v>29</v>
      </c>
      <c r="B24" s="1" t="s">
        <v>72</v>
      </c>
      <c r="C24" s="31" t="s">
        <v>73</v>
      </c>
      <c r="D24" s="32" t="s">
        <v>74</v>
      </c>
      <c r="E24" s="33">
        <f>E25+E26+E27</f>
        <v>0</v>
      </c>
      <c r="F24" s="33">
        <f t="shared" ref="F24:L24" si="12">F25+F26+F27</f>
        <v>0</v>
      </c>
      <c r="G24" s="33">
        <f t="shared" si="12"/>
        <v>0</v>
      </c>
      <c r="H24" s="33">
        <f t="shared" si="12"/>
        <v>0</v>
      </c>
      <c r="I24" s="33">
        <f>I25+I26+I27</f>
        <v>0</v>
      </c>
      <c r="J24" s="33">
        <f t="shared" si="12"/>
        <v>0</v>
      </c>
      <c r="K24" s="33">
        <f t="shared" si="12"/>
        <v>6700</v>
      </c>
      <c r="L24" s="33">
        <f t="shared" si="12"/>
        <v>6700</v>
      </c>
      <c r="M24" s="34">
        <v>6700</v>
      </c>
      <c r="N24" s="34">
        <f>N25+N26+N27</f>
        <v>6700</v>
      </c>
      <c r="O24" s="33">
        <f t="shared" si="2"/>
        <v>0</v>
      </c>
      <c r="P24" s="42"/>
      <c r="Q24" s="33">
        <f>Q25+Q26+Q27</f>
        <v>6700</v>
      </c>
      <c r="R24" s="33">
        <f t="shared" si="3"/>
        <v>0</v>
      </c>
      <c r="S24" s="42"/>
      <c r="T24" s="33">
        <f>T25+T26+T27</f>
        <v>6700</v>
      </c>
      <c r="U24" s="33">
        <f t="shared" si="4"/>
        <v>0</v>
      </c>
      <c r="V24" s="42"/>
      <c r="W24" s="33">
        <f>W25+W26+W27</f>
        <v>6700</v>
      </c>
      <c r="X24" s="33">
        <f t="shared" si="5"/>
        <v>0</v>
      </c>
      <c r="Y24" s="42"/>
      <c r="Z24" s="33">
        <f>Z25+Z26+Z27</f>
        <v>6700</v>
      </c>
      <c r="AA24" s="33">
        <f t="shared" si="6"/>
        <v>0</v>
      </c>
      <c r="AB24" s="42"/>
    </row>
    <row r="25" spans="1:28" ht="26.4" x14ac:dyDescent="0.25">
      <c r="B25" s="30" t="s">
        <v>75</v>
      </c>
      <c r="C25" s="46" t="s">
        <v>76</v>
      </c>
      <c r="D25" s="47" t="s">
        <v>77</v>
      </c>
      <c r="E25" s="33"/>
      <c r="F25" s="33"/>
      <c r="G25" s="33"/>
      <c r="H25" s="33"/>
      <c r="I25" s="33"/>
      <c r="J25" s="33"/>
      <c r="K25" s="33">
        <v>1700</v>
      </c>
      <c r="L25" s="33">
        <f>F25+G25+H25+I25+J25+K25</f>
        <v>1700</v>
      </c>
      <c r="M25" s="34">
        <v>1700</v>
      </c>
      <c r="N25" s="34">
        <f>ROUND(M25,0)</f>
        <v>1700</v>
      </c>
      <c r="O25" s="33">
        <f t="shared" si="2"/>
        <v>0</v>
      </c>
      <c r="P25" s="42"/>
      <c r="Q25" s="33">
        <f>ROUND(N25,0)</f>
        <v>1700</v>
      </c>
      <c r="R25" s="33">
        <f t="shared" si="3"/>
        <v>0</v>
      </c>
      <c r="S25" s="42"/>
      <c r="T25" s="33">
        <f>ROUND(Q25,0)</f>
        <v>1700</v>
      </c>
      <c r="U25" s="33">
        <f t="shared" si="4"/>
        <v>0</v>
      </c>
      <c r="V25" s="42"/>
      <c r="W25" s="33">
        <f>ROUND(T25,0)</f>
        <v>1700</v>
      </c>
      <c r="X25" s="33">
        <f t="shared" si="5"/>
        <v>0</v>
      </c>
      <c r="Y25" s="42"/>
      <c r="Z25" s="33">
        <f>ROUND(W25,0)</f>
        <v>1700</v>
      </c>
      <c r="AA25" s="33">
        <f t="shared" si="6"/>
        <v>0</v>
      </c>
      <c r="AB25" s="42"/>
    </row>
    <row r="26" spans="1:28" ht="26.4" x14ac:dyDescent="0.25">
      <c r="B26" s="30" t="s">
        <v>78</v>
      </c>
      <c r="C26" s="46" t="s">
        <v>79</v>
      </c>
      <c r="D26" s="47" t="s">
        <v>80</v>
      </c>
      <c r="E26" s="33"/>
      <c r="F26" s="33"/>
      <c r="G26" s="33"/>
      <c r="H26" s="33"/>
      <c r="I26" s="33"/>
      <c r="J26" s="33"/>
      <c r="K26" s="33">
        <v>4500</v>
      </c>
      <c r="L26" s="33">
        <f>F26+G26+H26+I26+J26+K26</f>
        <v>4500</v>
      </c>
      <c r="M26" s="34">
        <v>4500</v>
      </c>
      <c r="N26" s="34">
        <f>ROUND(M26,0)</f>
        <v>4500</v>
      </c>
      <c r="O26" s="33">
        <f t="shared" si="2"/>
        <v>0</v>
      </c>
      <c r="P26" s="42"/>
      <c r="Q26" s="33">
        <f>ROUND(N26,0)</f>
        <v>4500</v>
      </c>
      <c r="R26" s="33">
        <f t="shared" si="3"/>
        <v>0</v>
      </c>
      <c r="S26" s="42"/>
      <c r="T26" s="33">
        <f>ROUND(Q26,0)</f>
        <v>4500</v>
      </c>
      <c r="U26" s="33">
        <f t="shared" si="4"/>
        <v>0</v>
      </c>
      <c r="V26" s="42"/>
      <c r="W26" s="33">
        <f>ROUND(T26,0)</f>
        <v>4500</v>
      </c>
      <c r="X26" s="33">
        <f t="shared" si="5"/>
        <v>0</v>
      </c>
      <c r="Y26" s="42"/>
      <c r="Z26" s="33">
        <f>ROUND(W26,0)</f>
        <v>4500</v>
      </c>
      <c r="AA26" s="33">
        <f t="shared" si="6"/>
        <v>0</v>
      </c>
      <c r="AB26" s="42"/>
    </row>
    <row r="27" spans="1:28" ht="26.4" x14ac:dyDescent="0.25">
      <c r="B27" s="30" t="s">
        <v>81</v>
      </c>
      <c r="C27" s="46" t="s">
        <v>82</v>
      </c>
      <c r="D27" s="47" t="s">
        <v>83</v>
      </c>
      <c r="E27" s="33"/>
      <c r="F27" s="33"/>
      <c r="G27" s="33"/>
      <c r="H27" s="33"/>
      <c r="I27" s="33"/>
      <c r="J27" s="33"/>
      <c r="K27" s="33">
        <v>500</v>
      </c>
      <c r="L27" s="33">
        <f>F27+G27+H27+I27+J27+K27</f>
        <v>500</v>
      </c>
      <c r="M27" s="34">
        <v>500</v>
      </c>
      <c r="N27" s="34">
        <f>ROUND(M27,0)</f>
        <v>500</v>
      </c>
      <c r="O27" s="33">
        <f t="shared" si="2"/>
        <v>0</v>
      </c>
      <c r="P27" s="42"/>
      <c r="Q27" s="33">
        <f>ROUND(N27,0)</f>
        <v>500</v>
      </c>
      <c r="R27" s="33">
        <f t="shared" si="3"/>
        <v>0</v>
      </c>
      <c r="S27" s="42"/>
      <c r="T27" s="33">
        <f>ROUND(Q27,0)</f>
        <v>500</v>
      </c>
      <c r="U27" s="33">
        <f t="shared" si="4"/>
        <v>0</v>
      </c>
      <c r="V27" s="42"/>
      <c r="W27" s="33">
        <f>ROUND(T27,0)</f>
        <v>500</v>
      </c>
      <c r="X27" s="33">
        <f t="shared" si="5"/>
        <v>0</v>
      </c>
      <c r="Y27" s="42"/>
      <c r="Z27" s="33">
        <f>ROUND(W27,0)</f>
        <v>500</v>
      </c>
      <c r="AA27" s="33">
        <f t="shared" si="6"/>
        <v>0</v>
      </c>
      <c r="AB27" s="42"/>
    </row>
    <row r="28" spans="1:28" x14ac:dyDescent="0.25">
      <c r="A28" s="1" t="s">
        <v>29</v>
      </c>
      <c r="B28" s="1" t="s">
        <v>84</v>
      </c>
      <c r="C28" s="31" t="s">
        <v>85</v>
      </c>
      <c r="D28" s="32" t="s">
        <v>86</v>
      </c>
      <c r="E28" s="33">
        <f>SUM(E29:E35)</f>
        <v>0</v>
      </c>
      <c r="F28" s="33">
        <f t="shared" ref="F28:L28" si="13">SUM(F29:F35)</f>
        <v>0</v>
      </c>
      <c r="G28" s="33">
        <f t="shared" si="13"/>
        <v>0</v>
      </c>
      <c r="H28" s="33">
        <f t="shared" si="13"/>
        <v>0</v>
      </c>
      <c r="I28" s="33">
        <f>SUM(I29:I35)</f>
        <v>0</v>
      </c>
      <c r="J28" s="33">
        <f t="shared" si="13"/>
        <v>0</v>
      </c>
      <c r="K28" s="33">
        <f t="shared" si="13"/>
        <v>153300</v>
      </c>
      <c r="L28" s="33">
        <f t="shared" si="13"/>
        <v>153300</v>
      </c>
      <c r="M28" s="34">
        <v>153300</v>
      </c>
      <c r="N28" s="34">
        <f>SUM(N29:N35)</f>
        <v>153300</v>
      </c>
      <c r="O28" s="33">
        <f t="shared" si="2"/>
        <v>0</v>
      </c>
      <c r="P28" s="42"/>
      <c r="Q28" s="33">
        <f>SUM(Q29:Q35)</f>
        <v>153300</v>
      </c>
      <c r="R28" s="33">
        <f t="shared" si="3"/>
        <v>0</v>
      </c>
      <c r="S28" s="42"/>
      <c r="T28" s="33">
        <f>SUM(T29:T35)</f>
        <v>153300</v>
      </c>
      <c r="U28" s="33">
        <f t="shared" si="4"/>
        <v>0</v>
      </c>
      <c r="V28" s="42"/>
      <c r="W28" s="33">
        <f>SUM(W29:W35)</f>
        <v>153300</v>
      </c>
      <c r="X28" s="33">
        <f t="shared" si="5"/>
        <v>0</v>
      </c>
      <c r="Y28" s="42"/>
      <c r="Z28" s="33">
        <f>SUM(Z29:Z35)</f>
        <v>153300</v>
      </c>
      <c r="AA28" s="33">
        <f t="shared" si="6"/>
        <v>0</v>
      </c>
      <c r="AB28" s="42"/>
    </row>
    <row r="29" spans="1:28" ht="26.4" x14ac:dyDescent="0.25">
      <c r="B29" s="30" t="s">
        <v>87</v>
      </c>
      <c r="C29" s="46" t="s">
        <v>88</v>
      </c>
      <c r="D29" s="47" t="s">
        <v>89</v>
      </c>
      <c r="E29" s="33"/>
      <c r="F29" s="33"/>
      <c r="G29" s="33"/>
      <c r="H29" s="33"/>
      <c r="I29" s="33"/>
      <c r="J29" s="33"/>
      <c r="K29" s="33">
        <v>350</v>
      </c>
      <c r="L29" s="33">
        <f t="shared" ref="L29:L35" si="14">F29+G29+H29+I29+J29+K29</f>
        <v>350</v>
      </c>
      <c r="M29" s="34">
        <v>350</v>
      </c>
      <c r="N29" s="34">
        <f t="shared" ref="N29:N35" si="15">ROUND(M29,0)</f>
        <v>350</v>
      </c>
      <c r="O29" s="33">
        <f t="shared" si="2"/>
        <v>0</v>
      </c>
      <c r="P29" s="42"/>
      <c r="Q29" s="33">
        <f t="shared" ref="Q29:Q35" si="16">ROUND(N29,0)</f>
        <v>350</v>
      </c>
      <c r="R29" s="33">
        <f t="shared" si="3"/>
        <v>0</v>
      </c>
      <c r="S29" s="42"/>
      <c r="T29" s="33">
        <f t="shared" ref="T29:T35" si="17">ROUND(Q29,0)</f>
        <v>350</v>
      </c>
      <c r="U29" s="33">
        <f t="shared" si="4"/>
        <v>0</v>
      </c>
      <c r="V29" s="42"/>
      <c r="W29" s="33">
        <f t="shared" ref="W29:W35" si="18">ROUND(T29,0)</f>
        <v>350</v>
      </c>
      <c r="X29" s="33">
        <f t="shared" si="5"/>
        <v>0</v>
      </c>
      <c r="Y29" s="42"/>
      <c r="Z29" s="33">
        <f t="shared" ref="Z29:Z35" si="19">ROUND(W29,0)</f>
        <v>350</v>
      </c>
      <c r="AA29" s="33">
        <f t="shared" si="6"/>
        <v>0</v>
      </c>
      <c r="AB29" s="42"/>
    </row>
    <row r="30" spans="1:28" ht="26.4" x14ac:dyDescent="0.25">
      <c r="B30" s="48" t="s">
        <v>90</v>
      </c>
      <c r="C30" s="46" t="s">
        <v>91</v>
      </c>
      <c r="D30" s="47" t="s">
        <v>92</v>
      </c>
      <c r="E30" s="33"/>
      <c r="F30" s="33"/>
      <c r="G30" s="33"/>
      <c r="H30" s="33"/>
      <c r="I30" s="33"/>
      <c r="J30" s="33"/>
      <c r="K30" s="33">
        <v>1100</v>
      </c>
      <c r="L30" s="33">
        <f t="shared" si="14"/>
        <v>1100</v>
      </c>
      <c r="M30" s="34">
        <v>1100</v>
      </c>
      <c r="N30" s="34">
        <f t="shared" si="15"/>
        <v>1100</v>
      </c>
      <c r="O30" s="33">
        <f t="shared" si="2"/>
        <v>0</v>
      </c>
      <c r="P30" s="42"/>
      <c r="Q30" s="33">
        <f t="shared" si="16"/>
        <v>1100</v>
      </c>
      <c r="R30" s="33">
        <f t="shared" si="3"/>
        <v>0</v>
      </c>
      <c r="S30" s="42"/>
      <c r="T30" s="33">
        <f t="shared" si="17"/>
        <v>1100</v>
      </c>
      <c r="U30" s="33">
        <f t="shared" si="4"/>
        <v>0</v>
      </c>
      <c r="V30" s="42"/>
      <c r="W30" s="33">
        <f t="shared" si="18"/>
        <v>1100</v>
      </c>
      <c r="X30" s="33">
        <f t="shared" si="5"/>
        <v>0</v>
      </c>
      <c r="Y30" s="42"/>
      <c r="Z30" s="33">
        <f t="shared" si="19"/>
        <v>1100</v>
      </c>
      <c r="AA30" s="33">
        <f t="shared" si="6"/>
        <v>0</v>
      </c>
      <c r="AB30" s="42"/>
    </row>
    <row r="31" spans="1:28" x14ac:dyDescent="0.25">
      <c r="B31" s="30" t="s">
        <v>93</v>
      </c>
      <c r="C31" s="46" t="s">
        <v>94</v>
      </c>
      <c r="D31" s="47" t="s">
        <v>95</v>
      </c>
      <c r="E31" s="33"/>
      <c r="F31" s="33"/>
      <c r="G31" s="33"/>
      <c r="H31" s="33"/>
      <c r="I31" s="33"/>
      <c r="J31" s="33"/>
      <c r="K31" s="33">
        <v>27000</v>
      </c>
      <c r="L31" s="33">
        <f t="shared" si="14"/>
        <v>27000</v>
      </c>
      <c r="M31" s="34">
        <v>27000</v>
      </c>
      <c r="N31" s="34">
        <f t="shared" si="15"/>
        <v>27000</v>
      </c>
      <c r="O31" s="33">
        <f t="shared" si="2"/>
        <v>0</v>
      </c>
      <c r="P31" s="42"/>
      <c r="Q31" s="33">
        <f t="shared" si="16"/>
        <v>27000</v>
      </c>
      <c r="R31" s="33">
        <f t="shared" si="3"/>
        <v>0</v>
      </c>
      <c r="S31" s="42"/>
      <c r="T31" s="33">
        <f t="shared" si="17"/>
        <v>27000</v>
      </c>
      <c r="U31" s="33">
        <f t="shared" si="4"/>
        <v>0</v>
      </c>
      <c r="V31" s="42"/>
      <c r="W31" s="33">
        <f t="shared" si="18"/>
        <v>27000</v>
      </c>
      <c r="X31" s="33">
        <f t="shared" si="5"/>
        <v>0</v>
      </c>
      <c r="Y31" s="42"/>
      <c r="Z31" s="33">
        <f t="shared" si="19"/>
        <v>27000</v>
      </c>
      <c r="AA31" s="33">
        <f t="shared" si="6"/>
        <v>0</v>
      </c>
      <c r="AB31" s="42"/>
    </row>
    <row r="32" spans="1:28" x14ac:dyDescent="0.25">
      <c r="B32" s="30" t="s">
        <v>96</v>
      </c>
      <c r="C32" s="46" t="s">
        <v>97</v>
      </c>
      <c r="D32" s="47" t="s">
        <v>98</v>
      </c>
      <c r="E32" s="33"/>
      <c r="F32" s="33"/>
      <c r="G32" s="33"/>
      <c r="H32" s="33"/>
      <c r="I32" s="33"/>
      <c r="J32" s="33"/>
      <c r="K32" s="33">
        <v>0</v>
      </c>
      <c r="L32" s="33">
        <f t="shared" si="14"/>
        <v>0</v>
      </c>
      <c r="M32" s="34">
        <v>0</v>
      </c>
      <c r="N32" s="34">
        <f t="shared" si="15"/>
        <v>0</v>
      </c>
      <c r="O32" s="33">
        <f t="shared" si="2"/>
        <v>0</v>
      </c>
      <c r="P32" s="42"/>
      <c r="Q32" s="33">
        <f t="shared" si="16"/>
        <v>0</v>
      </c>
      <c r="R32" s="33">
        <f t="shared" si="3"/>
        <v>0</v>
      </c>
      <c r="S32" s="42"/>
      <c r="T32" s="33">
        <f t="shared" si="17"/>
        <v>0</v>
      </c>
      <c r="U32" s="33">
        <f t="shared" si="4"/>
        <v>0</v>
      </c>
      <c r="V32" s="42"/>
      <c r="W32" s="33">
        <f t="shared" si="18"/>
        <v>0</v>
      </c>
      <c r="X32" s="33">
        <f t="shared" si="5"/>
        <v>0</v>
      </c>
      <c r="Y32" s="42"/>
      <c r="Z32" s="33">
        <f t="shared" si="19"/>
        <v>0</v>
      </c>
      <c r="AA32" s="33">
        <f t="shared" si="6"/>
        <v>0</v>
      </c>
      <c r="AB32" s="42"/>
    </row>
    <row r="33" spans="1:28" ht="26.4" x14ac:dyDescent="0.25">
      <c r="B33" s="30" t="s">
        <v>99</v>
      </c>
      <c r="C33" s="46" t="s">
        <v>100</v>
      </c>
      <c r="D33" s="47" t="s">
        <v>101</v>
      </c>
      <c r="E33" s="33"/>
      <c r="F33" s="33"/>
      <c r="G33" s="33"/>
      <c r="H33" s="33"/>
      <c r="I33" s="33"/>
      <c r="J33" s="33"/>
      <c r="K33" s="33">
        <v>11500</v>
      </c>
      <c r="L33" s="33">
        <f t="shared" si="14"/>
        <v>11500</v>
      </c>
      <c r="M33" s="34">
        <v>11500</v>
      </c>
      <c r="N33" s="34">
        <f t="shared" si="15"/>
        <v>11500</v>
      </c>
      <c r="O33" s="33">
        <f t="shared" si="2"/>
        <v>0</v>
      </c>
      <c r="P33" s="42"/>
      <c r="Q33" s="33">
        <f t="shared" si="16"/>
        <v>11500</v>
      </c>
      <c r="R33" s="33">
        <f t="shared" si="3"/>
        <v>0</v>
      </c>
      <c r="S33" s="42"/>
      <c r="T33" s="33">
        <f t="shared" si="17"/>
        <v>11500</v>
      </c>
      <c r="U33" s="33">
        <f t="shared" si="4"/>
        <v>0</v>
      </c>
      <c r="V33" s="42"/>
      <c r="W33" s="33">
        <f t="shared" si="18"/>
        <v>11500</v>
      </c>
      <c r="X33" s="33">
        <f t="shared" si="5"/>
        <v>0</v>
      </c>
      <c r="Y33" s="42"/>
      <c r="Z33" s="33">
        <f t="shared" si="19"/>
        <v>11500</v>
      </c>
      <c r="AA33" s="33">
        <f t="shared" si="6"/>
        <v>0</v>
      </c>
      <c r="AB33" s="42"/>
    </row>
    <row r="34" spans="1:28" x14ac:dyDescent="0.25">
      <c r="B34" s="30" t="s">
        <v>102</v>
      </c>
      <c r="C34" s="46" t="s">
        <v>103</v>
      </c>
      <c r="D34" s="47" t="s">
        <v>104</v>
      </c>
      <c r="E34" s="33"/>
      <c r="F34" s="33"/>
      <c r="G34" s="33"/>
      <c r="H34" s="33"/>
      <c r="I34" s="33"/>
      <c r="J34" s="33"/>
      <c r="K34" s="33">
        <f>100000-13150+19500</f>
        <v>106350</v>
      </c>
      <c r="L34" s="33">
        <f t="shared" si="14"/>
        <v>106350</v>
      </c>
      <c r="M34" s="34">
        <v>106350</v>
      </c>
      <c r="N34" s="34">
        <f t="shared" si="15"/>
        <v>106350</v>
      </c>
      <c r="O34" s="33">
        <f t="shared" si="2"/>
        <v>0</v>
      </c>
      <c r="P34" s="42"/>
      <c r="Q34" s="33">
        <f t="shared" si="16"/>
        <v>106350</v>
      </c>
      <c r="R34" s="33">
        <f t="shared" si="3"/>
        <v>0</v>
      </c>
      <c r="S34" s="42"/>
      <c r="T34" s="33">
        <f t="shared" si="17"/>
        <v>106350</v>
      </c>
      <c r="U34" s="33">
        <f t="shared" si="4"/>
        <v>0</v>
      </c>
      <c r="V34" s="42"/>
      <c r="W34" s="33">
        <f t="shared" si="18"/>
        <v>106350</v>
      </c>
      <c r="X34" s="33">
        <f t="shared" si="5"/>
        <v>0</v>
      </c>
      <c r="Y34" s="42"/>
      <c r="Z34" s="33">
        <f t="shared" si="19"/>
        <v>106350</v>
      </c>
      <c r="AA34" s="33">
        <f t="shared" si="6"/>
        <v>0</v>
      </c>
      <c r="AB34" s="42"/>
    </row>
    <row r="35" spans="1:28" x14ac:dyDescent="0.25">
      <c r="B35" s="30" t="s">
        <v>105</v>
      </c>
      <c r="C35" s="46" t="s">
        <v>106</v>
      </c>
      <c r="D35" s="47" t="s">
        <v>107</v>
      </c>
      <c r="E35" s="33"/>
      <c r="F35" s="33"/>
      <c r="G35" s="33"/>
      <c r="H35" s="33"/>
      <c r="I35" s="33"/>
      <c r="J35" s="33"/>
      <c r="K35" s="33">
        <v>7000</v>
      </c>
      <c r="L35" s="33">
        <f t="shared" si="14"/>
        <v>7000</v>
      </c>
      <c r="M35" s="34">
        <v>7000</v>
      </c>
      <c r="N35" s="34">
        <f t="shared" si="15"/>
        <v>7000</v>
      </c>
      <c r="O35" s="33">
        <f t="shared" si="2"/>
        <v>0</v>
      </c>
      <c r="P35" s="42"/>
      <c r="Q35" s="33">
        <f t="shared" si="16"/>
        <v>7000</v>
      </c>
      <c r="R35" s="33">
        <f t="shared" si="3"/>
        <v>0</v>
      </c>
      <c r="S35" s="42"/>
      <c r="T35" s="33">
        <f t="shared" si="17"/>
        <v>7000</v>
      </c>
      <c r="U35" s="33">
        <f t="shared" si="4"/>
        <v>0</v>
      </c>
      <c r="V35" s="42"/>
      <c r="W35" s="33">
        <f t="shared" si="18"/>
        <v>7000</v>
      </c>
      <c r="X35" s="33">
        <f t="shared" si="5"/>
        <v>0</v>
      </c>
      <c r="Y35" s="42"/>
      <c r="Z35" s="33">
        <f t="shared" si="19"/>
        <v>7000</v>
      </c>
      <c r="AA35" s="33">
        <f t="shared" si="6"/>
        <v>0</v>
      </c>
      <c r="AB35" s="42"/>
    </row>
    <row r="36" spans="1:28" ht="18" customHeight="1" x14ac:dyDescent="0.25">
      <c r="B36" s="1" t="s">
        <v>108</v>
      </c>
      <c r="C36" s="37" t="s">
        <v>109</v>
      </c>
      <c r="D36" s="38" t="s">
        <v>110</v>
      </c>
      <c r="E36" s="39">
        <f t="shared" ref="E36:L36" si="20">E37+E38</f>
        <v>0</v>
      </c>
      <c r="F36" s="39">
        <f t="shared" si="20"/>
        <v>0</v>
      </c>
      <c r="G36" s="39">
        <f t="shared" si="20"/>
        <v>0</v>
      </c>
      <c r="H36" s="39">
        <f t="shared" si="20"/>
        <v>0</v>
      </c>
      <c r="I36" s="39">
        <f>I37+I38</f>
        <v>0</v>
      </c>
      <c r="J36" s="39">
        <f t="shared" si="20"/>
        <v>0</v>
      </c>
      <c r="K36" s="39">
        <f t="shared" si="20"/>
        <v>65000</v>
      </c>
      <c r="L36" s="39">
        <f t="shared" si="20"/>
        <v>65000</v>
      </c>
      <c r="M36" s="40">
        <v>65000</v>
      </c>
      <c r="N36" s="40">
        <f>N37+N38</f>
        <v>65000</v>
      </c>
      <c r="O36" s="39">
        <f t="shared" si="2"/>
        <v>0</v>
      </c>
      <c r="P36" s="49"/>
      <c r="Q36" s="39">
        <f>Q37+Q38</f>
        <v>65000</v>
      </c>
      <c r="R36" s="39">
        <f t="shared" si="3"/>
        <v>0</v>
      </c>
      <c r="S36" s="49"/>
      <c r="T36" s="39">
        <f>T37+T38</f>
        <v>65000</v>
      </c>
      <c r="U36" s="39">
        <f t="shared" si="4"/>
        <v>0</v>
      </c>
      <c r="V36" s="49"/>
      <c r="W36" s="39">
        <f>W37+W38</f>
        <v>65000</v>
      </c>
      <c r="X36" s="39">
        <f t="shared" si="5"/>
        <v>0</v>
      </c>
      <c r="Y36" s="49"/>
      <c r="Z36" s="39">
        <f>Z37+Z38</f>
        <v>65000</v>
      </c>
      <c r="AA36" s="39">
        <f t="shared" si="6"/>
        <v>0</v>
      </c>
      <c r="AB36" s="49"/>
    </row>
    <row r="37" spans="1:28" ht="16.5" customHeight="1" x14ac:dyDescent="0.3">
      <c r="B37" s="44" t="s">
        <v>111</v>
      </c>
      <c r="C37" s="31" t="s">
        <v>112</v>
      </c>
      <c r="D37" s="32" t="s">
        <v>110</v>
      </c>
      <c r="E37" s="33"/>
      <c r="F37" s="33"/>
      <c r="G37" s="33"/>
      <c r="H37" s="33"/>
      <c r="I37" s="33"/>
      <c r="J37" s="33"/>
      <c r="K37" s="33">
        <v>31000</v>
      </c>
      <c r="L37" s="33">
        <f>F37+G37+H37+I37+J37+K37</f>
        <v>31000</v>
      </c>
      <c r="M37" s="34">
        <v>31000</v>
      </c>
      <c r="N37" s="34">
        <f>ROUND(M37,0)</f>
        <v>31000</v>
      </c>
      <c r="O37" s="33">
        <f t="shared" si="2"/>
        <v>0</v>
      </c>
      <c r="P37" s="35"/>
      <c r="Q37" s="33">
        <f>ROUND(N37,0)</f>
        <v>31000</v>
      </c>
      <c r="R37" s="33">
        <f t="shared" si="3"/>
        <v>0</v>
      </c>
      <c r="S37" s="35"/>
      <c r="T37" s="33">
        <f>ROUND(Q37,0)</f>
        <v>31000</v>
      </c>
      <c r="U37" s="33">
        <f t="shared" si="4"/>
        <v>0</v>
      </c>
      <c r="V37" s="35"/>
      <c r="W37" s="33">
        <f>ROUND(T37,0)</f>
        <v>31000</v>
      </c>
      <c r="X37" s="33">
        <f t="shared" si="5"/>
        <v>0</v>
      </c>
      <c r="Y37" s="35"/>
      <c r="Z37" s="33">
        <f>ROUND(W37,0)</f>
        <v>31000</v>
      </c>
      <c r="AA37" s="33">
        <f t="shared" si="6"/>
        <v>0</v>
      </c>
      <c r="AB37" s="35"/>
    </row>
    <row r="38" spans="1:28" ht="28.2" x14ac:dyDescent="0.3">
      <c r="B38" s="44" t="s">
        <v>113</v>
      </c>
      <c r="C38" s="31" t="s">
        <v>114</v>
      </c>
      <c r="D38" s="32" t="s">
        <v>115</v>
      </c>
      <c r="E38" s="33"/>
      <c r="F38" s="33"/>
      <c r="G38" s="33"/>
      <c r="H38" s="33"/>
      <c r="I38" s="33"/>
      <c r="J38" s="33"/>
      <c r="K38" s="33">
        <v>34000</v>
      </c>
      <c r="L38" s="33">
        <f>F38+G38+H38+I38+J38+K38</f>
        <v>34000</v>
      </c>
      <c r="M38" s="34">
        <v>34000</v>
      </c>
      <c r="N38" s="34">
        <f>ROUND(M38,0)</f>
        <v>34000</v>
      </c>
      <c r="O38" s="33">
        <f t="shared" si="2"/>
        <v>0</v>
      </c>
      <c r="P38" s="35"/>
      <c r="Q38" s="33">
        <f>ROUND(N38,0)</f>
        <v>34000</v>
      </c>
      <c r="R38" s="33">
        <f t="shared" si="3"/>
        <v>0</v>
      </c>
      <c r="S38" s="35"/>
      <c r="T38" s="33">
        <f>ROUND(Q38,0)</f>
        <v>34000</v>
      </c>
      <c r="U38" s="33">
        <f t="shared" si="4"/>
        <v>0</v>
      </c>
      <c r="V38" s="35"/>
      <c r="W38" s="33">
        <f>ROUND(T38,0)</f>
        <v>34000</v>
      </c>
      <c r="X38" s="33">
        <f t="shared" si="5"/>
        <v>0</v>
      </c>
      <c r="Y38" s="35"/>
      <c r="Z38" s="33">
        <f>ROUND(W38,0)</f>
        <v>34000</v>
      </c>
      <c r="AA38" s="33">
        <f t="shared" si="6"/>
        <v>0</v>
      </c>
      <c r="AB38" s="35"/>
    </row>
    <row r="39" spans="1:28" x14ac:dyDescent="0.25">
      <c r="B39" s="1" t="s">
        <v>116</v>
      </c>
      <c r="C39" s="37" t="s">
        <v>117</v>
      </c>
      <c r="D39" s="38" t="s">
        <v>118</v>
      </c>
      <c r="E39" s="39">
        <f t="shared" ref="E39:L39" si="21">E40+E41+E42</f>
        <v>0</v>
      </c>
      <c r="F39" s="39">
        <f t="shared" si="21"/>
        <v>0</v>
      </c>
      <c r="G39" s="39">
        <f t="shared" si="21"/>
        <v>16000</v>
      </c>
      <c r="H39" s="39">
        <f t="shared" si="21"/>
        <v>0</v>
      </c>
      <c r="I39" s="39">
        <f>I40+I41+I42</f>
        <v>0</v>
      </c>
      <c r="J39" s="39">
        <f t="shared" si="21"/>
        <v>0</v>
      </c>
      <c r="K39" s="39">
        <f>[4]PIVOT_2023!H18</f>
        <v>6453</v>
      </c>
      <c r="L39" s="39">
        <f t="shared" si="21"/>
        <v>22453</v>
      </c>
      <c r="M39" s="40">
        <v>22453</v>
      </c>
      <c r="N39" s="40">
        <f>N40+N41+N42</f>
        <v>33317</v>
      </c>
      <c r="O39" s="39">
        <f t="shared" si="2"/>
        <v>10864</v>
      </c>
      <c r="P39" s="41"/>
      <c r="Q39" s="39">
        <f>Q40+Q41+Q42</f>
        <v>176317</v>
      </c>
      <c r="R39" s="39">
        <f t="shared" si="3"/>
        <v>143000</v>
      </c>
      <c r="S39" s="41"/>
      <c r="T39" s="39">
        <f>T40+T41+T42</f>
        <v>176317</v>
      </c>
      <c r="U39" s="39">
        <f t="shared" si="4"/>
        <v>0</v>
      </c>
      <c r="V39" s="41"/>
      <c r="W39" s="39">
        <f>W40+W41+W42</f>
        <v>176317</v>
      </c>
      <c r="X39" s="39">
        <f t="shared" si="5"/>
        <v>0</v>
      </c>
      <c r="Y39" s="41"/>
      <c r="Z39" s="39">
        <f>Z40+Z41+Z42</f>
        <v>176317</v>
      </c>
      <c r="AA39" s="39">
        <f t="shared" si="6"/>
        <v>0</v>
      </c>
      <c r="AB39" s="41"/>
    </row>
    <row r="40" spans="1:28" ht="29.4" customHeight="1" x14ac:dyDescent="0.25">
      <c r="A40" s="1" t="s">
        <v>29</v>
      </c>
      <c r="B40" s="3" t="s">
        <v>119</v>
      </c>
      <c r="C40" s="31" t="s">
        <v>120</v>
      </c>
      <c r="D40" s="50" t="s">
        <v>121</v>
      </c>
      <c r="E40" s="33"/>
      <c r="F40" s="33"/>
      <c r="G40" s="33">
        <v>16000</v>
      </c>
      <c r="H40" s="33"/>
      <c r="I40" s="33"/>
      <c r="J40" s="33"/>
      <c r="K40" s="33"/>
      <c r="L40" s="33">
        <f>F40+G40+H40+I40+J40+K40</f>
        <v>16000</v>
      </c>
      <c r="M40" s="34">
        <v>16000</v>
      </c>
      <c r="N40" s="34">
        <f>ROUND(M40,0)+10864</f>
        <v>26864</v>
      </c>
      <c r="O40" s="33">
        <f t="shared" si="2"/>
        <v>10864</v>
      </c>
      <c r="P40" s="51" t="s">
        <v>122</v>
      </c>
      <c r="Q40" s="33">
        <f>ROUND(N40,0)+143000</f>
        <v>169864</v>
      </c>
      <c r="R40" s="36">
        <f t="shared" si="3"/>
        <v>143000</v>
      </c>
      <c r="S40" s="52" t="s">
        <v>123</v>
      </c>
      <c r="T40" s="33">
        <f>ROUND(Q40,0)</f>
        <v>169864</v>
      </c>
      <c r="U40" s="33">
        <f t="shared" si="4"/>
        <v>0</v>
      </c>
      <c r="V40" s="51"/>
      <c r="W40" s="33">
        <f>ROUND(T40,0)</f>
        <v>169864</v>
      </c>
      <c r="X40" s="33">
        <f t="shared" si="5"/>
        <v>0</v>
      </c>
      <c r="Y40" s="51"/>
      <c r="Z40" s="33">
        <f>ROUND(W40,0)</f>
        <v>169864</v>
      </c>
      <c r="AA40" s="33">
        <f t="shared" si="6"/>
        <v>0</v>
      </c>
      <c r="AB40" s="51"/>
    </row>
    <row r="41" spans="1:28" ht="27.6" x14ac:dyDescent="0.25">
      <c r="B41" s="1" t="s">
        <v>124</v>
      </c>
      <c r="C41" s="31" t="s">
        <v>125</v>
      </c>
      <c r="D41" s="32" t="s">
        <v>126</v>
      </c>
      <c r="E41" s="33"/>
      <c r="F41" s="33"/>
      <c r="G41" s="33"/>
      <c r="H41" s="33"/>
      <c r="I41" s="33"/>
      <c r="J41" s="33"/>
      <c r="K41" s="33">
        <v>500</v>
      </c>
      <c r="L41" s="33">
        <f>F41+G41+H41+I41+J41+K41</f>
        <v>500</v>
      </c>
      <c r="M41" s="34">
        <v>500</v>
      </c>
      <c r="N41" s="34">
        <f>ROUND(M41,0)</f>
        <v>500</v>
      </c>
      <c r="O41" s="33">
        <f t="shared" si="2"/>
        <v>0</v>
      </c>
      <c r="P41" s="51"/>
      <c r="Q41" s="33">
        <f>ROUND(N41,0)</f>
        <v>500</v>
      </c>
      <c r="R41" s="33">
        <f t="shared" si="3"/>
        <v>0</v>
      </c>
      <c r="S41" s="51"/>
      <c r="T41" s="33">
        <f>ROUND(Q41,0)</f>
        <v>500</v>
      </c>
      <c r="U41" s="33">
        <f t="shared" si="4"/>
        <v>0</v>
      </c>
      <c r="V41" s="51"/>
      <c r="W41" s="33">
        <f>ROUND(T41,0)</f>
        <v>500</v>
      </c>
      <c r="X41" s="33">
        <f t="shared" si="5"/>
        <v>0</v>
      </c>
      <c r="Y41" s="51"/>
      <c r="Z41" s="33">
        <f>ROUND(W41,0)</f>
        <v>500</v>
      </c>
      <c r="AA41" s="33">
        <f t="shared" si="6"/>
        <v>0</v>
      </c>
      <c r="AB41" s="51"/>
    </row>
    <row r="42" spans="1:28" x14ac:dyDescent="0.25">
      <c r="C42" s="31" t="s">
        <v>127</v>
      </c>
      <c r="D42" s="32" t="s">
        <v>128</v>
      </c>
      <c r="E42" s="33"/>
      <c r="F42" s="33"/>
      <c r="G42" s="33"/>
      <c r="H42" s="33"/>
      <c r="I42" s="33"/>
      <c r="J42" s="33"/>
      <c r="K42" s="33">
        <f>6453-500</f>
        <v>5953</v>
      </c>
      <c r="L42" s="33">
        <f>F42+G42+H42+I42+J42+K42</f>
        <v>5953</v>
      </c>
      <c r="M42" s="34">
        <v>5953</v>
      </c>
      <c r="N42" s="34">
        <f>ROUND(M42,0)</f>
        <v>5953</v>
      </c>
      <c r="O42" s="33">
        <f t="shared" si="2"/>
        <v>0</v>
      </c>
      <c r="P42" s="35"/>
      <c r="Q42" s="33">
        <f>ROUND(N42,0)</f>
        <v>5953</v>
      </c>
      <c r="R42" s="33">
        <f t="shared" si="3"/>
        <v>0</v>
      </c>
      <c r="S42" s="35"/>
      <c r="T42" s="33">
        <f>ROUND(Q42,0)</f>
        <v>5953</v>
      </c>
      <c r="U42" s="33">
        <f t="shared" si="4"/>
        <v>0</v>
      </c>
      <c r="V42" s="35"/>
      <c r="W42" s="33">
        <f>ROUND(T42,0)</f>
        <v>5953</v>
      </c>
      <c r="X42" s="33">
        <f t="shared" si="5"/>
        <v>0</v>
      </c>
      <c r="Y42" s="35"/>
      <c r="Z42" s="33">
        <f>ROUND(W42,0)</f>
        <v>5953</v>
      </c>
      <c r="AA42" s="33">
        <f t="shared" si="6"/>
        <v>0</v>
      </c>
      <c r="AB42" s="35"/>
    </row>
    <row r="43" spans="1:28" ht="15" customHeight="1" x14ac:dyDescent="0.25">
      <c r="B43" s="1" t="s">
        <v>129</v>
      </c>
      <c r="C43" s="53" t="s">
        <v>130</v>
      </c>
      <c r="D43" s="38" t="s">
        <v>131</v>
      </c>
      <c r="E43" s="39"/>
      <c r="F43" s="39"/>
      <c r="G43" s="39"/>
      <c r="H43" s="39"/>
      <c r="I43" s="39"/>
      <c r="J43" s="39"/>
      <c r="K43" s="39">
        <f>[4]PIVOT_2023!H19</f>
        <v>433856</v>
      </c>
      <c r="L43" s="39">
        <f>F43+G43+H43+I43+J43+K43</f>
        <v>433856</v>
      </c>
      <c r="M43" s="40">
        <v>433856</v>
      </c>
      <c r="N43" s="40">
        <f>ROUND(M43,0)</f>
        <v>433856</v>
      </c>
      <c r="O43" s="39">
        <f t="shared" si="2"/>
        <v>0</v>
      </c>
      <c r="P43" s="49"/>
      <c r="Q43" s="39">
        <f>ROUND(N43,0)</f>
        <v>433856</v>
      </c>
      <c r="R43" s="39">
        <f t="shared" si="3"/>
        <v>0</v>
      </c>
      <c r="S43" s="49"/>
      <c r="T43" s="39">
        <f>ROUND(Q43,0)</f>
        <v>433856</v>
      </c>
      <c r="U43" s="39">
        <f t="shared" si="4"/>
        <v>0</v>
      </c>
      <c r="V43" s="49"/>
      <c r="W43" s="39">
        <f>ROUND(T43,0)</f>
        <v>433856</v>
      </c>
      <c r="X43" s="39">
        <f t="shared" si="5"/>
        <v>0</v>
      </c>
      <c r="Y43" s="49"/>
      <c r="Z43" s="39">
        <f>ROUND(W43,0)</f>
        <v>433856</v>
      </c>
      <c r="AA43" s="39">
        <f t="shared" si="6"/>
        <v>0</v>
      </c>
      <c r="AB43" s="49"/>
    </row>
    <row r="44" spans="1:28" ht="27.6" x14ac:dyDescent="0.25">
      <c r="C44" s="53" t="s">
        <v>132</v>
      </c>
      <c r="D44" s="38" t="s">
        <v>133</v>
      </c>
      <c r="E44" s="39">
        <f t="shared" ref="E44:N44" si="22">E45+E67+E88</f>
        <v>1224821.94</v>
      </c>
      <c r="F44" s="39">
        <f t="shared" si="22"/>
        <v>7883316</v>
      </c>
      <c r="G44" s="39">
        <f t="shared" si="22"/>
        <v>1644824.49</v>
      </c>
      <c r="H44" s="39">
        <f t="shared" si="22"/>
        <v>0</v>
      </c>
      <c r="I44" s="39">
        <f t="shared" si="22"/>
        <v>0</v>
      </c>
      <c r="J44" s="39">
        <f t="shared" si="22"/>
        <v>0</v>
      </c>
      <c r="K44" s="39">
        <f t="shared" si="22"/>
        <v>0</v>
      </c>
      <c r="L44" s="39">
        <f t="shared" si="22"/>
        <v>9528140.4900000002</v>
      </c>
      <c r="M44" s="40">
        <v>9528140.4900000002</v>
      </c>
      <c r="N44" s="40">
        <f t="shared" si="22"/>
        <v>9575632</v>
      </c>
      <c r="O44" s="39">
        <f t="shared" si="2"/>
        <v>47491.509999999776</v>
      </c>
      <c r="P44" s="39"/>
      <c r="Q44" s="39">
        <f>Q45+Q67+Q88</f>
        <v>9633217</v>
      </c>
      <c r="R44" s="39">
        <f t="shared" si="3"/>
        <v>57585</v>
      </c>
      <c r="S44" s="39"/>
      <c r="T44" s="39">
        <f>T45+T67+T88</f>
        <v>9973168</v>
      </c>
      <c r="U44" s="39">
        <f t="shared" si="4"/>
        <v>339951</v>
      </c>
      <c r="V44" s="39"/>
      <c r="W44" s="39">
        <f>W45+W67+W88</f>
        <v>10023168</v>
      </c>
      <c r="X44" s="39">
        <f t="shared" si="5"/>
        <v>50000</v>
      </c>
      <c r="Y44" s="39"/>
      <c r="Z44" s="39">
        <f>Z45+Z67+Z88</f>
        <v>10063514</v>
      </c>
      <c r="AA44" s="39">
        <f t="shared" si="6"/>
        <v>40346</v>
      </c>
      <c r="AB44" s="39"/>
    </row>
    <row r="45" spans="1:28" ht="17.399999999999999" customHeight="1" x14ac:dyDescent="0.25">
      <c r="B45" s="30"/>
      <c r="C45" s="54" t="s">
        <v>134</v>
      </c>
      <c r="D45" s="55" t="s">
        <v>135</v>
      </c>
      <c r="E45" s="56">
        <f t="shared" ref="E45:N45" si="23">SUM(E46:E49)+E52+SUM(E56:E66)</f>
        <v>609089.79</v>
      </c>
      <c r="F45" s="56">
        <f t="shared" si="23"/>
        <v>7875899</v>
      </c>
      <c r="G45" s="56">
        <f t="shared" si="23"/>
        <v>0</v>
      </c>
      <c r="H45" s="56">
        <f t="shared" si="23"/>
        <v>0</v>
      </c>
      <c r="I45" s="56">
        <f t="shared" si="23"/>
        <v>0</v>
      </c>
      <c r="J45" s="56">
        <f t="shared" si="23"/>
        <v>0</v>
      </c>
      <c r="K45" s="56">
        <f t="shared" si="23"/>
        <v>0</v>
      </c>
      <c r="L45" s="56">
        <f t="shared" si="23"/>
        <v>7875899</v>
      </c>
      <c r="M45" s="34">
        <v>7875899</v>
      </c>
      <c r="N45" s="34">
        <f t="shared" si="23"/>
        <v>7923391</v>
      </c>
      <c r="O45" s="33">
        <f t="shared" si="2"/>
        <v>47492</v>
      </c>
      <c r="P45" s="33"/>
      <c r="Q45" s="33">
        <f>SUM(Q46:Q49)+Q52+SUM(Q56:Q66)</f>
        <v>7975976</v>
      </c>
      <c r="R45" s="33">
        <f t="shared" si="3"/>
        <v>52585</v>
      </c>
      <c r="S45" s="33"/>
      <c r="T45" s="33">
        <f>SUM(T46:T49)+T52+SUM(T56:T66)</f>
        <v>8315927</v>
      </c>
      <c r="U45" s="33">
        <f t="shared" si="4"/>
        <v>339951</v>
      </c>
      <c r="V45" s="33"/>
      <c r="W45" s="33">
        <f>SUM(W46:W49)+W52+SUM(W56:W66)</f>
        <v>8365927</v>
      </c>
      <c r="X45" s="33">
        <f t="shared" si="5"/>
        <v>50000</v>
      </c>
      <c r="Y45" s="33"/>
      <c r="Z45" s="33">
        <f>SUM(Z46:Z49)+Z52+SUM(Z56:Z66)</f>
        <v>8577592</v>
      </c>
      <c r="AA45" s="33">
        <f t="shared" si="6"/>
        <v>211665</v>
      </c>
      <c r="AB45" s="33"/>
    </row>
    <row r="46" spans="1:28" ht="16.95" customHeight="1" x14ac:dyDescent="0.25">
      <c r="A46" s="1" t="s">
        <v>136</v>
      </c>
      <c r="B46" s="1" t="s">
        <v>137</v>
      </c>
      <c r="C46" s="46" t="s">
        <v>138</v>
      </c>
      <c r="D46" s="32" t="s">
        <v>139</v>
      </c>
      <c r="E46" s="33">
        <v>0</v>
      </c>
      <c r="F46" s="33">
        <v>593640</v>
      </c>
      <c r="G46" s="33"/>
      <c r="H46" s="33"/>
      <c r="I46" s="33"/>
      <c r="J46" s="33"/>
      <c r="K46" s="33"/>
      <c r="L46" s="33">
        <f>F46+G46+H46+I46+J46+K46</f>
        <v>593640</v>
      </c>
      <c r="M46" s="34">
        <v>593640</v>
      </c>
      <c r="N46" s="34">
        <f>ROUND(M46,0)+52289</f>
        <v>645929</v>
      </c>
      <c r="O46" s="33">
        <f t="shared" si="2"/>
        <v>52289</v>
      </c>
      <c r="P46" s="51" t="s">
        <v>140</v>
      </c>
      <c r="Q46" s="33">
        <f>ROUND(N46,0)</f>
        <v>645929</v>
      </c>
      <c r="R46" s="33">
        <f t="shared" si="3"/>
        <v>0</v>
      </c>
      <c r="S46" s="51"/>
      <c r="T46" s="33">
        <f>ROUND(Q46,0)</f>
        <v>645929</v>
      </c>
      <c r="U46" s="33">
        <f t="shared" si="4"/>
        <v>0</v>
      </c>
      <c r="V46" s="51"/>
      <c r="W46" s="33">
        <f>ROUND(T46,0)</f>
        <v>645929</v>
      </c>
      <c r="X46" s="33">
        <f t="shared" si="5"/>
        <v>0</v>
      </c>
      <c r="Y46" s="51"/>
      <c r="Z46" s="33">
        <f>ROUND(W46,0)+29578</f>
        <v>675507</v>
      </c>
      <c r="AA46" s="33">
        <f t="shared" si="6"/>
        <v>29578</v>
      </c>
      <c r="AB46" s="51" t="s">
        <v>141</v>
      </c>
    </row>
    <row r="47" spans="1:28" ht="27" customHeight="1" x14ac:dyDescent="0.3">
      <c r="A47" s="1" t="s">
        <v>136</v>
      </c>
      <c r="B47" s="44" t="s">
        <v>142</v>
      </c>
      <c r="C47" s="46" t="s">
        <v>143</v>
      </c>
      <c r="D47" s="32" t="s">
        <v>144</v>
      </c>
      <c r="E47" s="33">
        <v>20</v>
      </c>
      <c r="F47" s="33">
        <v>299288</v>
      </c>
      <c r="G47" s="33"/>
      <c r="H47" s="33"/>
      <c r="I47" s="33"/>
      <c r="J47" s="33"/>
      <c r="K47" s="33"/>
      <c r="L47" s="33">
        <f>F47+G47+H47+I47+J47+K47</f>
        <v>299288</v>
      </c>
      <c r="M47" s="34">
        <v>299288</v>
      </c>
      <c r="N47" s="34">
        <f>ROUND(M47,0)</f>
        <v>299288</v>
      </c>
      <c r="O47" s="33">
        <f t="shared" si="2"/>
        <v>0</v>
      </c>
      <c r="P47" s="35"/>
      <c r="Q47" s="33">
        <f>ROUND(N47,0)</f>
        <v>299288</v>
      </c>
      <c r="R47" s="33">
        <f t="shared" si="3"/>
        <v>0</v>
      </c>
      <c r="S47" s="35"/>
      <c r="T47" s="33">
        <f>ROUND(Q47,0)</f>
        <v>299288</v>
      </c>
      <c r="U47" s="33">
        <f t="shared" si="4"/>
        <v>0</v>
      </c>
      <c r="V47" s="35"/>
      <c r="W47" s="33">
        <f>ROUND(T47,0)</f>
        <v>299288</v>
      </c>
      <c r="X47" s="33">
        <f t="shared" si="5"/>
        <v>0</v>
      </c>
      <c r="Y47" s="35"/>
      <c r="Z47" s="33">
        <f>ROUND(W47,0)+13302</f>
        <v>312590</v>
      </c>
      <c r="AA47" s="33">
        <f t="shared" si="6"/>
        <v>13302</v>
      </c>
      <c r="AB47" s="51" t="s">
        <v>145</v>
      </c>
    </row>
    <row r="48" spans="1:28" ht="14.4" x14ac:dyDescent="0.3">
      <c r="B48" s="44" t="s">
        <v>146</v>
      </c>
      <c r="C48" s="46" t="s">
        <v>147</v>
      </c>
      <c r="D48" s="32" t="s">
        <v>148</v>
      </c>
      <c r="E48" s="33">
        <v>36836</v>
      </c>
      <c r="F48" s="33">
        <f>49493+166307+33476</f>
        <v>249276</v>
      </c>
      <c r="G48" s="33"/>
      <c r="H48" s="33"/>
      <c r="I48" s="33"/>
      <c r="J48" s="33"/>
      <c r="K48" s="33"/>
      <c r="L48" s="33">
        <f>F48+G48+H48+I48+J48+K48</f>
        <v>249276</v>
      </c>
      <c r="M48" s="34">
        <v>249276</v>
      </c>
      <c r="N48" s="34">
        <f>ROUND(M48,0)</f>
        <v>249276</v>
      </c>
      <c r="O48" s="33">
        <f t="shared" si="2"/>
        <v>0</v>
      </c>
      <c r="P48" s="51"/>
      <c r="Q48" s="33">
        <f>ROUND(N48,0)</f>
        <v>249276</v>
      </c>
      <c r="R48" s="33">
        <f t="shared" si="3"/>
        <v>0</v>
      </c>
      <c r="S48" s="51"/>
      <c r="T48" s="33">
        <f>ROUND(Q48,0)</f>
        <v>249276</v>
      </c>
      <c r="U48" s="33">
        <f t="shared" si="4"/>
        <v>0</v>
      </c>
      <c r="V48" s="51"/>
      <c r="W48" s="33">
        <f>ROUND(T48,0)</f>
        <v>249276</v>
      </c>
      <c r="X48" s="33">
        <f t="shared" si="5"/>
        <v>0</v>
      </c>
      <c r="Y48" s="51"/>
      <c r="Z48" s="33">
        <f>ROUND(W48,0)</f>
        <v>249276</v>
      </c>
      <c r="AA48" s="33">
        <f t="shared" si="6"/>
        <v>0</v>
      </c>
      <c r="AB48" s="51"/>
    </row>
    <row r="49" spans="1:28" ht="14.25" customHeight="1" x14ac:dyDescent="0.3">
      <c r="A49" s="1" t="s">
        <v>136</v>
      </c>
      <c r="B49" s="44" t="s">
        <v>149</v>
      </c>
      <c r="C49" s="46" t="s">
        <v>150</v>
      </c>
      <c r="D49" s="32" t="s">
        <v>151</v>
      </c>
      <c r="E49" s="33">
        <f>E50+E51</f>
        <v>43038</v>
      </c>
      <c r="F49" s="33">
        <f t="shared" ref="F49:N49" si="24">F50+F51</f>
        <v>0</v>
      </c>
      <c r="G49" s="33">
        <f t="shared" si="24"/>
        <v>0</v>
      </c>
      <c r="H49" s="33">
        <f t="shared" si="24"/>
        <v>0</v>
      </c>
      <c r="I49" s="33">
        <f t="shared" si="24"/>
        <v>0</v>
      </c>
      <c r="J49" s="33">
        <f t="shared" si="24"/>
        <v>0</v>
      </c>
      <c r="K49" s="33">
        <f t="shared" si="24"/>
        <v>0</v>
      </c>
      <c r="L49" s="33">
        <f t="shared" si="24"/>
        <v>0</v>
      </c>
      <c r="M49" s="34">
        <v>0</v>
      </c>
      <c r="N49" s="34">
        <f t="shared" si="24"/>
        <v>0</v>
      </c>
      <c r="O49" s="33">
        <f t="shared" si="2"/>
        <v>0</v>
      </c>
      <c r="P49" s="33"/>
      <c r="Q49" s="33">
        <f>Q50+Q51</f>
        <v>0</v>
      </c>
      <c r="R49" s="33">
        <f t="shared" si="3"/>
        <v>0</v>
      </c>
      <c r="S49" s="33"/>
      <c r="T49" s="33">
        <f>T50+T51</f>
        <v>63466</v>
      </c>
      <c r="U49" s="33">
        <f t="shared" si="4"/>
        <v>63466</v>
      </c>
      <c r="V49" s="33"/>
      <c r="W49" s="33">
        <f>W50+W51</f>
        <v>63466</v>
      </c>
      <c r="X49" s="33">
        <f t="shared" si="5"/>
        <v>0</v>
      </c>
      <c r="Y49" s="33"/>
      <c r="Z49" s="33">
        <f>Z50+Z51</f>
        <v>63466</v>
      </c>
      <c r="AA49" s="33">
        <f t="shared" si="6"/>
        <v>0</v>
      </c>
      <c r="AB49" s="33"/>
    </row>
    <row r="50" spans="1:28" ht="14.25" customHeight="1" x14ac:dyDescent="0.3">
      <c r="B50" s="44"/>
      <c r="C50" s="46" t="s">
        <v>152</v>
      </c>
      <c r="D50" s="47" t="s">
        <v>153</v>
      </c>
      <c r="E50" s="33"/>
      <c r="F50" s="33"/>
      <c r="G50" s="33"/>
      <c r="H50" s="33"/>
      <c r="I50" s="33"/>
      <c r="J50" s="33"/>
      <c r="K50" s="33"/>
      <c r="L50" s="33"/>
      <c r="M50" s="34"/>
      <c r="N50" s="34"/>
      <c r="O50" s="33">
        <f t="shared" si="2"/>
        <v>0</v>
      </c>
      <c r="P50" s="51"/>
      <c r="Q50" s="33"/>
      <c r="R50" s="33">
        <f t="shared" si="3"/>
        <v>0</v>
      </c>
      <c r="S50" s="51"/>
      <c r="T50" s="33">
        <f>41084+1240+10652+4493+1870+2968+1159</f>
        <v>63466</v>
      </c>
      <c r="U50" s="33">
        <f t="shared" si="4"/>
        <v>63466</v>
      </c>
      <c r="V50" s="51" t="s">
        <v>154</v>
      </c>
      <c r="W50" s="33">
        <f>41084+1240+10652+4493+1870+2968+1159</f>
        <v>63466</v>
      </c>
      <c r="X50" s="33">
        <f t="shared" si="5"/>
        <v>0</v>
      </c>
      <c r="Y50" s="51"/>
      <c r="Z50" s="33">
        <f>41084+1240+10652+4493+1870+2968+1159</f>
        <v>63466</v>
      </c>
      <c r="AA50" s="33">
        <f t="shared" si="6"/>
        <v>0</v>
      </c>
      <c r="AB50" s="51"/>
    </row>
    <row r="51" spans="1:28" ht="17.399999999999999" customHeight="1" x14ac:dyDescent="0.3">
      <c r="B51" s="44"/>
      <c r="C51" s="46" t="s">
        <v>155</v>
      </c>
      <c r="D51" s="47" t="s">
        <v>156</v>
      </c>
      <c r="E51" s="33">
        <v>43038</v>
      </c>
      <c r="F51" s="33"/>
      <c r="G51" s="33"/>
      <c r="H51" s="33"/>
      <c r="I51" s="33"/>
      <c r="J51" s="33"/>
      <c r="K51" s="33"/>
      <c r="L51" s="33"/>
      <c r="M51" s="34"/>
      <c r="N51" s="34"/>
      <c r="O51" s="33">
        <f t="shared" si="2"/>
        <v>0</v>
      </c>
      <c r="P51" s="51"/>
      <c r="Q51" s="33"/>
      <c r="R51" s="33">
        <f t="shared" si="3"/>
        <v>0</v>
      </c>
      <c r="S51" s="51"/>
      <c r="T51" s="33"/>
      <c r="U51" s="33">
        <f t="shared" si="4"/>
        <v>0</v>
      </c>
      <c r="V51" s="51"/>
      <c r="W51" s="33"/>
      <c r="X51" s="33">
        <f t="shared" si="5"/>
        <v>0</v>
      </c>
      <c r="Y51" s="51"/>
      <c r="Z51" s="33"/>
      <c r="AA51" s="33">
        <f t="shared" si="6"/>
        <v>0</v>
      </c>
      <c r="AB51" s="51"/>
    </row>
    <row r="52" spans="1:28" ht="13.95" customHeight="1" x14ac:dyDescent="0.25">
      <c r="B52" s="1" t="s">
        <v>157</v>
      </c>
      <c r="C52" s="46" t="s">
        <v>158</v>
      </c>
      <c r="D52" s="32" t="s">
        <v>159</v>
      </c>
      <c r="E52" s="57">
        <f t="shared" ref="E52:L52" si="25">E53+E54+E55</f>
        <v>92071</v>
      </c>
      <c r="F52" s="57">
        <f t="shared" si="25"/>
        <v>5320740</v>
      </c>
      <c r="G52" s="57">
        <f t="shared" si="25"/>
        <v>0</v>
      </c>
      <c r="H52" s="57">
        <f t="shared" si="25"/>
        <v>0</v>
      </c>
      <c r="I52" s="57">
        <f>I53+I54+I55</f>
        <v>0</v>
      </c>
      <c r="J52" s="57">
        <f t="shared" si="25"/>
        <v>0</v>
      </c>
      <c r="K52" s="57">
        <f t="shared" si="25"/>
        <v>0</v>
      </c>
      <c r="L52" s="57">
        <f t="shared" si="25"/>
        <v>5320740</v>
      </c>
      <c r="M52" s="58">
        <v>5320740</v>
      </c>
      <c r="N52" s="58">
        <f>N53+N54+N55</f>
        <v>5320740</v>
      </c>
      <c r="O52" s="57">
        <f t="shared" si="2"/>
        <v>0</v>
      </c>
      <c r="P52" s="59"/>
      <c r="Q52" s="57">
        <f>Q53+Q54+Q55</f>
        <v>5320740</v>
      </c>
      <c r="R52" s="57">
        <f t="shared" si="3"/>
        <v>0</v>
      </c>
      <c r="S52" s="59"/>
      <c r="T52" s="57">
        <f>T53+T54+T55</f>
        <v>5320740</v>
      </c>
      <c r="U52" s="57">
        <f t="shared" si="4"/>
        <v>0</v>
      </c>
      <c r="V52" s="59"/>
      <c r="W52" s="57">
        <f>W53+W54+W55</f>
        <v>5320740</v>
      </c>
      <c r="X52" s="57">
        <f t="shared" si="5"/>
        <v>0</v>
      </c>
      <c r="Y52" s="59"/>
      <c r="Z52" s="57">
        <f>Z53+Z54+Z55</f>
        <v>5441043</v>
      </c>
      <c r="AA52" s="57">
        <f t="shared" si="6"/>
        <v>120303</v>
      </c>
      <c r="AB52" s="59"/>
    </row>
    <row r="53" spans="1:28" s="63" customFormat="1" ht="14.4" x14ac:dyDescent="0.3">
      <c r="A53" s="1" t="s">
        <v>136</v>
      </c>
      <c r="B53" s="44" t="s">
        <v>160</v>
      </c>
      <c r="C53" s="46" t="s">
        <v>161</v>
      </c>
      <c r="D53" s="47" t="s">
        <v>162</v>
      </c>
      <c r="E53" s="60">
        <f>1843+540+60+4+8241</f>
        <v>10688</v>
      </c>
      <c r="F53" s="60">
        <f>482632/8*12</f>
        <v>723948</v>
      </c>
      <c r="G53" s="60"/>
      <c r="H53" s="60"/>
      <c r="I53" s="60"/>
      <c r="J53" s="60"/>
      <c r="K53" s="60"/>
      <c r="L53" s="60">
        <f>F53+G53+H53+I53+J53+K53</f>
        <v>723948</v>
      </c>
      <c r="M53" s="61">
        <v>723948</v>
      </c>
      <c r="N53" s="61">
        <f t="shared" ref="N53:N65" si="26">ROUND(M53,0)</f>
        <v>723948</v>
      </c>
      <c r="O53" s="60">
        <f t="shared" si="2"/>
        <v>0</v>
      </c>
      <c r="P53" s="62"/>
      <c r="Q53" s="60">
        <f t="shared" ref="Q53:Q60" si="27">ROUND(N53,0)</f>
        <v>723948</v>
      </c>
      <c r="R53" s="60">
        <f t="shared" si="3"/>
        <v>0</v>
      </c>
      <c r="S53" s="62"/>
      <c r="T53" s="60">
        <f t="shared" ref="T53:T60" si="28">ROUND(Q53,0)</f>
        <v>723948</v>
      </c>
      <c r="U53" s="60">
        <f t="shared" si="4"/>
        <v>0</v>
      </c>
      <c r="V53" s="62"/>
      <c r="W53" s="60">
        <f t="shared" ref="W53:W60" si="29">ROUND(T53,0)</f>
        <v>723948</v>
      </c>
      <c r="X53" s="60">
        <f t="shared" si="5"/>
        <v>0</v>
      </c>
      <c r="Y53" s="62"/>
      <c r="Z53" s="60">
        <f>ROUND(W53,0)+52259+1840</f>
        <v>778047</v>
      </c>
      <c r="AA53" s="60">
        <f t="shared" si="6"/>
        <v>54099</v>
      </c>
      <c r="AB53" s="62" t="s">
        <v>141</v>
      </c>
    </row>
    <row r="54" spans="1:28" s="63" customFormat="1" ht="14.4" x14ac:dyDescent="0.3">
      <c r="A54" s="1" t="s">
        <v>136</v>
      </c>
      <c r="B54" s="44" t="s">
        <v>163</v>
      </c>
      <c r="C54" s="46" t="s">
        <v>164</v>
      </c>
      <c r="D54" s="47" t="s">
        <v>165</v>
      </c>
      <c r="E54" s="60">
        <f>65816+15567</f>
        <v>81383</v>
      </c>
      <c r="F54" s="60">
        <v>4279428</v>
      </c>
      <c r="G54" s="60"/>
      <c r="H54" s="60"/>
      <c r="I54" s="60"/>
      <c r="J54" s="60"/>
      <c r="K54" s="60"/>
      <c r="L54" s="60">
        <f>F54+G54+H54+I54+J54+K54</f>
        <v>4279428</v>
      </c>
      <c r="M54" s="61">
        <v>4279428</v>
      </c>
      <c r="N54" s="61">
        <f>ROUND(M54,0)</f>
        <v>4279428</v>
      </c>
      <c r="O54" s="60">
        <f t="shared" si="2"/>
        <v>0</v>
      </c>
      <c r="P54" s="62"/>
      <c r="Q54" s="60">
        <f t="shared" si="27"/>
        <v>4279428</v>
      </c>
      <c r="R54" s="60">
        <f t="shared" si="3"/>
        <v>0</v>
      </c>
      <c r="S54" s="62"/>
      <c r="T54" s="60">
        <f t="shared" si="28"/>
        <v>4279428</v>
      </c>
      <c r="U54" s="60">
        <f t="shared" si="4"/>
        <v>0</v>
      </c>
      <c r="V54" s="62"/>
      <c r="W54" s="60">
        <f t="shared" si="29"/>
        <v>4279428</v>
      </c>
      <c r="X54" s="60">
        <f t="shared" si="5"/>
        <v>0</v>
      </c>
      <c r="Y54" s="62"/>
      <c r="Z54" s="60">
        <f>ROUND(W54,0)+67540+5175</f>
        <v>4352143</v>
      </c>
      <c r="AA54" s="60">
        <f t="shared" si="6"/>
        <v>72715</v>
      </c>
      <c r="AB54" s="62" t="s">
        <v>141</v>
      </c>
    </row>
    <row r="55" spans="1:28" s="63" customFormat="1" x14ac:dyDescent="0.25">
      <c r="A55" s="1" t="s">
        <v>136</v>
      </c>
      <c r="B55" s="1"/>
      <c r="C55" s="46" t="s">
        <v>166</v>
      </c>
      <c r="D55" s="47" t="s">
        <v>167</v>
      </c>
      <c r="E55" s="60"/>
      <c r="F55" s="60">
        <v>317364</v>
      </c>
      <c r="G55" s="60"/>
      <c r="H55" s="60"/>
      <c r="I55" s="60"/>
      <c r="J55" s="60"/>
      <c r="K55" s="60"/>
      <c r="L55" s="60">
        <f>F55+G55+H55+I55+J55+K55</f>
        <v>317364</v>
      </c>
      <c r="M55" s="61">
        <v>317364</v>
      </c>
      <c r="N55" s="61">
        <f t="shared" si="26"/>
        <v>317364</v>
      </c>
      <c r="O55" s="64">
        <f t="shared" si="2"/>
        <v>0</v>
      </c>
      <c r="P55" s="65"/>
      <c r="Q55" s="60">
        <f t="shared" si="27"/>
        <v>317364</v>
      </c>
      <c r="R55" s="64">
        <f t="shared" si="3"/>
        <v>0</v>
      </c>
      <c r="S55" s="65"/>
      <c r="T55" s="60">
        <f t="shared" si="28"/>
        <v>317364</v>
      </c>
      <c r="U55" s="64">
        <f t="shared" si="4"/>
        <v>0</v>
      </c>
      <c r="V55" s="65"/>
      <c r="W55" s="60">
        <f t="shared" si="29"/>
        <v>317364</v>
      </c>
      <c r="X55" s="64">
        <f t="shared" si="5"/>
        <v>0</v>
      </c>
      <c r="Y55" s="65"/>
      <c r="Z55" s="60">
        <f>ROUND(W55,0)-6511</f>
        <v>310853</v>
      </c>
      <c r="AA55" s="64">
        <f t="shared" si="6"/>
        <v>-6511</v>
      </c>
      <c r="AB55" s="65" t="s">
        <v>141</v>
      </c>
    </row>
    <row r="56" spans="1:28" ht="31.5" customHeight="1" x14ac:dyDescent="0.25">
      <c r="A56" s="1" t="s">
        <v>136</v>
      </c>
      <c r="B56" s="1" t="s">
        <v>168</v>
      </c>
      <c r="C56" s="46" t="s">
        <v>169</v>
      </c>
      <c r="D56" s="32" t="s">
        <v>170</v>
      </c>
      <c r="E56" s="33"/>
      <c r="F56" s="33">
        <v>13088</v>
      </c>
      <c r="G56" s="33"/>
      <c r="H56" s="33"/>
      <c r="I56" s="33"/>
      <c r="J56" s="33"/>
      <c r="K56" s="33"/>
      <c r="L56" s="33">
        <f>F56+G56+H56+I56+J56+K56</f>
        <v>13088</v>
      </c>
      <c r="M56" s="34">
        <v>13088</v>
      </c>
      <c r="N56" s="34">
        <f t="shared" si="26"/>
        <v>13088</v>
      </c>
      <c r="O56" s="33">
        <f t="shared" si="2"/>
        <v>0</v>
      </c>
      <c r="P56" s="42"/>
      <c r="Q56" s="33">
        <f t="shared" si="27"/>
        <v>13088</v>
      </c>
      <c r="R56" s="33">
        <f t="shared" si="3"/>
        <v>0</v>
      </c>
      <c r="S56" s="42"/>
      <c r="T56" s="33">
        <f t="shared" si="28"/>
        <v>13088</v>
      </c>
      <c r="U56" s="33">
        <f t="shared" si="4"/>
        <v>0</v>
      </c>
      <c r="V56" s="42"/>
      <c r="W56" s="33">
        <f t="shared" si="29"/>
        <v>13088</v>
      </c>
      <c r="X56" s="33">
        <f t="shared" si="5"/>
        <v>0</v>
      </c>
      <c r="Y56" s="42"/>
      <c r="Z56" s="33">
        <f t="shared" ref="Z56:Z60" si="30">ROUND(W56,0)</f>
        <v>13088</v>
      </c>
      <c r="AA56" s="33">
        <f t="shared" si="6"/>
        <v>0</v>
      </c>
      <c r="AB56" s="42"/>
    </row>
    <row r="57" spans="1:28" ht="19.2" customHeight="1" x14ac:dyDescent="0.3">
      <c r="A57" s="1" t="s">
        <v>136</v>
      </c>
      <c r="B57" s="44" t="s">
        <v>171</v>
      </c>
      <c r="C57" s="46" t="s">
        <v>172</v>
      </c>
      <c r="D57" s="32" t="s">
        <v>173</v>
      </c>
      <c r="E57" s="33">
        <v>54</v>
      </c>
      <c r="F57" s="33">
        <v>16104</v>
      </c>
      <c r="G57" s="33"/>
      <c r="H57" s="33"/>
      <c r="I57" s="33"/>
      <c r="J57" s="33"/>
      <c r="K57" s="33"/>
      <c r="L57" s="33">
        <f>F57+G57+H57+I57+J57+K57</f>
        <v>16104</v>
      </c>
      <c r="M57" s="34">
        <v>16104</v>
      </c>
      <c r="N57" s="34">
        <f>ROUND(M57,0)-2011</f>
        <v>14093</v>
      </c>
      <c r="O57" s="33">
        <f t="shared" si="2"/>
        <v>-2011</v>
      </c>
      <c r="P57" s="35" t="s">
        <v>174</v>
      </c>
      <c r="Q57" s="33">
        <f t="shared" si="27"/>
        <v>14093</v>
      </c>
      <c r="R57" s="33">
        <f t="shared" si="3"/>
        <v>0</v>
      </c>
      <c r="S57" s="35"/>
      <c r="T57" s="33">
        <f t="shared" si="28"/>
        <v>14093</v>
      </c>
      <c r="U57" s="33">
        <f t="shared" si="4"/>
        <v>0</v>
      </c>
      <c r="V57" s="35"/>
      <c r="W57" s="33">
        <f t="shared" si="29"/>
        <v>14093</v>
      </c>
      <c r="X57" s="33">
        <f t="shared" si="5"/>
        <v>0</v>
      </c>
      <c r="Y57" s="35"/>
      <c r="Z57" s="33">
        <f>ROUND(W57,0)+14485</f>
        <v>28578</v>
      </c>
      <c r="AA57" s="33">
        <f t="shared" si="6"/>
        <v>14485</v>
      </c>
      <c r="AB57" s="359" t="s">
        <v>175</v>
      </c>
    </row>
    <row r="58" spans="1:28" ht="19.2" customHeight="1" x14ac:dyDescent="0.3">
      <c r="B58" s="44"/>
      <c r="C58" s="46" t="s">
        <v>176</v>
      </c>
      <c r="D58" s="32" t="s">
        <v>177</v>
      </c>
      <c r="E58" s="33"/>
      <c r="F58" s="33">
        <f>6454-E58</f>
        <v>6454</v>
      </c>
      <c r="G58" s="33"/>
      <c r="H58" s="33"/>
      <c r="I58" s="33"/>
      <c r="J58" s="33"/>
      <c r="K58" s="33"/>
      <c r="L58" s="33">
        <f t="shared" ref="L58:L66" si="31">F58+G58+H58+I58+J58+K58</f>
        <v>6454</v>
      </c>
      <c r="M58" s="34">
        <v>6454</v>
      </c>
      <c r="N58" s="34">
        <f>ROUND(M58,0)-2786</f>
        <v>3668</v>
      </c>
      <c r="O58" s="33">
        <f t="shared" si="2"/>
        <v>-2786</v>
      </c>
      <c r="P58" s="35" t="s">
        <v>174</v>
      </c>
      <c r="Q58" s="33">
        <f t="shared" si="27"/>
        <v>3668</v>
      </c>
      <c r="R58" s="33">
        <f t="shared" si="3"/>
        <v>0</v>
      </c>
      <c r="S58" s="35"/>
      <c r="T58" s="33">
        <f t="shared" si="28"/>
        <v>3668</v>
      </c>
      <c r="U58" s="33">
        <f t="shared" si="4"/>
        <v>0</v>
      </c>
      <c r="V58" s="35"/>
      <c r="W58" s="33">
        <f t="shared" si="29"/>
        <v>3668</v>
      </c>
      <c r="X58" s="33">
        <f t="shared" si="5"/>
        <v>0</v>
      </c>
      <c r="Y58" s="35"/>
      <c r="Z58" s="33">
        <f>ROUND(W58,0)+3997</f>
        <v>7665</v>
      </c>
      <c r="AA58" s="33">
        <f t="shared" si="6"/>
        <v>3997</v>
      </c>
      <c r="AB58" s="360"/>
    </row>
    <row r="59" spans="1:28" ht="18.600000000000001" customHeight="1" x14ac:dyDescent="0.25">
      <c r="B59" s="1" t="s">
        <v>178</v>
      </c>
      <c r="C59" s="46" t="s">
        <v>179</v>
      </c>
      <c r="D59" s="32" t="s">
        <v>180</v>
      </c>
      <c r="E59" s="33"/>
      <c r="F59" s="33">
        <v>421092</v>
      </c>
      <c r="G59" s="33"/>
      <c r="H59" s="33"/>
      <c r="I59" s="33"/>
      <c r="J59" s="33"/>
      <c r="K59" s="33"/>
      <c r="L59" s="33">
        <f t="shared" si="31"/>
        <v>421092</v>
      </c>
      <c r="M59" s="34">
        <v>421092</v>
      </c>
      <c r="N59" s="34">
        <f t="shared" si="26"/>
        <v>421092</v>
      </c>
      <c r="O59" s="33">
        <f t="shared" si="2"/>
        <v>0</v>
      </c>
      <c r="P59" s="51"/>
      <c r="Q59" s="33">
        <f t="shared" si="27"/>
        <v>421092</v>
      </c>
      <c r="R59" s="33">
        <f t="shared" si="3"/>
        <v>0</v>
      </c>
      <c r="S59" s="51"/>
      <c r="T59" s="33">
        <f t="shared" si="28"/>
        <v>421092</v>
      </c>
      <c r="U59" s="33">
        <f t="shared" si="4"/>
        <v>0</v>
      </c>
      <c r="V59" s="51"/>
      <c r="W59" s="33">
        <f t="shared" si="29"/>
        <v>421092</v>
      </c>
      <c r="X59" s="33">
        <f t="shared" si="5"/>
        <v>0</v>
      </c>
      <c r="Y59" s="51"/>
      <c r="Z59" s="33">
        <f t="shared" si="30"/>
        <v>421092</v>
      </c>
      <c r="AA59" s="33">
        <f t="shared" si="6"/>
        <v>0</v>
      </c>
      <c r="AB59" s="51"/>
    </row>
    <row r="60" spans="1:28" ht="31.5" customHeight="1" x14ac:dyDescent="0.25">
      <c r="C60" s="46" t="s">
        <v>181</v>
      </c>
      <c r="D60" s="32" t="s">
        <v>182</v>
      </c>
      <c r="E60" s="33"/>
      <c r="F60" s="33">
        <v>25954</v>
      </c>
      <c r="G60" s="33"/>
      <c r="H60" s="33"/>
      <c r="I60" s="33"/>
      <c r="J60" s="33"/>
      <c r="K60" s="33"/>
      <c r="L60" s="33">
        <f t="shared" si="31"/>
        <v>25954</v>
      </c>
      <c r="M60" s="34">
        <v>25954</v>
      </c>
      <c r="N60" s="34">
        <f t="shared" si="26"/>
        <v>25954</v>
      </c>
      <c r="O60" s="33">
        <f t="shared" si="2"/>
        <v>0</v>
      </c>
      <c r="P60" s="35"/>
      <c r="Q60" s="33">
        <f t="shared" si="27"/>
        <v>25954</v>
      </c>
      <c r="R60" s="33">
        <f t="shared" si="3"/>
        <v>0</v>
      </c>
      <c r="S60" s="35"/>
      <c r="T60" s="33">
        <f t="shared" si="28"/>
        <v>25954</v>
      </c>
      <c r="U60" s="33">
        <f t="shared" si="4"/>
        <v>0</v>
      </c>
      <c r="V60" s="35"/>
      <c r="W60" s="33">
        <f t="shared" si="29"/>
        <v>25954</v>
      </c>
      <c r="X60" s="33">
        <f t="shared" si="5"/>
        <v>0</v>
      </c>
      <c r="Y60" s="35"/>
      <c r="Z60" s="33">
        <f t="shared" si="30"/>
        <v>25954</v>
      </c>
      <c r="AA60" s="33">
        <f t="shared" si="6"/>
        <v>0</v>
      </c>
      <c r="AB60" s="35"/>
    </row>
    <row r="61" spans="1:28" ht="31.5" hidden="1" customHeight="1" outlineLevel="1" x14ac:dyDescent="0.25">
      <c r="C61" s="46"/>
      <c r="D61" s="32" t="s">
        <v>183</v>
      </c>
      <c r="E61" s="33">
        <v>72387</v>
      </c>
      <c r="F61" s="33"/>
      <c r="G61" s="33"/>
      <c r="H61" s="33"/>
      <c r="I61" s="33"/>
      <c r="J61" s="33"/>
      <c r="K61" s="33"/>
      <c r="L61" s="33"/>
      <c r="M61" s="34"/>
      <c r="N61" s="34"/>
      <c r="O61" s="33"/>
      <c r="P61" s="35"/>
      <c r="Q61" s="33"/>
      <c r="R61" s="33">
        <f t="shared" si="3"/>
        <v>0</v>
      </c>
      <c r="S61" s="35"/>
      <c r="T61" s="33"/>
      <c r="U61" s="33">
        <f t="shared" si="4"/>
        <v>0</v>
      </c>
      <c r="V61" s="35"/>
      <c r="W61" s="33"/>
      <c r="X61" s="33">
        <f t="shared" si="5"/>
        <v>0</v>
      </c>
      <c r="Y61" s="35"/>
      <c r="Z61" s="33"/>
      <c r="AA61" s="33">
        <f t="shared" si="6"/>
        <v>0</v>
      </c>
      <c r="AB61" s="35"/>
    </row>
    <row r="62" spans="1:28" ht="16.5" customHeight="1" collapsed="1" x14ac:dyDescent="0.25">
      <c r="B62" s="66" t="s">
        <v>184</v>
      </c>
      <c r="C62" s="46" t="s">
        <v>185</v>
      </c>
      <c r="D62" s="67" t="s">
        <v>186</v>
      </c>
      <c r="E62" s="68">
        <v>6813</v>
      </c>
      <c r="F62" s="33">
        <v>342263</v>
      </c>
      <c r="G62" s="33"/>
      <c r="H62" s="33"/>
      <c r="I62" s="33"/>
      <c r="J62" s="33"/>
      <c r="K62" s="33"/>
      <c r="L62" s="33">
        <f>F62+G62+H62+I62+J62+K62</f>
        <v>342263</v>
      </c>
      <c r="M62" s="34">
        <v>342263</v>
      </c>
      <c r="N62" s="34">
        <f t="shared" si="26"/>
        <v>342263</v>
      </c>
      <c r="O62" s="33">
        <f t="shared" si="2"/>
        <v>0</v>
      </c>
      <c r="P62" s="35"/>
      <c r="Q62" s="33">
        <f>ROUND(N62,0)+32585</f>
        <v>374848</v>
      </c>
      <c r="R62" s="33">
        <f t="shared" si="3"/>
        <v>32585</v>
      </c>
      <c r="S62" s="35" t="s">
        <v>187</v>
      </c>
      <c r="T62" s="33">
        <f>ROUND(Q62,0)</f>
        <v>374848</v>
      </c>
      <c r="U62" s="33">
        <f t="shared" si="4"/>
        <v>0</v>
      </c>
      <c r="V62" s="35"/>
      <c r="W62" s="33">
        <f>ROUND(T62,0)</f>
        <v>374848</v>
      </c>
      <c r="X62" s="33">
        <f t="shared" si="5"/>
        <v>0</v>
      </c>
      <c r="Y62" s="35"/>
      <c r="Z62" s="33">
        <f>ROUND(W62,0)</f>
        <v>374848</v>
      </c>
      <c r="AA62" s="33">
        <f t="shared" si="6"/>
        <v>0</v>
      </c>
      <c r="AB62" s="35"/>
    </row>
    <row r="63" spans="1:28" ht="45" customHeight="1" x14ac:dyDescent="0.25">
      <c r="C63" s="46"/>
      <c r="D63" s="32" t="s">
        <v>188</v>
      </c>
      <c r="E63" s="33">
        <v>6300</v>
      </c>
      <c r="F63" s="33"/>
      <c r="G63" s="33"/>
      <c r="H63" s="33"/>
      <c r="I63" s="33"/>
      <c r="J63" s="33"/>
      <c r="K63" s="33"/>
      <c r="L63" s="33">
        <f t="shared" si="31"/>
        <v>0</v>
      </c>
      <c r="M63" s="34">
        <v>0</v>
      </c>
      <c r="N63" s="34">
        <f t="shared" si="26"/>
        <v>0</v>
      </c>
      <c r="O63" s="33">
        <f t="shared" si="2"/>
        <v>0</v>
      </c>
      <c r="P63" s="51"/>
      <c r="Q63" s="33">
        <f>ROUND(N63,0)</f>
        <v>0</v>
      </c>
      <c r="R63" s="33">
        <f t="shared" si="3"/>
        <v>0</v>
      </c>
      <c r="S63" s="51"/>
      <c r="T63" s="33">
        <f>ROUND(Q63,0)</f>
        <v>0</v>
      </c>
      <c r="U63" s="33">
        <f t="shared" si="4"/>
        <v>0</v>
      </c>
      <c r="V63" s="51"/>
      <c r="W63" s="33">
        <f>ROUND(T63,0)</f>
        <v>0</v>
      </c>
      <c r="X63" s="33">
        <f t="shared" si="5"/>
        <v>0</v>
      </c>
      <c r="Y63" s="51"/>
      <c r="Z63" s="33">
        <f>ROUND(W63,0)</f>
        <v>0</v>
      </c>
      <c r="AA63" s="33">
        <f t="shared" si="6"/>
        <v>0</v>
      </c>
      <c r="AB63" s="51"/>
    </row>
    <row r="64" spans="1:28" ht="15.6" customHeight="1" x14ac:dyDescent="0.25">
      <c r="C64" s="46" t="s">
        <v>189</v>
      </c>
      <c r="D64" s="32" t="s">
        <v>190</v>
      </c>
      <c r="E64" s="33"/>
      <c r="F64" s="33">
        <v>50000</v>
      </c>
      <c r="G64" s="33"/>
      <c r="H64" s="33"/>
      <c r="I64" s="33"/>
      <c r="J64" s="33"/>
      <c r="K64" s="33"/>
      <c r="L64" s="33">
        <f t="shared" si="31"/>
        <v>50000</v>
      </c>
      <c r="M64" s="34">
        <v>50000</v>
      </c>
      <c r="N64" s="34">
        <f t="shared" si="26"/>
        <v>50000</v>
      </c>
      <c r="O64" s="33">
        <f t="shared" si="2"/>
        <v>0</v>
      </c>
      <c r="P64" s="51"/>
      <c r="Q64" s="33">
        <f>ROUND(N64,0)+20000</f>
        <v>70000</v>
      </c>
      <c r="R64" s="33">
        <f t="shared" si="3"/>
        <v>20000</v>
      </c>
      <c r="S64" s="51" t="s">
        <v>191</v>
      </c>
      <c r="T64" s="33">
        <f>ROUND(Q64,0)</f>
        <v>70000</v>
      </c>
      <c r="U64" s="33">
        <f t="shared" si="4"/>
        <v>0</v>
      </c>
      <c r="V64" s="51"/>
      <c r="W64" s="33">
        <f>ROUND(T64,0)+50000</f>
        <v>120000</v>
      </c>
      <c r="X64" s="33">
        <f t="shared" si="5"/>
        <v>50000</v>
      </c>
      <c r="Y64" s="51" t="s">
        <v>191</v>
      </c>
      <c r="Z64" s="33">
        <f>ROUND(W64,0)+30000</f>
        <v>150000</v>
      </c>
      <c r="AA64" s="33">
        <f t="shared" si="6"/>
        <v>30000</v>
      </c>
      <c r="AB64" s="51" t="s">
        <v>191</v>
      </c>
    </row>
    <row r="65" spans="1:28" ht="17.399999999999999" customHeight="1" x14ac:dyDescent="0.25">
      <c r="B65" s="1" t="s">
        <v>157</v>
      </c>
      <c r="C65" s="46" t="s">
        <v>192</v>
      </c>
      <c r="D65" s="32" t="s">
        <v>193</v>
      </c>
      <c r="E65" s="33">
        <v>298343.78999999998</v>
      </c>
      <c r="F65" s="33">
        <v>400000</v>
      </c>
      <c r="G65" s="33"/>
      <c r="H65" s="33"/>
      <c r="I65" s="33"/>
      <c r="J65" s="33"/>
      <c r="K65" s="33"/>
      <c r="L65" s="70">
        <f t="shared" si="31"/>
        <v>400000</v>
      </c>
      <c r="M65" s="34">
        <v>400000</v>
      </c>
      <c r="N65" s="34">
        <f t="shared" si="26"/>
        <v>400000</v>
      </c>
      <c r="O65" s="33">
        <f t="shared" si="2"/>
        <v>0</v>
      </c>
      <c r="P65" s="51"/>
      <c r="Q65" s="33">
        <f>ROUND(N65,0)</f>
        <v>400000</v>
      </c>
      <c r="R65" s="33">
        <f t="shared" si="3"/>
        <v>0</v>
      </c>
      <c r="S65" s="51"/>
      <c r="T65" s="33">
        <f>ROUND(Q65,0)+263500</f>
        <v>663500</v>
      </c>
      <c r="U65" s="33">
        <f t="shared" si="4"/>
        <v>263500</v>
      </c>
      <c r="V65" s="51" t="s">
        <v>194</v>
      </c>
      <c r="W65" s="33">
        <f>ROUND(T65,0)</f>
        <v>663500</v>
      </c>
      <c r="X65" s="33">
        <f t="shared" si="5"/>
        <v>0</v>
      </c>
      <c r="Y65" s="51"/>
      <c r="Z65" s="33">
        <f>ROUND(W65,0)</f>
        <v>663500</v>
      </c>
      <c r="AA65" s="33">
        <f t="shared" si="6"/>
        <v>0</v>
      </c>
      <c r="AB65" s="51"/>
    </row>
    <row r="66" spans="1:28" ht="43.95" customHeight="1" x14ac:dyDescent="0.25">
      <c r="A66" s="66" t="s">
        <v>195</v>
      </c>
      <c r="B66" s="1" t="s">
        <v>196</v>
      </c>
      <c r="C66" s="46" t="s">
        <v>197</v>
      </c>
      <c r="D66" s="32" t="s">
        <v>198</v>
      </c>
      <c r="E66" s="33">
        <f>10621+606+42000</f>
        <v>53227</v>
      </c>
      <c r="F66" s="33">
        <f>1200+(50000+73000)+13800</f>
        <v>138000</v>
      </c>
      <c r="G66" s="33"/>
      <c r="H66" s="33"/>
      <c r="I66" s="33"/>
      <c r="J66" s="33"/>
      <c r="K66" s="33"/>
      <c r="L66" s="33">
        <f t="shared" si="31"/>
        <v>138000</v>
      </c>
      <c r="M66" s="34">
        <v>138000</v>
      </c>
      <c r="N66" s="34">
        <f>ROUND(M66,0)</f>
        <v>138000</v>
      </c>
      <c r="O66" s="33">
        <f t="shared" si="2"/>
        <v>0</v>
      </c>
      <c r="P66" s="51"/>
      <c r="Q66" s="33">
        <f>ROUND(N66,0)</f>
        <v>138000</v>
      </c>
      <c r="R66" s="33">
        <f t="shared" si="3"/>
        <v>0</v>
      </c>
      <c r="S66" s="51"/>
      <c r="T66" s="33">
        <f>ROUND(Q66,0)+5841+7144</f>
        <v>150985</v>
      </c>
      <c r="U66" s="33">
        <f t="shared" si="4"/>
        <v>12985</v>
      </c>
      <c r="V66" s="51" t="s">
        <v>199</v>
      </c>
      <c r="W66" s="33">
        <f>ROUND(T66,0)</f>
        <v>150985</v>
      </c>
      <c r="X66" s="33">
        <f t="shared" si="5"/>
        <v>0</v>
      </c>
      <c r="Y66" s="51"/>
      <c r="Z66" s="33">
        <f>ROUND(W66,0)</f>
        <v>150985</v>
      </c>
      <c r="AA66" s="33">
        <f t="shared" si="6"/>
        <v>0</v>
      </c>
      <c r="AB66" s="51"/>
    </row>
    <row r="67" spans="1:28" ht="32.25" customHeight="1" x14ac:dyDescent="0.25">
      <c r="C67" s="54" t="s">
        <v>200</v>
      </c>
      <c r="D67" s="55" t="s">
        <v>201</v>
      </c>
      <c r="E67" s="56">
        <f>SUM(E68:E87)</f>
        <v>615732.15</v>
      </c>
      <c r="F67" s="56">
        <f t="shared" ref="F67:L67" si="32">SUM(F68:F87)</f>
        <v>7417</v>
      </c>
      <c r="G67" s="56">
        <f t="shared" si="32"/>
        <v>1644824.49</v>
      </c>
      <c r="H67" s="56">
        <f t="shared" si="32"/>
        <v>0</v>
      </c>
      <c r="I67" s="56">
        <f t="shared" si="32"/>
        <v>0</v>
      </c>
      <c r="J67" s="56">
        <f t="shared" si="32"/>
        <v>0</v>
      </c>
      <c r="K67" s="56">
        <f t="shared" si="32"/>
        <v>0</v>
      </c>
      <c r="L67" s="56">
        <f t="shared" si="32"/>
        <v>1652241.49</v>
      </c>
      <c r="M67" s="71">
        <v>1652241.49</v>
      </c>
      <c r="N67" s="71">
        <f>SUM(N68:N87)</f>
        <v>1652241</v>
      </c>
      <c r="O67" s="56">
        <f t="shared" si="2"/>
        <v>-0.48999999999068677</v>
      </c>
      <c r="P67" s="72"/>
      <c r="Q67" s="56">
        <f>SUM(Q68:Q87)</f>
        <v>1657241</v>
      </c>
      <c r="R67" s="56">
        <f t="shared" si="3"/>
        <v>5000</v>
      </c>
      <c r="S67" s="72"/>
      <c r="T67" s="56">
        <f>SUM(T68:T87)</f>
        <v>1657241</v>
      </c>
      <c r="U67" s="56">
        <f t="shared" si="4"/>
        <v>0</v>
      </c>
      <c r="V67" s="72"/>
      <c r="W67" s="56">
        <f>SUM(W68:W87)</f>
        <v>1657241</v>
      </c>
      <c r="X67" s="56">
        <f t="shared" si="5"/>
        <v>0</v>
      </c>
      <c r="Y67" s="72"/>
      <c r="Z67" s="56">
        <f>SUM(Z68:Z87)</f>
        <v>1485922</v>
      </c>
      <c r="AA67" s="56">
        <f t="shared" si="6"/>
        <v>-171319</v>
      </c>
      <c r="AB67" s="72"/>
    </row>
    <row r="68" spans="1:28" ht="14.4" x14ac:dyDescent="0.3">
      <c r="A68" s="1" t="s">
        <v>136</v>
      </c>
      <c r="B68" s="44" t="s">
        <v>202</v>
      </c>
      <c r="C68" s="46" t="s">
        <v>203</v>
      </c>
      <c r="D68" s="73" t="s">
        <v>204</v>
      </c>
      <c r="E68" s="33">
        <v>1214</v>
      </c>
      <c r="F68" s="33">
        <f>8631-E68</f>
        <v>7417</v>
      </c>
      <c r="G68" s="33"/>
      <c r="H68" s="33"/>
      <c r="I68" s="33"/>
      <c r="J68" s="33"/>
      <c r="K68" s="33"/>
      <c r="L68" s="33">
        <f t="shared" ref="L68:L88" si="33">F68+G68+H68+I68+J68+K68</f>
        <v>7417</v>
      </c>
      <c r="M68" s="34">
        <v>7417</v>
      </c>
      <c r="N68" s="34">
        <f t="shared" ref="N68:N88" si="34">ROUND(M68,0)</f>
        <v>7417</v>
      </c>
      <c r="O68" s="33">
        <f t="shared" si="2"/>
        <v>0</v>
      </c>
      <c r="P68" s="74"/>
      <c r="Q68" s="33">
        <f t="shared" ref="Q68:Q81" si="35">ROUND(N68,0)</f>
        <v>7417</v>
      </c>
      <c r="R68" s="33">
        <f t="shared" si="3"/>
        <v>0</v>
      </c>
      <c r="S68" s="74"/>
      <c r="T68" s="33">
        <f t="shared" ref="T68:T81" si="36">ROUND(Q68,0)</f>
        <v>7417</v>
      </c>
      <c r="U68" s="33">
        <f t="shared" si="4"/>
        <v>0</v>
      </c>
      <c r="V68" s="74"/>
      <c r="W68" s="33">
        <f t="shared" ref="W68:W81" si="37">ROUND(T68,0)</f>
        <v>7417</v>
      </c>
      <c r="X68" s="33">
        <f t="shared" si="5"/>
        <v>0</v>
      </c>
      <c r="Y68" s="74"/>
      <c r="Z68" s="33">
        <f t="shared" ref="Z68:Z81" si="38">ROUND(W68,0)</f>
        <v>7417</v>
      </c>
      <c r="AA68" s="33">
        <f t="shared" si="6"/>
        <v>0</v>
      </c>
      <c r="AB68" s="74"/>
    </row>
    <row r="69" spans="1:28" x14ac:dyDescent="0.25">
      <c r="A69" s="1" t="s">
        <v>205</v>
      </c>
      <c r="B69" s="1" t="s">
        <v>206</v>
      </c>
      <c r="C69" s="46" t="s">
        <v>207</v>
      </c>
      <c r="D69" s="73" t="s">
        <v>208</v>
      </c>
      <c r="E69" s="33">
        <v>90431.9</v>
      </c>
      <c r="F69" s="33"/>
      <c r="G69" s="33">
        <f>200271-E69</f>
        <v>109839.1</v>
      </c>
      <c r="H69" s="33"/>
      <c r="I69" s="33"/>
      <c r="J69" s="33"/>
      <c r="K69" s="33"/>
      <c r="L69" s="33">
        <f t="shared" si="33"/>
        <v>109839.1</v>
      </c>
      <c r="M69" s="34">
        <v>109839.1</v>
      </c>
      <c r="N69" s="34">
        <f t="shared" si="34"/>
        <v>109839</v>
      </c>
      <c r="O69" s="33">
        <f t="shared" si="2"/>
        <v>-0.10000000000582077</v>
      </c>
      <c r="P69" s="43"/>
      <c r="Q69" s="33">
        <f t="shared" si="35"/>
        <v>109839</v>
      </c>
      <c r="R69" s="33">
        <f t="shared" si="3"/>
        <v>0</v>
      </c>
      <c r="S69" s="43"/>
      <c r="T69" s="33">
        <f t="shared" si="36"/>
        <v>109839</v>
      </c>
      <c r="U69" s="33">
        <f t="shared" si="4"/>
        <v>0</v>
      </c>
      <c r="V69" s="43"/>
      <c r="W69" s="33">
        <f t="shared" si="37"/>
        <v>109839</v>
      </c>
      <c r="X69" s="33">
        <f t="shared" si="5"/>
        <v>0</v>
      </c>
      <c r="Y69" s="43"/>
      <c r="Z69" s="33">
        <f t="shared" si="38"/>
        <v>109839</v>
      </c>
      <c r="AA69" s="33">
        <f t="shared" si="6"/>
        <v>0</v>
      </c>
      <c r="AB69" s="43"/>
    </row>
    <row r="70" spans="1:28" ht="27.6" hidden="1" outlineLevel="1" x14ac:dyDescent="0.25">
      <c r="C70" s="46" t="s">
        <v>209</v>
      </c>
      <c r="D70" s="73" t="s">
        <v>210</v>
      </c>
      <c r="E70" s="33">
        <v>7821</v>
      </c>
      <c r="F70" s="33"/>
      <c r="G70" s="33"/>
      <c r="H70" s="33"/>
      <c r="I70" s="33"/>
      <c r="J70" s="33"/>
      <c r="K70" s="33"/>
      <c r="L70" s="33">
        <f t="shared" si="33"/>
        <v>0</v>
      </c>
      <c r="M70" s="34">
        <v>0</v>
      </c>
      <c r="N70" s="34">
        <f t="shared" si="34"/>
        <v>0</v>
      </c>
      <c r="O70" s="33">
        <f t="shared" si="2"/>
        <v>0</v>
      </c>
      <c r="P70" s="51"/>
      <c r="Q70" s="33">
        <f t="shared" si="35"/>
        <v>0</v>
      </c>
      <c r="R70" s="33">
        <f t="shared" si="3"/>
        <v>0</v>
      </c>
      <c r="S70" s="51"/>
      <c r="T70" s="33">
        <f t="shared" si="36"/>
        <v>0</v>
      </c>
      <c r="U70" s="33">
        <f t="shared" si="4"/>
        <v>0</v>
      </c>
      <c r="V70" s="51"/>
      <c r="W70" s="33">
        <f t="shared" si="37"/>
        <v>0</v>
      </c>
      <c r="X70" s="33">
        <f t="shared" si="5"/>
        <v>0</v>
      </c>
      <c r="Y70" s="51"/>
      <c r="Z70" s="33">
        <f t="shared" si="38"/>
        <v>0</v>
      </c>
      <c r="AA70" s="33">
        <f t="shared" si="6"/>
        <v>0</v>
      </c>
      <c r="AB70" s="51"/>
    </row>
    <row r="71" spans="1:28" ht="27.6" collapsed="1" x14ac:dyDescent="0.25">
      <c r="B71" s="75" t="s">
        <v>211</v>
      </c>
      <c r="C71" s="46" t="s">
        <v>212</v>
      </c>
      <c r="D71" s="73" t="s">
        <v>213</v>
      </c>
      <c r="E71" s="33">
        <v>71104</v>
      </c>
      <c r="F71" s="33"/>
      <c r="G71" s="33"/>
      <c r="H71" s="33"/>
      <c r="I71" s="33"/>
      <c r="J71" s="33"/>
      <c r="K71" s="33"/>
      <c r="L71" s="33">
        <f t="shared" si="33"/>
        <v>0</v>
      </c>
      <c r="M71" s="34">
        <v>0</v>
      </c>
      <c r="N71" s="34">
        <f t="shared" si="34"/>
        <v>0</v>
      </c>
      <c r="O71" s="33">
        <f t="shared" si="2"/>
        <v>0</v>
      </c>
      <c r="P71" s="43"/>
      <c r="Q71" s="33">
        <f t="shared" si="35"/>
        <v>0</v>
      </c>
      <c r="R71" s="33">
        <f t="shared" si="3"/>
        <v>0</v>
      </c>
      <c r="S71" s="43"/>
      <c r="T71" s="33">
        <f t="shared" si="36"/>
        <v>0</v>
      </c>
      <c r="U71" s="33">
        <f t="shared" si="4"/>
        <v>0</v>
      </c>
      <c r="V71" s="43"/>
      <c r="W71" s="33">
        <f t="shared" si="37"/>
        <v>0</v>
      </c>
      <c r="X71" s="33">
        <f t="shared" si="5"/>
        <v>0</v>
      </c>
      <c r="Y71" s="43"/>
      <c r="Z71" s="33">
        <f>ROUND(W71,0)+125926</f>
        <v>125926</v>
      </c>
      <c r="AA71" s="33">
        <f t="shared" si="6"/>
        <v>125926</v>
      </c>
      <c r="AB71" s="43" t="s">
        <v>214</v>
      </c>
    </row>
    <row r="72" spans="1:28" ht="41.4" x14ac:dyDescent="0.25">
      <c r="B72" s="1" t="s">
        <v>215</v>
      </c>
      <c r="C72" s="46" t="s">
        <v>216</v>
      </c>
      <c r="D72" s="73" t="s">
        <v>217</v>
      </c>
      <c r="E72" s="33">
        <f>23596.82+18440.43</f>
        <v>42037.25</v>
      </c>
      <c r="F72" s="33"/>
      <c r="G72" s="33"/>
      <c r="H72" s="33"/>
      <c r="I72" s="33"/>
      <c r="J72" s="33"/>
      <c r="K72" s="33"/>
      <c r="L72" s="33">
        <f t="shared" si="33"/>
        <v>0</v>
      </c>
      <c r="M72" s="34">
        <v>0</v>
      </c>
      <c r="N72" s="34">
        <f t="shared" si="34"/>
        <v>0</v>
      </c>
      <c r="O72" s="33">
        <f t="shared" ref="O72:O127" si="39">N72-M72</f>
        <v>0</v>
      </c>
      <c r="P72" s="45"/>
      <c r="Q72" s="33">
        <f t="shared" si="35"/>
        <v>0</v>
      </c>
      <c r="R72" s="33">
        <f t="shared" si="3"/>
        <v>0</v>
      </c>
      <c r="S72" s="45"/>
      <c r="T72" s="33">
        <f t="shared" si="36"/>
        <v>0</v>
      </c>
      <c r="U72" s="33">
        <f t="shared" si="4"/>
        <v>0</v>
      </c>
      <c r="V72" s="45"/>
      <c r="W72" s="33">
        <f t="shared" si="37"/>
        <v>0</v>
      </c>
      <c r="X72" s="33">
        <f t="shared" si="5"/>
        <v>0</v>
      </c>
      <c r="Y72" s="45"/>
      <c r="Z72" s="33">
        <f t="shared" si="38"/>
        <v>0</v>
      </c>
      <c r="AA72" s="33">
        <f t="shared" si="6"/>
        <v>0</v>
      </c>
      <c r="AB72" s="45"/>
    </row>
    <row r="73" spans="1:28" ht="28.2" x14ac:dyDescent="0.3">
      <c r="B73" s="44" t="s">
        <v>218</v>
      </c>
      <c r="C73" s="46" t="s">
        <v>219</v>
      </c>
      <c r="D73" s="73" t="s">
        <v>220</v>
      </c>
      <c r="E73" s="33">
        <f>24529</f>
        <v>24529</v>
      </c>
      <c r="F73" s="33"/>
      <c r="G73" s="33">
        <f>46414+35300</f>
        <v>81714</v>
      </c>
      <c r="H73" s="33"/>
      <c r="I73" s="33"/>
      <c r="J73" s="33"/>
      <c r="K73" s="33"/>
      <c r="L73" s="33">
        <f t="shared" si="33"/>
        <v>81714</v>
      </c>
      <c r="M73" s="34">
        <v>81714</v>
      </c>
      <c r="N73" s="34">
        <f t="shared" si="34"/>
        <v>81714</v>
      </c>
      <c r="O73" s="33">
        <f t="shared" si="39"/>
        <v>0</v>
      </c>
      <c r="P73" s="76"/>
      <c r="Q73" s="33">
        <f t="shared" si="35"/>
        <v>81714</v>
      </c>
      <c r="R73" s="33">
        <f t="shared" ref="R73:R127" si="40">Q73-N73</f>
        <v>0</v>
      </c>
      <c r="S73" s="76"/>
      <c r="T73" s="33">
        <f t="shared" si="36"/>
        <v>81714</v>
      </c>
      <c r="U73" s="33">
        <f t="shared" ref="U73:U127" si="41">T73-Q73</f>
        <v>0</v>
      </c>
      <c r="V73" s="76"/>
      <c r="W73" s="33">
        <f t="shared" si="37"/>
        <v>81714</v>
      </c>
      <c r="X73" s="33">
        <f t="shared" ref="X73:X127" si="42">W73-T73</f>
        <v>0</v>
      </c>
      <c r="Y73" s="76"/>
      <c r="Z73" s="33">
        <f t="shared" si="38"/>
        <v>81714</v>
      </c>
      <c r="AA73" s="33">
        <f t="shared" ref="AA73:AA127" si="43">Z73-W73</f>
        <v>0</v>
      </c>
      <c r="AB73" s="76"/>
    </row>
    <row r="74" spans="1:28" ht="28.2" x14ac:dyDescent="0.3">
      <c r="B74" s="44"/>
      <c r="C74" s="46" t="s">
        <v>221</v>
      </c>
      <c r="D74" s="73" t="s">
        <v>222</v>
      </c>
      <c r="E74" s="33">
        <v>4454</v>
      </c>
      <c r="F74" s="33"/>
      <c r="G74" s="33">
        <f>121601-E74</f>
        <v>117147</v>
      </c>
      <c r="H74" s="33"/>
      <c r="I74" s="33"/>
      <c r="J74" s="33"/>
      <c r="K74" s="33"/>
      <c r="L74" s="33">
        <f t="shared" si="33"/>
        <v>117147</v>
      </c>
      <c r="M74" s="34">
        <v>117147</v>
      </c>
      <c r="N74" s="34">
        <f t="shared" si="34"/>
        <v>117147</v>
      </c>
      <c r="O74" s="33">
        <f t="shared" si="39"/>
        <v>0</v>
      </c>
      <c r="P74" s="76"/>
      <c r="Q74" s="33">
        <f t="shared" si="35"/>
        <v>117147</v>
      </c>
      <c r="R74" s="33">
        <f t="shared" si="40"/>
        <v>0</v>
      </c>
      <c r="S74" s="76"/>
      <c r="T74" s="33">
        <f t="shared" si="36"/>
        <v>117147</v>
      </c>
      <c r="U74" s="33">
        <f t="shared" si="41"/>
        <v>0</v>
      </c>
      <c r="V74" s="76"/>
      <c r="W74" s="33">
        <f t="shared" si="37"/>
        <v>117147</v>
      </c>
      <c r="X74" s="33">
        <f t="shared" si="42"/>
        <v>0</v>
      </c>
      <c r="Y74" s="76"/>
      <c r="Z74" s="33">
        <f t="shared" si="38"/>
        <v>117147</v>
      </c>
      <c r="AA74" s="33">
        <f t="shared" si="43"/>
        <v>0</v>
      </c>
      <c r="AB74" s="76"/>
    </row>
    <row r="75" spans="1:28" ht="14.4" x14ac:dyDescent="0.3">
      <c r="B75" s="44"/>
      <c r="C75" s="46" t="s">
        <v>223</v>
      </c>
      <c r="D75" s="73" t="s">
        <v>224</v>
      </c>
      <c r="E75" s="33">
        <v>38723</v>
      </c>
      <c r="F75" s="33"/>
      <c r="G75" s="33">
        <f>330670-E75</f>
        <v>291947</v>
      </c>
      <c r="H75" s="33"/>
      <c r="I75" s="33"/>
      <c r="J75" s="33"/>
      <c r="K75" s="33">
        <f>[4]PIVOT_2023!H23</f>
        <v>0</v>
      </c>
      <c r="L75" s="33">
        <f t="shared" si="33"/>
        <v>291947</v>
      </c>
      <c r="M75" s="34">
        <v>291947</v>
      </c>
      <c r="N75" s="34">
        <f t="shared" si="34"/>
        <v>291947</v>
      </c>
      <c r="O75" s="33">
        <f t="shared" si="39"/>
        <v>0</v>
      </c>
      <c r="P75" s="76"/>
      <c r="Q75" s="33">
        <f t="shared" si="35"/>
        <v>291947</v>
      </c>
      <c r="R75" s="33">
        <f t="shared" si="40"/>
        <v>0</v>
      </c>
      <c r="S75" s="76"/>
      <c r="T75" s="33">
        <f t="shared" si="36"/>
        <v>291947</v>
      </c>
      <c r="U75" s="33">
        <f t="shared" si="41"/>
        <v>0</v>
      </c>
      <c r="V75" s="76"/>
      <c r="W75" s="33">
        <f t="shared" si="37"/>
        <v>291947</v>
      </c>
      <c r="X75" s="33">
        <f t="shared" si="42"/>
        <v>0</v>
      </c>
      <c r="Y75" s="76"/>
      <c r="Z75" s="33">
        <f t="shared" si="38"/>
        <v>291947</v>
      </c>
      <c r="AA75" s="33">
        <f t="shared" si="43"/>
        <v>0</v>
      </c>
      <c r="AB75" s="76"/>
    </row>
    <row r="76" spans="1:28" ht="27.6" x14ac:dyDescent="0.25">
      <c r="A76" s="1" t="s">
        <v>225</v>
      </c>
      <c r="B76" s="77" t="s">
        <v>226</v>
      </c>
      <c r="C76" s="46" t="s">
        <v>227</v>
      </c>
      <c r="D76" s="73" t="s">
        <v>228</v>
      </c>
      <c r="E76" s="33">
        <v>7851</v>
      </c>
      <c r="F76" s="33"/>
      <c r="G76" s="33">
        <v>104321.39</v>
      </c>
      <c r="H76" s="33"/>
      <c r="I76" s="33"/>
      <c r="J76" s="33"/>
      <c r="K76" s="33"/>
      <c r="L76" s="33">
        <f t="shared" si="33"/>
        <v>104321.39</v>
      </c>
      <c r="M76" s="34">
        <v>104321.39</v>
      </c>
      <c r="N76" s="34">
        <f t="shared" si="34"/>
        <v>104321</v>
      </c>
      <c r="O76" s="33">
        <f t="shared" si="39"/>
        <v>-0.38999999999941792</v>
      </c>
      <c r="P76" s="76"/>
      <c r="Q76" s="33">
        <f t="shared" si="35"/>
        <v>104321</v>
      </c>
      <c r="R76" s="33">
        <f t="shared" si="40"/>
        <v>0</v>
      </c>
      <c r="S76" s="76"/>
      <c r="T76" s="33">
        <f t="shared" si="36"/>
        <v>104321</v>
      </c>
      <c r="U76" s="33">
        <f t="shared" si="41"/>
        <v>0</v>
      </c>
      <c r="V76" s="76"/>
      <c r="W76" s="33">
        <f t="shared" si="37"/>
        <v>104321</v>
      </c>
      <c r="X76" s="33">
        <f t="shared" si="42"/>
        <v>0</v>
      </c>
      <c r="Y76" s="76"/>
      <c r="Z76" s="33">
        <f t="shared" si="38"/>
        <v>104321</v>
      </c>
      <c r="AA76" s="33">
        <f t="shared" si="43"/>
        <v>0</v>
      </c>
      <c r="AB76" s="76"/>
    </row>
    <row r="77" spans="1:28" x14ac:dyDescent="0.25">
      <c r="B77" s="66" t="s">
        <v>9</v>
      </c>
      <c r="C77" s="46" t="s">
        <v>229</v>
      </c>
      <c r="D77" s="78" t="s">
        <v>230</v>
      </c>
      <c r="E77" s="79"/>
      <c r="F77" s="33"/>
      <c r="G77" s="80">
        <v>40898</v>
      </c>
      <c r="H77" s="33"/>
      <c r="I77" s="33"/>
      <c r="J77" s="33"/>
      <c r="K77" s="33"/>
      <c r="L77" s="33">
        <f t="shared" si="33"/>
        <v>40898</v>
      </c>
      <c r="M77" s="34">
        <v>40898</v>
      </c>
      <c r="N77" s="34">
        <f t="shared" si="34"/>
        <v>40898</v>
      </c>
      <c r="O77" s="33">
        <f t="shared" si="39"/>
        <v>0</v>
      </c>
      <c r="P77" s="76"/>
      <c r="Q77" s="33">
        <f t="shared" si="35"/>
        <v>40898</v>
      </c>
      <c r="R77" s="33">
        <f t="shared" si="40"/>
        <v>0</v>
      </c>
      <c r="S77" s="76"/>
      <c r="T77" s="33">
        <f t="shared" si="36"/>
        <v>40898</v>
      </c>
      <c r="U77" s="33">
        <f t="shared" si="41"/>
        <v>0</v>
      </c>
      <c r="V77" s="76"/>
      <c r="W77" s="33">
        <f t="shared" si="37"/>
        <v>40898</v>
      </c>
      <c r="X77" s="33">
        <f t="shared" si="42"/>
        <v>0</v>
      </c>
      <c r="Y77" s="76"/>
      <c r="Z77" s="33">
        <f t="shared" si="38"/>
        <v>40898</v>
      </c>
      <c r="AA77" s="33">
        <f t="shared" si="43"/>
        <v>0</v>
      </c>
      <c r="AB77" s="76"/>
    </row>
    <row r="78" spans="1:28" ht="28.2" hidden="1" outlineLevel="1" x14ac:dyDescent="0.3">
      <c r="B78" s="44"/>
      <c r="C78" s="46" t="s">
        <v>231</v>
      </c>
      <c r="D78" s="73" t="s">
        <v>232</v>
      </c>
      <c r="E78" s="33">
        <v>1049</v>
      </c>
      <c r="F78" s="33"/>
      <c r="G78" s="33"/>
      <c r="H78" s="33"/>
      <c r="I78" s="33"/>
      <c r="J78" s="33"/>
      <c r="K78" s="33"/>
      <c r="L78" s="33">
        <f t="shared" si="33"/>
        <v>0</v>
      </c>
      <c r="M78" s="34">
        <v>0</v>
      </c>
      <c r="N78" s="34">
        <f t="shared" si="34"/>
        <v>0</v>
      </c>
      <c r="O78" s="33">
        <f t="shared" si="39"/>
        <v>0</v>
      </c>
      <c r="P78" s="76"/>
      <c r="Q78" s="33">
        <f t="shared" si="35"/>
        <v>0</v>
      </c>
      <c r="R78" s="33">
        <f t="shared" si="40"/>
        <v>0</v>
      </c>
      <c r="S78" s="76"/>
      <c r="T78" s="33">
        <f t="shared" si="36"/>
        <v>0</v>
      </c>
      <c r="U78" s="33">
        <f t="shared" si="41"/>
        <v>0</v>
      </c>
      <c r="V78" s="76"/>
      <c r="W78" s="33">
        <f t="shared" si="37"/>
        <v>0</v>
      </c>
      <c r="X78" s="33">
        <f t="shared" si="42"/>
        <v>0</v>
      </c>
      <c r="Y78" s="76"/>
      <c r="Z78" s="33">
        <f t="shared" si="38"/>
        <v>0</v>
      </c>
      <c r="AA78" s="33">
        <f t="shared" si="43"/>
        <v>0</v>
      </c>
      <c r="AB78" s="76"/>
    </row>
    <row r="79" spans="1:28" ht="28.2" hidden="1" outlineLevel="1" x14ac:dyDescent="0.3">
      <c r="B79" s="44"/>
      <c r="C79" s="46" t="s">
        <v>233</v>
      </c>
      <c r="D79" s="73" t="s">
        <v>234</v>
      </c>
      <c r="E79" s="33">
        <v>16292</v>
      </c>
      <c r="F79" s="33"/>
      <c r="G79" s="33"/>
      <c r="H79" s="33"/>
      <c r="I79" s="33"/>
      <c r="J79" s="33"/>
      <c r="K79" s="33"/>
      <c r="L79" s="33">
        <f t="shared" si="33"/>
        <v>0</v>
      </c>
      <c r="M79" s="34">
        <v>0</v>
      </c>
      <c r="N79" s="34">
        <f t="shared" si="34"/>
        <v>0</v>
      </c>
      <c r="O79" s="33">
        <f t="shared" si="39"/>
        <v>0</v>
      </c>
      <c r="P79" s="76"/>
      <c r="Q79" s="33">
        <f t="shared" si="35"/>
        <v>0</v>
      </c>
      <c r="R79" s="33">
        <f t="shared" si="40"/>
        <v>0</v>
      </c>
      <c r="S79" s="76"/>
      <c r="T79" s="33">
        <f t="shared" si="36"/>
        <v>0</v>
      </c>
      <c r="U79" s="33">
        <f t="shared" si="41"/>
        <v>0</v>
      </c>
      <c r="V79" s="76"/>
      <c r="W79" s="33">
        <f t="shared" si="37"/>
        <v>0</v>
      </c>
      <c r="X79" s="33">
        <f t="shared" si="42"/>
        <v>0</v>
      </c>
      <c r="Y79" s="76"/>
      <c r="Z79" s="33">
        <f t="shared" si="38"/>
        <v>0</v>
      </c>
      <c r="AA79" s="33">
        <f t="shared" si="43"/>
        <v>0</v>
      </c>
      <c r="AB79" s="76"/>
    </row>
    <row r="80" spans="1:28" ht="14.4" collapsed="1" x14ac:dyDescent="0.3">
      <c r="B80" s="81" t="s">
        <v>235</v>
      </c>
      <c r="C80" s="46" t="s">
        <v>236</v>
      </c>
      <c r="D80" s="73" t="s">
        <v>237</v>
      </c>
      <c r="E80" s="33"/>
      <c r="F80" s="33"/>
      <c r="G80" s="33">
        <v>202410</v>
      </c>
      <c r="H80" s="33"/>
      <c r="I80" s="33"/>
      <c r="J80" s="33"/>
      <c r="K80" s="33"/>
      <c r="L80" s="33">
        <f t="shared" si="33"/>
        <v>202410</v>
      </c>
      <c r="M80" s="34">
        <v>202410</v>
      </c>
      <c r="N80" s="34">
        <f t="shared" si="34"/>
        <v>202410</v>
      </c>
      <c r="O80" s="33">
        <f t="shared" si="39"/>
        <v>0</v>
      </c>
      <c r="P80" s="76"/>
      <c r="Q80" s="33">
        <f t="shared" si="35"/>
        <v>202410</v>
      </c>
      <c r="R80" s="33">
        <f t="shared" si="40"/>
        <v>0</v>
      </c>
      <c r="S80" s="76"/>
      <c r="T80" s="33">
        <f t="shared" si="36"/>
        <v>202410</v>
      </c>
      <c r="U80" s="33">
        <f t="shared" si="41"/>
        <v>0</v>
      </c>
      <c r="V80" s="76"/>
      <c r="W80" s="33">
        <f t="shared" si="37"/>
        <v>202410</v>
      </c>
      <c r="X80" s="33">
        <f t="shared" si="42"/>
        <v>0</v>
      </c>
      <c r="Y80" s="76"/>
      <c r="Z80" s="33">
        <f t="shared" si="38"/>
        <v>202410</v>
      </c>
      <c r="AA80" s="33">
        <f t="shared" si="43"/>
        <v>0</v>
      </c>
      <c r="AB80" s="76"/>
    </row>
    <row r="81" spans="1:28" ht="28.2" hidden="1" outlineLevel="1" x14ac:dyDescent="0.3">
      <c r="B81" s="44"/>
      <c r="C81" s="46" t="s">
        <v>238</v>
      </c>
      <c r="D81" s="73" t="s">
        <v>239</v>
      </c>
      <c r="E81" s="33">
        <v>15704</v>
      </c>
      <c r="F81" s="33"/>
      <c r="G81" s="33"/>
      <c r="H81" s="33"/>
      <c r="I81" s="33"/>
      <c r="J81" s="33"/>
      <c r="K81" s="33"/>
      <c r="L81" s="33">
        <f t="shared" si="33"/>
        <v>0</v>
      </c>
      <c r="M81" s="34">
        <v>0</v>
      </c>
      <c r="N81" s="34">
        <f t="shared" si="34"/>
        <v>0</v>
      </c>
      <c r="O81" s="33">
        <f t="shared" si="39"/>
        <v>0</v>
      </c>
      <c r="P81" s="76"/>
      <c r="Q81" s="33">
        <f t="shared" si="35"/>
        <v>0</v>
      </c>
      <c r="R81" s="33">
        <f t="shared" si="40"/>
        <v>0</v>
      </c>
      <c r="S81" s="76"/>
      <c r="T81" s="33">
        <f t="shared" si="36"/>
        <v>0</v>
      </c>
      <c r="U81" s="33">
        <f t="shared" si="41"/>
        <v>0</v>
      </c>
      <c r="V81" s="76"/>
      <c r="W81" s="33">
        <f t="shared" si="37"/>
        <v>0</v>
      </c>
      <c r="X81" s="33">
        <f t="shared" si="42"/>
        <v>0</v>
      </c>
      <c r="Y81" s="76"/>
      <c r="Z81" s="33">
        <f t="shared" si="38"/>
        <v>0</v>
      </c>
      <c r="AA81" s="33">
        <f t="shared" si="43"/>
        <v>0</v>
      </c>
      <c r="AB81" s="76"/>
    </row>
    <row r="82" spans="1:28" ht="14.4" collapsed="1" x14ac:dyDescent="0.3">
      <c r="B82" s="44"/>
      <c r="C82" s="46" t="s">
        <v>240</v>
      </c>
      <c r="D82" s="73" t="s">
        <v>241</v>
      </c>
      <c r="E82" s="33">
        <f>239964+10409+9859+34290</f>
        <v>294522</v>
      </c>
      <c r="F82" s="33"/>
      <c r="G82" s="33">
        <v>2464</v>
      </c>
      <c r="H82" s="33"/>
      <c r="I82" s="33"/>
      <c r="J82" s="33"/>
      <c r="K82" s="33"/>
      <c r="L82" s="33">
        <f t="shared" si="33"/>
        <v>2464</v>
      </c>
      <c r="M82" s="34">
        <v>2464</v>
      </c>
      <c r="N82" s="34">
        <f t="shared" si="34"/>
        <v>2464</v>
      </c>
      <c r="O82" s="33">
        <f t="shared" si="39"/>
        <v>0</v>
      </c>
      <c r="P82" s="76"/>
      <c r="Q82" s="33">
        <f>ROUND(N82,0)+5000</f>
        <v>7464</v>
      </c>
      <c r="R82" s="33">
        <f t="shared" si="40"/>
        <v>5000</v>
      </c>
      <c r="S82" s="76" t="s">
        <v>242</v>
      </c>
      <c r="T82" s="33">
        <f>ROUND(Q82,0)</f>
        <v>7464</v>
      </c>
      <c r="U82" s="33">
        <f t="shared" si="41"/>
        <v>0</v>
      </c>
      <c r="V82" s="76"/>
      <c r="W82" s="33">
        <f>ROUND(T82,0)</f>
        <v>7464</v>
      </c>
      <c r="X82" s="33">
        <f t="shared" si="42"/>
        <v>0</v>
      </c>
      <c r="Y82" s="76"/>
      <c r="Z82" s="33">
        <f>ROUND(W82,0)</f>
        <v>7464</v>
      </c>
      <c r="AA82" s="33">
        <f t="shared" si="43"/>
        <v>0</v>
      </c>
      <c r="AB82" s="76"/>
    </row>
    <row r="83" spans="1:28" ht="28.95" hidden="1" customHeight="1" outlineLevel="1" x14ac:dyDescent="0.3">
      <c r="B83" s="44"/>
      <c r="C83" s="46" t="s">
        <v>243</v>
      </c>
      <c r="D83" s="73" t="s">
        <v>244</v>
      </c>
      <c r="E83" s="33"/>
      <c r="F83" s="33"/>
      <c r="G83" s="33"/>
      <c r="H83" s="33"/>
      <c r="I83" s="33"/>
      <c r="J83" s="33"/>
      <c r="K83" s="33"/>
      <c r="L83" s="33">
        <f t="shared" si="33"/>
        <v>0</v>
      </c>
      <c r="M83" s="34">
        <v>0</v>
      </c>
      <c r="N83" s="34">
        <f t="shared" si="34"/>
        <v>0</v>
      </c>
      <c r="O83" s="33">
        <f t="shared" si="39"/>
        <v>0</v>
      </c>
      <c r="P83" s="76"/>
      <c r="Q83" s="33">
        <f t="shared" ref="Q83:Q88" si="44">ROUND(N83,0)</f>
        <v>0</v>
      </c>
      <c r="R83" s="33">
        <f t="shared" si="40"/>
        <v>0</v>
      </c>
      <c r="S83" s="76"/>
      <c r="T83" s="33">
        <f t="shared" ref="T83:T88" si="45">ROUND(Q83,0)</f>
        <v>0</v>
      </c>
      <c r="U83" s="33">
        <f t="shared" si="41"/>
        <v>0</v>
      </c>
      <c r="V83" s="76"/>
      <c r="W83" s="33">
        <f t="shared" ref="W83:W88" si="46">ROUND(T83,0)</f>
        <v>0</v>
      </c>
      <c r="X83" s="33">
        <f t="shared" si="42"/>
        <v>0</v>
      </c>
      <c r="Y83" s="76"/>
      <c r="Z83" s="33">
        <f t="shared" ref="Z83:Z88" si="47">ROUND(W83,0)</f>
        <v>0</v>
      </c>
      <c r="AA83" s="33">
        <f t="shared" si="43"/>
        <v>0</v>
      </c>
      <c r="AB83" s="76"/>
    </row>
    <row r="84" spans="1:28" ht="14.4" hidden="1" outlineLevel="1" x14ac:dyDescent="0.3">
      <c r="B84" s="44"/>
      <c r="C84" s="46" t="s">
        <v>245</v>
      </c>
      <c r="D84" s="73" t="s">
        <v>246</v>
      </c>
      <c r="E84" s="33"/>
      <c r="F84" s="33"/>
      <c r="G84" s="33"/>
      <c r="H84" s="33"/>
      <c r="I84" s="33"/>
      <c r="J84" s="33"/>
      <c r="K84" s="33"/>
      <c r="L84" s="33">
        <f t="shared" si="33"/>
        <v>0</v>
      </c>
      <c r="M84" s="34">
        <v>0</v>
      </c>
      <c r="N84" s="34">
        <f t="shared" si="34"/>
        <v>0</v>
      </c>
      <c r="O84" s="33">
        <f t="shared" si="39"/>
        <v>0</v>
      </c>
      <c r="P84" s="76"/>
      <c r="Q84" s="33">
        <f t="shared" si="44"/>
        <v>0</v>
      </c>
      <c r="R84" s="33">
        <f t="shared" si="40"/>
        <v>0</v>
      </c>
      <c r="S84" s="76"/>
      <c r="T84" s="33">
        <f t="shared" si="45"/>
        <v>0</v>
      </c>
      <c r="U84" s="33">
        <f t="shared" si="41"/>
        <v>0</v>
      </c>
      <c r="V84" s="76"/>
      <c r="W84" s="33">
        <f t="shared" si="46"/>
        <v>0</v>
      </c>
      <c r="X84" s="33">
        <f t="shared" si="42"/>
        <v>0</v>
      </c>
      <c r="Y84" s="76"/>
      <c r="Z84" s="33">
        <f t="shared" si="47"/>
        <v>0</v>
      </c>
      <c r="AA84" s="33">
        <f t="shared" si="43"/>
        <v>0</v>
      </c>
      <c r="AB84" s="76"/>
    </row>
    <row r="85" spans="1:28" ht="28.2" collapsed="1" x14ac:dyDescent="0.3">
      <c r="B85" s="81" t="s">
        <v>235</v>
      </c>
      <c r="C85" s="46" t="s">
        <v>247</v>
      </c>
      <c r="D85" s="73" t="s">
        <v>248</v>
      </c>
      <c r="E85" s="33"/>
      <c r="F85" s="33"/>
      <c r="G85" s="33">
        <v>14100</v>
      </c>
      <c r="H85" s="33"/>
      <c r="I85" s="33"/>
      <c r="J85" s="33"/>
      <c r="K85" s="33"/>
      <c r="L85" s="33">
        <f t="shared" si="33"/>
        <v>14100</v>
      </c>
      <c r="M85" s="34">
        <v>14100</v>
      </c>
      <c r="N85" s="34">
        <f t="shared" si="34"/>
        <v>14100</v>
      </c>
      <c r="O85" s="33">
        <f t="shared" si="39"/>
        <v>0</v>
      </c>
      <c r="P85" s="76"/>
      <c r="Q85" s="33">
        <f t="shared" si="44"/>
        <v>14100</v>
      </c>
      <c r="R85" s="33">
        <f t="shared" si="40"/>
        <v>0</v>
      </c>
      <c r="S85" s="76"/>
      <c r="T85" s="33">
        <f t="shared" si="45"/>
        <v>14100</v>
      </c>
      <c r="U85" s="33">
        <f t="shared" si="41"/>
        <v>0</v>
      </c>
      <c r="V85" s="76"/>
      <c r="W85" s="33">
        <f t="shared" si="46"/>
        <v>14100</v>
      </c>
      <c r="X85" s="33">
        <f t="shared" si="42"/>
        <v>0</v>
      </c>
      <c r="Y85" s="76"/>
      <c r="Z85" s="33">
        <f t="shared" si="47"/>
        <v>14100</v>
      </c>
      <c r="AA85" s="33">
        <f t="shared" si="43"/>
        <v>0</v>
      </c>
      <c r="AB85" s="76"/>
    </row>
    <row r="86" spans="1:28" x14ac:dyDescent="0.25">
      <c r="B86" s="66" t="s">
        <v>249</v>
      </c>
      <c r="C86" s="46" t="s">
        <v>250</v>
      </c>
      <c r="D86" s="78" t="s">
        <v>251</v>
      </c>
      <c r="E86" s="33"/>
      <c r="F86" s="33"/>
      <c r="G86" s="33">
        <v>382739</v>
      </c>
      <c r="H86" s="33"/>
      <c r="I86" s="33"/>
      <c r="J86" s="33"/>
      <c r="K86" s="33"/>
      <c r="L86" s="33">
        <f t="shared" si="33"/>
        <v>382739</v>
      </c>
      <c r="M86" s="34">
        <v>382739</v>
      </c>
      <c r="N86" s="34">
        <f t="shared" si="34"/>
        <v>382739</v>
      </c>
      <c r="O86" s="33">
        <f t="shared" si="39"/>
        <v>0</v>
      </c>
      <c r="P86" s="76"/>
      <c r="Q86" s="33">
        <f t="shared" si="44"/>
        <v>382739</v>
      </c>
      <c r="R86" s="33">
        <f t="shared" si="40"/>
        <v>0</v>
      </c>
      <c r="S86" s="76"/>
      <c r="T86" s="33">
        <f t="shared" si="45"/>
        <v>382739</v>
      </c>
      <c r="U86" s="33">
        <f t="shared" si="41"/>
        <v>0</v>
      </c>
      <c r="V86" s="76"/>
      <c r="W86" s="33">
        <f t="shared" si="46"/>
        <v>382739</v>
      </c>
      <c r="X86" s="33">
        <f t="shared" si="42"/>
        <v>0</v>
      </c>
      <c r="Y86" s="76"/>
      <c r="Z86" s="33">
        <f t="shared" si="47"/>
        <v>382739</v>
      </c>
      <c r="AA86" s="33">
        <f t="shared" si="43"/>
        <v>0</v>
      </c>
      <c r="AB86" s="76"/>
    </row>
    <row r="87" spans="1:28" ht="27.75" customHeight="1" x14ac:dyDescent="0.3">
      <c r="B87" s="44"/>
      <c r="C87" s="46" t="s">
        <v>252</v>
      </c>
      <c r="D87" s="78" t="s">
        <v>253</v>
      </c>
      <c r="E87" s="33"/>
      <c r="F87" s="33"/>
      <c r="G87" s="33">
        <v>297245</v>
      </c>
      <c r="H87" s="33"/>
      <c r="I87" s="33"/>
      <c r="J87" s="33"/>
      <c r="K87" s="33"/>
      <c r="L87" s="33">
        <f t="shared" si="33"/>
        <v>297245</v>
      </c>
      <c r="M87" s="34">
        <v>297245</v>
      </c>
      <c r="N87" s="34">
        <f t="shared" si="34"/>
        <v>297245</v>
      </c>
      <c r="O87" s="33">
        <f t="shared" si="39"/>
        <v>0</v>
      </c>
      <c r="P87" s="76"/>
      <c r="Q87" s="33">
        <f t="shared" si="44"/>
        <v>297245</v>
      </c>
      <c r="R87" s="33">
        <f t="shared" si="40"/>
        <v>0</v>
      </c>
      <c r="S87" s="76"/>
      <c r="T87" s="33">
        <f t="shared" si="45"/>
        <v>297245</v>
      </c>
      <c r="U87" s="33">
        <f t="shared" si="41"/>
        <v>0</v>
      </c>
      <c r="V87" s="76"/>
      <c r="W87" s="33">
        <f t="shared" si="46"/>
        <v>297245</v>
      </c>
      <c r="X87" s="33">
        <f t="shared" si="42"/>
        <v>0</v>
      </c>
      <c r="Y87" s="76"/>
      <c r="Z87" s="33">
        <f>ROUND(W87,0)-297245</f>
        <v>0</v>
      </c>
      <c r="AA87" s="33">
        <f t="shared" si="43"/>
        <v>-297245</v>
      </c>
      <c r="AB87" s="45" t="s">
        <v>254</v>
      </c>
    </row>
    <row r="88" spans="1:28" hidden="1" outlineLevel="1" x14ac:dyDescent="0.25">
      <c r="B88" s="30" t="s">
        <v>255</v>
      </c>
      <c r="C88" s="31" t="s">
        <v>256</v>
      </c>
      <c r="D88" s="82" t="s">
        <v>257</v>
      </c>
      <c r="E88" s="33"/>
      <c r="F88" s="33"/>
      <c r="G88" s="33"/>
      <c r="H88" s="33"/>
      <c r="I88" s="33"/>
      <c r="J88" s="33"/>
      <c r="K88" s="33"/>
      <c r="L88" s="33">
        <f t="shared" si="33"/>
        <v>0</v>
      </c>
      <c r="M88" s="34">
        <v>0</v>
      </c>
      <c r="N88" s="34">
        <f t="shared" si="34"/>
        <v>0</v>
      </c>
      <c r="O88" s="33">
        <f t="shared" si="39"/>
        <v>0</v>
      </c>
      <c r="P88" s="35"/>
      <c r="Q88" s="33">
        <f t="shared" si="44"/>
        <v>0</v>
      </c>
      <c r="R88" s="33">
        <f t="shared" si="40"/>
        <v>0</v>
      </c>
      <c r="S88" s="35"/>
      <c r="T88" s="33">
        <f t="shared" si="45"/>
        <v>0</v>
      </c>
      <c r="U88" s="33">
        <f t="shared" si="41"/>
        <v>0</v>
      </c>
      <c r="V88" s="35"/>
      <c r="W88" s="33">
        <f t="shared" si="46"/>
        <v>0</v>
      </c>
      <c r="X88" s="33">
        <f t="shared" si="42"/>
        <v>0</v>
      </c>
      <c r="Y88" s="35"/>
      <c r="Z88" s="33">
        <f t="shared" si="47"/>
        <v>0</v>
      </c>
      <c r="AA88" s="33">
        <f t="shared" si="43"/>
        <v>0</v>
      </c>
      <c r="AB88" s="35"/>
    </row>
    <row r="89" spans="1:28" collapsed="1" x14ac:dyDescent="0.25">
      <c r="C89" s="53" t="s">
        <v>258</v>
      </c>
      <c r="D89" s="38" t="s">
        <v>259</v>
      </c>
      <c r="E89" s="39">
        <f t="shared" ref="E89:L89" si="48">E90+E91</f>
        <v>0</v>
      </c>
      <c r="F89" s="39">
        <f t="shared" si="48"/>
        <v>0</v>
      </c>
      <c r="G89" s="39">
        <f t="shared" si="48"/>
        <v>0</v>
      </c>
      <c r="H89" s="39">
        <f t="shared" si="48"/>
        <v>0</v>
      </c>
      <c r="I89" s="39">
        <f>I90+I91</f>
        <v>0</v>
      </c>
      <c r="J89" s="39">
        <f t="shared" si="48"/>
        <v>0</v>
      </c>
      <c r="K89" s="39">
        <f t="shared" si="48"/>
        <v>295000</v>
      </c>
      <c r="L89" s="39">
        <f t="shared" si="48"/>
        <v>295000</v>
      </c>
      <c r="M89" s="40">
        <v>295000</v>
      </c>
      <c r="N89" s="40">
        <f>N90+N91</f>
        <v>295000</v>
      </c>
      <c r="O89" s="39">
        <f t="shared" si="39"/>
        <v>0</v>
      </c>
      <c r="P89" s="41"/>
      <c r="Q89" s="39">
        <f>Q90+Q91</f>
        <v>295000</v>
      </c>
      <c r="R89" s="39">
        <f t="shared" si="40"/>
        <v>0</v>
      </c>
      <c r="S89" s="41"/>
      <c r="T89" s="39">
        <f>T90+T91</f>
        <v>295000</v>
      </c>
      <c r="U89" s="39">
        <f t="shared" si="41"/>
        <v>0</v>
      </c>
      <c r="V89" s="41"/>
      <c r="W89" s="39">
        <f>W90+W91</f>
        <v>295000</v>
      </c>
      <c r="X89" s="39">
        <f t="shared" si="42"/>
        <v>0</v>
      </c>
      <c r="Y89" s="41"/>
      <c r="Z89" s="39">
        <f>Z90+Z91</f>
        <v>295000</v>
      </c>
      <c r="AA89" s="39">
        <f t="shared" si="43"/>
        <v>0</v>
      </c>
      <c r="AB89" s="41"/>
    </row>
    <row r="90" spans="1:28" ht="27.6" customHeight="1" x14ac:dyDescent="0.25">
      <c r="B90" s="1" t="s">
        <v>260</v>
      </c>
      <c r="C90" s="31" t="s">
        <v>261</v>
      </c>
      <c r="D90" s="32" t="s">
        <v>262</v>
      </c>
      <c r="E90" s="33"/>
      <c r="F90" s="33"/>
      <c r="G90" s="33"/>
      <c r="H90" s="33"/>
      <c r="I90" s="33"/>
      <c r="J90" s="33"/>
      <c r="K90" s="33">
        <f>[4]PIVOT_2023!H25</f>
        <v>295000</v>
      </c>
      <c r="L90" s="33">
        <f>F90+G90+H90+I90+J90+K90</f>
        <v>295000</v>
      </c>
      <c r="M90" s="34">
        <v>295000</v>
      </c>
      <c r="N90" s="34">
        <f>ROUND(M90,0)</f>
        <v>295000</v>
      </c>
      <c r="O90" s="33">
        <f t="shared" si="39"/>
        <v>0</v>
      </c>
      <c r="P90" s="51"/>
      <c r="Q90" s="33">
        <f>ROUND(N90,0)</f>
        <v>295000</v>
      </c>
      <c r="R90" s="33">
        <f t="shared" si="40"/>
        <v>0</v>
      </c>
      <c r="S90" s="51"/>
      <c r="T90" s="33">
        <f>ROUND(Q90,0)</f>
        <v>295000</v>
      </c>
      <c r="U90" s="33">
        <f t="shared" si="41"/>
        <v>0</v>
      </c>
      <c r="V90" s="51"/>
      <c r="W90" s="33">
        <f>ROUND(T90,0)</f>
        <v>295000</v>
      </c>
      <c r="X90" s="33">
        <f t="shared" si="42"/>
        <v>0</v>
      </c>
      <c r="Y90" s="51"/>
      <c r="Z90" s="33">
        <f>ROUND(W90,0)</f>
        <v>295000</v>
      </c>
      <c r="AA90" s="33">
        <f t="shared" si="43"/>
        <v>0</v>
      </c>
      <c r="AB90" s="51"/>
    </row>
    <row r="91" spans="1:28" ht="16.2" customHeight="1" x14ac:dyDescent="0.25">
      <c r="B91" s="1" t="s">
        <v>263</v>
      </c>
      <c r="C91" s="31" t="s">
        <v>264</v>
      </c>
      <c r="D91" s="32" t="s">
        <v>265</v>
      </c>
      <c r="E91" s="33"/>
      <c r="F91" s="33"/>
      <c r="G91" s="33"/>
      <c r="H91" s="33"/>
      <c r="I91" s="33"/>
      <c r="J91" s="33"/>
      <c r="K91" s="33">
        <f>[4]PIVOT_2023!H26</f>
        <v>0</v>
      </c>
      <c r="L91" s="33">
        <f>F91+G91+H91+I91+J91+K91</f>
        <v>0</v>
      </c>
      <c r="M91" s="34">
        <v>0</v>
      </c>
      <c r="N91" s="34">
        <f>ROUND(M91,0)</f>
        <v>0</v>
      </c>
      <c r="O91" s="33">
        <f t="shared" si="39"/>
        <v>0</v>
      </c>
      <c r="P91" s="35"/>
      <c r="Q91" s="33">
        <f>ROUND(N91,0)</f>
        <v>0</v>
      </c>
      <c r="R91" s="33">
        <f t="shared" si="40"/>
        <v>0</v>
      </c>
      <c r="S91" s="35"/>
      <c r="T91" s="33">
        <f>ROUND(Q91,0)</f>
        <v>0</v>
      </c>
      <c r="U91" s="33">
        <f t="shared" si="41"/>
        <v>0</v>
      </c>
      <c r="V91" s="35"/>
      <c r="W91" s="33">
        <f>ROUND(T91,0)</f>
        <v>0</v>
      </c>
      <c r="X91" s="33">
        <f t="shared" si="42"/>
        <v>0</v>
      </c>
      <c r="Y91" s="35"/>
      <c r="Z91" s="33">
        <f>ROUND(W91,0)</f>
        <v>0</v>
      </c>
      <c r="AA91" s="33">
        <f t="shared" si="43"/>
        <v>0</v>
      </c>
      <c r="AB91" s="35"/>
    </row>
    <row r="92" spans="1:28" ht="35.4" customHeight="1" x14ac:dyDescent="0.25">
      <c r="C92" s="53" t="s">
        <v>266</v>
      </c>
      <c r="D92" s="38" t="s">
        <v>267</v>
      </c>
      <c r="E92" s="39">
        <f t="shared" ref="E92:N92" si="49">E93+E96+E99+E103+E107</f>
        <v>36140</v>
      </c>
      <c r="F92" s="39">
        <f t="shared" si="49"/>
        <v>0</v>
      </c>
      <c r="G92" s="39">
        <f t="shared" si="49"/>
        <v>0</v>
      </c>
      <c r="H92" s="39">
        <f t="shared" si="49"/>
        <v>0</v>
      </c>
      <c r="I92" s="39">
        <f t="shared" si="49"/>
        <v>3813551</v>
      </c>
      <c r="J92" s="39">
        <f t="shared" si="49"/>
        <v>0</v>
      </c>
      <c r="K92" s="39">
        <f>K93+K96+K99+K103+K107</f>
        <v>420500</v>
      </c>
      <c r="L92" s="39">
        <f t="shared" si="49"/>
        <v>4234051</v>
      </c>
      <c r="M92" s="40">
        <v>4234051</v>
      </c>
      <c r="N92" s="40">
        <f t="shared" si="49"/>
        <v>4234051</v>
      </c>
      <c r="O92" s="39">
        <f t="shared" si="39"/>
        <v>0</v>
      </c>
      <c r="P92" s="41"/>
      <c r="Q92" s="39">
        <f>Q93+Q96+Q99+Q103+Q107</f>
        <v>4234051</v>
      </c>
      <c r="R92" s="39">
        <f t="shared" si="40"/>
        <v>0</v>
      </c>
      <c r="S92" s="41"/>
      <c r="T92" s="39">
        <f>T93+T96+T99+T103+T107</f>
        <v>3970551</v>
      </c>
      <c r="U92" s="39">
        <f t="shared" si="41"/>
        <v>-263500</v>
      </c>
      <c r="V92" s="41"/>
      <c r="W92" s="39">
        <f>W93+W96+W99+W103+W107</f>
        <v>3970551</v>
      </c>
      <c r="X92" s="39">
        <f t="shared" si="42"/>
        <v>0</v>
      </c>
      <c r="Y92" s="41"/>
      <c r="Z92" s="39">
        <f>Z93+Z96+Z99+Z103+Z107</f>
        <v>3975551</v>
      </c>
      <c r="AA92" s="39">
        <f t="shared" si="43"/>
        <v>5000</v>
      </c>
      <c r="AB92" s="41"/>
    </row>
    <row r="93" spans="1:28" x14ac:dyDescent="0.25">
      <c r="A93" s="1" t="s">
        <v>29</v>
      </c>
      <c r="B93" s="1" t="s">
        <v>268</v>
      </c>
      <c r="C93" s="31" t="s">
        <v>269</v>
      </c>
      <c r="D93" s="32" t="s">
        <v>270</v>
      </c>
      <c r="E93" s="33">
        <f t="shared" ref="E93:L93" si="50">SUM(E94:E95)</f>
        <v>0</v>
      </c>
      <c r="F93" s="33">
        <f t="shared" si="50"/>
        <v>0</v>
      </c>
      <c r="G93" s="33">
        <f t="shared" si="50"/>
        <v>0</v>
      </c>
      <c r="H93" s="33">
        <f t="shared" si="50"/>
        <v>0</v>
      </c>
      <c r="I93" s="33">
        <f>SUM(I94:I95)</f>
        <v>0</v>
      </c>
      <c r="J93" s="33">
        <f t="shared" si="50"/>
        <v>0</v>
      </c>
      <c r="K93" s="33">
        <f t="shared" si="50"/>
        <v>149000</v>
      </c>
      <c r="L93" s="33">
        <f t="shared" si="50"/>
        <v>149000</v>
      </c>
      <c r="M93" s="34">
        <v>149000</v>
      </c>
      <c r="N93" s="34">
        <f>SUM(N94:N95)</f>
        <v>149000</v>
      </c>
      <c r="O93" s="33">
        <f t="shared" si="39"/>
        <v>0</v>
      </c>
      <c r="P93" s="35"/>
      <c r="Q93" s="33">
        <f>SUM(Q94:Q95)</f>
        <v>149000</v>
      </c>
      <c r="R93" s="33">
        <f t="shared" si="40"/>
        <v>0</v>
      </c>
      <c r="S93" s="35"/>
      <c r="T93" s="33">
        <f>SUM(T94:T95)</f>
        <v>149000</v>
      </c>
      <c r="U93" s="33">
        <f t="shared" si="41"/>
        <v>0</v>
      </c>
      <c r="V93" s="35"/>
      <c r="W93" s="33">
        <f>SUM(W94:W95)</f>
        <v>149000</v>
      </c>
      <c r="X93" s="33">
        <f t="shared" si="42"/>
        <v>0</v>
      </c>
      <c r="Y93" s="35"/>
      <c r="Z93" s="33">
        <f>SUM(Z94:Z95)</f>
        <v>149000</v>
      </c>
      <c r="AA93" s="33">
        <f t="shared" si="43"/>
        <v>0</v>
      </c>
      <c r="AB93" s="35"/>
    </row>
    <row r="94" spans="1:28" ht="14.25" customHeight="1" x14ac:dyDescent="0.25">
      <c r="B94" s="1" t="s">
        <v>271</v>
      </c>
      <c r="C94" s="83" t="s">
        <v>272</v>
      </c>
      <c r="D94" s="84" t="s">
        <v>273</v>
      </c>
      <c r="E94" s="33"/>
      <c r="F94" s="33"/>
      <c r="G94" s="33"/>
      <c r="H94" s="33"/>
      <c r="I94" s="33"/>
      <c r="J94" s="33"/>
      <c r="K94" s="33">
        <f>[4]PIVOT_2023!H29</f>
        <v>24000</v>
      </c>
      <c r="L94" s="33">
        <f>F94+G94+H94+I94+J94+K94</f>
        <v>24000</v>
      </c>
      <c r="M94" s="34">
        <v>24000</v>
      </c>
      <c r="N94" s="34">
        <f>ROUND(M94,0)</f>
        <v>24000</v>
      </c>
      <c r="O94" s="33">
        <f t="shared" si="39"/>
        <v>0</v>
      </c>
      <c r="P94" s="42"/>
      <c r="Q94" s="33">
        <f>ROUND(N94,0)</f>
        <v>24000</v>
      </c>
      <c r="R94" s="33">
        <f t="shared" si="40"/>
        <v>0</v>
      </c>
      <c r="S94" s="42"/>
      <c r="T94" s="33">
        <f>ROUND(Q94,0)</f>
        <v>24000</v>
      </c>
      <c r="U94" s="33">
        <f t="shared" si="41"/>
        <v>0</v>
      </c>
      <c r="V94" s="42"/>
      <c r="W94" s="33">
        <f>ROUND(T94,0)</f>
        <v>24000</v>
      </c>
      <c r="X94" s="33">
        <f t="shared" si="42"/>
        <v>0</v>
      </c>
      <c r="Y94" s="42"/>
      <c r="Z94" s="33">
        <f>ROUND(W94,0)</f>
        <v>24000</v>
      </c>
      <c r="AA94" s="33">
        <f t="shared" si="43"/>
        <v>0</v>
      </c>
      <c r="AB94" s="42"/>
    </row>
    <row r="95" spans="1:28" ht="15.6" customHeight="1" x14ac:dyDescent="0.25">
      <c r="B95" s="1" t="s">
        <v>274</v>
      </c>
      <c r="C95" s="83" t="s">
        <v>275</v>
      </c>
      <c r="D95" s="84" t="s">
        <v>276</v>
      </c>
      <c r="E95" s="33"/>
      <c r="F95" s="33"/>
      <c r="G95" s="33"/>
      <c r="H95" s="33"/>
      <c r="I95" s="33"/>
      <c r="J95" s="33"/>
      <c r="K95" s="33">
        <f>[4]PIVOT_2023!H30</f>
        <v>125000</v>
      </c>
      <c r="L95" s="33">
        <f>F95+G95+H95+I95+J95+K95</f>
        <v>125000</v>
      </c>
      <c r="M95" s="34">
        <v>125000</v>
      </c>
      <c r="N95" s="34">
        <f>ROUND(M95,0)</f>
        <v>125000</v>
      </c>
      <c r="O95" s="33">
        <f t="shared" si="39"/>
        <v>0</v>
      </c>
      <c r="P95" s="42"/>
      <c r="Q95" s="33">
        <f>ROUND(N95,0)</f>
        <v>125000</v>
      </c>
      <c r="R95" s="33">
        <f t="shared" si="40"/>
        <v>0</v>
      </c>
      <c r="S95" s="42"/>
      <c r="T95" s="33">
        <f>ROUND(Q95,0)</f>
        <v>125000</v>
      </c>
      <c r="U95" s="33">
        <f t="shared" si="41"/>
        <v>0</v>
      </c>
      <c r="V95" s="42"/>
      <c r="W95" s="33">
        <f>ROUND(T95,0)</f>
        <v>125000</v>
      </c>
      <c r="X95" s="33">
        <f t="shared" si="42"/>
        <v>0</v>
      </c>
      <c r="Y95" s="42"/>
      <c r="Z95" s="33">
        <f>ROUND(W95,0)</f>
        <v>125000</v>
      </c>
      <c r="AA95" s="33">
        <f t="shared" si="43"/>
        <v>0</v>
      </c>
      <c r="AB95" s="42"/>
    </row>
    <row r="96" spans="1:28" ht="13.95" customHeight="1" x14ac:dyDescent="0.25">
      <c r="C96" s="31" t="s">
        <v>277</v>
      </c>
      <c r="D96" s="32" t="s">
        <v>278</v>
      </c>
      <c r="E96" s="33">
        <f>E97+E98</f>
        <v>36140</v>
      </c>
      <c r="F96" s="33">
        <f t="shared" ref="F96:L96" si="51">F97+F98</f>
        <v>0</v>
      </c>
      <c r="G96" s="33">
        <f t="shared" si="51"/>
        <v>0</v>
      </c>
      <c r="H96" s="33">
        <f t="shared" si="51"/>
        <v>0</v>
      </c>
      <c r="I96" s="33">
        <f>I97+I98</f>
        <v>0</v>
      </c>
      <c r="J96" s="33">
        <f t="shared" si="51"/>
        <v>0</v>
      </c>
      <c r="K96" s="33">
        <f t="shared" si="51"/>
        <v>0</v>
      </c>
      <c r="L96" s="33">
        <f t="shared" si="51"/>
        <v>0</v>
      </c>
      <c r="M96" s="34">
        <v>0</v>
      </c>
      <c r="N96" s="34">
        <f>N97+N98</f>
        <v>0</v>
      </c>
      <c r="O96" s="33">
        <f t="shared" si="39"/>
        <v>0</v>
      </c>
      <c r="P96" s="85"/>
      <c r="Q96" s="33">
        <f>Q97+Q98</f>
        <v>0</v>
      </c>
      <c r="R96" s="33">
        <f t="shared" si="40"/>
        <v>0</v>
      </c>
      <c r="S96" s="85"/>
      <c r="T96" s="33">
        <f>T97+T98</f>
        <v>0</v>
      </c>
      <c r="U96" s="33">
        <f t="shared" si="41"/>
        <v>0</v>
      </c>
      <c r="V96" s="85"/>
      <c r="W96" s="33">
        <f>W97+W98</f>
        <v>0</v>
      </c>
      <c r="X96" s="33">
        <f t="shared" si="42"/>
        <v>0</v>
      </c>
      <c r="Y96" s="85"/>
      <c r="Z96" s="33">
        <f>Z97+Z98</f>
        <v>0</v>
      </c>
      <c r="AA96" s="33">
        <f t="shared" si="43"/>
        <v>0</v>
      </c>
      <c r="AB96" s="85"/>
    </row>
    <row r="97" spans="1:28" x14ac:dyDescent="0.25">
      <c r="C97" s="83" t="s">
        <v>279</v>
      </c>
      <c r="D97" s="84" t="s">
        <v>280</v>
      </c>
      <c r="E97" s="33">
        <f>74020-42000</f>
        <v>32020</v>
      </c>
      <c r="F97" s="33"/>
      <c r="G97" s="33"/>
      <c r="H97" s="33"/>
      <c r="I97" s="33"/>
      <c r="J97" s="33"/>
      <c r="K97" s="33">
        <f>[4]PIVOT_2023!H32</f>
        <v>0</v>
      </c>
      <c r="L97" s="33">
        <f>F97+G97+H97+I97+J97+K97</f>
        <v>0</v>
      </c>
      <c r="M97" s="34">
        <v>0</v>
      </c>
      <c r="N97" s="34"/>
      <c r="O97" s="33">
        <f t="shared" si="39"/>
        <v>0</v>
      </c>
      <c r="P97" s="42"/>
      <c r="Q97" s="33"/>
      <c r="R97" s="33">
        <f t="shared" si="40"/>
        <v>0</v>
      </c>
      <c r="S97" s="42"/>
      <c r="T97" s="33"/>
      <c r="U97" s="33">
        <f t="shared" si="41"/>
        <v>0</v>
      </c>
      <c r="V97" s="42"/>
      <c r="W97" s="33"/>
      <c r="X97" s="33">
        <f t="shared" si="42"/>
        <v>0</v>
      </c>
      <c r="Y97" s="42"/>
      <c r="Z97" s="33"/>
      <c r="AA97" s="33">
        <f t="shared" si="43"/>
        <v>0</v>
      </c>
      <c r="AB97" s="42"/>
    </row>
    <row r="98" spans="1:28" ht="30" customHeight="1" x14ac:dyDescent="0.25">
      <c r="B98" s="66" t="s">
        <v>281</v>
      </c>
      <c r="C98" s="83" t="s">
        <v>282</v>
      </c>
      <c r="D98" s="73" t="s">
        <v>283</v>
      </c>
      <c r="E98" s="33">
        <v>4120</v>
      </c>
      <c r="F98" s="33"/>
      <c r="G98" s="33"/>
      <c r="H98" s="33"/>
      <c r="I98" s="33"/>
      <c r="J98" s="33"/>
      <c r="K98" s="33">
        <f>[4]PIVOT_2023!H33</f>
        <v>0</v>
      </c>
      <c r="L98" s="33">
        <f>F98+G98+H98+I98+J98+K98</f>
        <v>0</v>
      </c>
      <c r="M98" s="34">
        <v>0</v>
      </c>
      <c r="N98" s="34">
        <f>ROUND(M98,0)</f>
        <v>0</v>
      </c>
      <c r="O98" s="33">
        <f t="shared" si="39"/>
        <v>0</v>
      </c>
      <c r="P98" s="42"/>
      <c r="Q98" s="33">
        <f>ROUND(N98,0)</f>
        <v>0</v>
      </c>
      <c r="R98" s="33">
        <f t="shared" si="40"/>
        <v>0</v>
      </c>
      <c r="S98" s="42"/>
      <c r="T98" s="33">
        <f>ROUND(Q98,0)</f>
        <v>0</v>
      </c>
      <c r="U98" s="33">
        <f t="shared" si="41"/>
        <v>0</v>
      </c>
      <c r="V98" s="42"/>
      <c r="W98" s="33">
        <f>ROUND(T98,0)</f>
        <v>0</v>
      </c>
      <c r="X98" s="33">
        <f t="shared" si="42"/>
        <v>0</v>
      </c>
      <c r="Y98" s="42"/>
      <c r="Z98" s="33">
        <f>ROUND(W98,0)</f>
        <v>0</v>
      </c>
      <c r="AA98" s="33">
        <f t="shared" si="43"/>
        <v>0</v>
      </c>
      <c r="AB98" s="42"/>
    </row>
    <row r="99" spans="1:28" x14ac:dyDescent="0.25">
      <c r="A99" s="1" t="s">
        <v>29</v>
      </c>
      <c r="B99" s="1" t="s">
        <v>284</v>
      </c>
      <c r="C99" s="31" t="s">
        <v>285</v>
      </c>
      <c r="D99" s="32" t="s">
        <v>286</v>
      </c>
      <c r="E99" s="33">
        <f t="shared" ref="E99:L99" si="52">SUM(E100:E102)</f>
        <v>0</v>
      </c>
      <c r="F99" s="33">
        <f t="shared" si="52"/>
        <v>0</v>
      </c>
      <c r="G99" s="33">
        <f t="shared" si="52"/>
        <v>0</v>
      </c>
      <c r="H99" s="33">
        <f t="shared" si="52"/>
        <v>0</v>
      </c>
      <c r="I99" s="33">
        <f>SUM(I100:I102)</f>
        <v>0</v>
      </c>
      <c r="J99" s="33">
        <f t="shared" si="52"/>
        <v>0</v>
      </c>
      <c r="K99" s="33">
        <f t="shared" si="52"/>
        <v>157000</v>
      </c>
      <c r="L99" s="33">
        <f t="shared" si="52"/>
        <v>157000</v>
      </c>
      <c r="M99" s="34">
        <v>157000</v>
      </c>
      <c r="N99" s="34">
        <f>SUM(N100:N102)</f>
        <v>157000</v>
      </c>
      <c r="O99" s="33">
        <f t="shared" si="39"/>
        <v>0</v>
      </c>
      <c r="P99" s="35"/>
      <c r="Q99" s="33">
        <f>SUM(Q100:Q102)</f>
        <v>157000</v>
      </c>
      <c r="R99" s="33">
        <f t="shared" si="40"/>
        <v>0</v>
      </c>
      <c r="S99" s="35"/>
      <c r="T99" s="33">
        <f>SUM(T100:T102)</f>
        <v>157000</v>
      </c>
      <c r="U99" s="33">
        <f t="shared" si="41"/>
        <v>0</v>
      </c>
      <c r="V99" s="35"/>
      <c r="W99" s="33">
        <f>SUM(W100:W102)</f>
        <v>157000</v>
      </c>
      <c r="X99" s="33">
        <f t="shared" si="42"/>
        <v>0</v>
      </c>
      <c r="Y99" s="35"/>
      <c r="Z99" s="33">
        <f>SUM(Z100:Z102)</f>
        <v>157000</v>
      </c>
      <c r="AA99" s="33">
        <f t="shared" si="43"/>
        <v>0</v>
      </c>
      <c r="AB99" s="35"/>
    </row>
    <row r="100" spans="1:28" ht="15.75" customHeight="1" x14ac:dyDescent="0.25">
      <c r="B100" s="1" t="s">
        <v>287</v>
      </c>
      <c r="C100" s="83" t="s">
        <v>288</v>
      </c>
      <c r="D100" s="84" t="s">
        <v>289</v>
      </c>
      <c r="E100" s="33"/>
      <c r="F100" s="33"/>
      <c r="G100" s="33"/>
      <c r="H100" s="33"/>
      <c r="I100" s="33"/>
      <c r="J100" s="33"/>
      <c r="K100" s="33">
        <f>[4]PIVOT_2023!H35</f>
        <v>120000</v>
      </c>
      <c r="L100" s="33">
        <f>F100+G100+H100+I100+J100+K100</f>
        <v>120000</v>
      </c>
      <c r="M100" s="34">
        <v>120000</v>
      </c>
      <c r="N100" s="34">
        <f>ROUND(M100,0)</f>
        <v>120000</v>
      </c>
      <c r="O100" s="33">
        <f t="shared" si="39"/>
        <v>0</v>
      </c>
      <c r="P100" s="51"/>
      <c r="Q100" s="33">
        <f>ROUND(N100,0)</f>
        <v>120000</v>
      </c>
      <c r="R100" s="33">
        <f t="shared" si="40"/>
        <v>0</v>
      </c>
      <c r="S100" s="51"/>
      <c r="T100" s="33">
        <f>ROUND(Q100,0)</f>
        <v>120000</v>
      </c>
      <c r="U100" s="33">
        <f t="shared" si="41"/>
        <v>0</v>
      </c>
      <c r="V100" s="51"/>
      <c r="W100" s="33">
        <f>ROUND(T100,0)</f>
        <v>120000</v>
      </c>
      <c r="X100" s="33">
        <f t="shared" si="42"/>
        <v>0</v>
      </c>
      <c r="Y100" s="51"/>
      <c r="Z100" s="33">
        <f>ROUND(W100,0)</f>
        <v>120000</v>
      </c>
      <c r="AA100" s="33">
        <f t="shared" si="43"/>
        <v>0</v>
      </c>
      <c r="AB100" s="51"/>
    </row>
    <row r="101" spans="1:28" x14ac:dyDescent="0.25">
      <c r="B101" s="1" t="s">
        <v>290</v>
      </c>
      <c r="C101" s="83" t="s">
        <v>291</v>
      </c>
      <c r="D101" s="84" t="s">
        <v>292</v>
      </c>
      <c r="E101" s="33"/>
      <c r="F101" s="33"/>
      <c r="G101" s="33"/>
      <c r="H101" s="33"/>
      <c r="I101" s="33"/>
      <c r="J101" s="33"/>
      <c r="K101" s="33">
        <f>[4]PIVOT_2023!H36</f>
        <v>36000</v>
      </c>
      <c r="L101" s="33">
        <f>F101+G101+H101+I101+J101+K101</f>
        <v>36000</v>
      </c>
      <c r="M101" s="34">
        <v>36000</v>
      </c>
      <c r="N101" s="34">
        <f>ROUND(M101,0)</f>
        <v>36000</v>
      </c>
      <c r="O101" s="33">
        <f t="shared" si="39"/>
        <v>0</v>
      </c>
      <c r="P101" s="35"/>
      <c r="Q101" s="33">
        <f>ROUND(N101,0)</f>
        <v>36000</v>
      </c>
      <c r="R101" s="33">
        <f t="shared" si="40"/>
        <v>0</v>
      </c>
      <c r="S101" s="35"/>
      <c r="T101" s="33">
        <f>ROUND(Q101,0)</f>
        <v>36000</v>
      </c>
      <c r="U101" s="33">
        <f t="shared" si="41"/>
        <v>0</v>
      </c>
      <c r="V101" s="35"/>
      <c r="W101" s="33">
        <f>ROUND(T101,0)</f>
        <v>36000</v>
      </c>
      <c r="X101" s="33">
        <f t="shared" si="42"/>
        <v>0</v>
      </c>
      <c r="Y101" s="35"/>
      <c r="Z101" s="33">
        <f>ROUND(W101,0)</f>
        <v>36000</v>
      </c>
      <c r="AA101" s="33">
        <f t="shared" si="43"/>
        <v>0</v>
      </c>
      <c r="AB101" s="35"/>
    </row>
    <row r="102" spans="1:28" x14ac:dyDescent="0.25">
      <c r="C102" s="83" t="s">
        <v>293</v>
      </c>
      <c r="D102" s="73" t="s">
        <v>294</v>
      </c>
      <c r="E102" s="33"/>
      <c r="F102" s="33"/>
      <c r="G102" s="33"/>
      <c r="H102" s="33"/>
      <c r="I102" s="33"/>
      <c r="J102" s="33"/>
      <c r="K102" s="33">
        <f>[4]PIVOT_2023!H37</f>
        <v>1000</v>
      </c>
      <c r="L102" s="33">
        <f>F102+G102+H102+I102+J102+K102</f>
        <v>1000</v>
      </c>
      <c r="M102" s="34">
        <v>1000</v>
      </c>
      <c r="N102" s="34">
        <f>ROUND(M102,0)</f>
        <v>1000</v>
      </c>
      <c r="O102" s="33">
        <f t="shared" si="39"/>
        <v>0</v>
      </c>
      <c r="P102" s="35"/>
      <c r="Q102" s="33">
        <f>ROUND(N102,0)</f>
        <v>1000</v>
      </c>
      <c r="R102" s="33">
        <f t="shared" si="40"/>
        <v>0</v>
      </c>
      <c r="S102" s="35"/>
      <c r="T102" s="33">
        <f>ROUND(Q102,0)</f>
        <v>1000</v>
      </c>
      <c r="U102" s="33">
        <f t="shared" si="41"/>
        <v>0</v>
      </c>
      <c r="V102" s="35"/>
      <c r="W102" s="33">
        <f>ROUND(T102,0)</f>
        <v>1000</v>
      </c>
      <c r="X102" s="33">
        <f t="shared" si="42"/>
        <v>0</v>
      </c>
      <c r="Y102" s="35"/>
      <c r="Z102" s="33">
        <f>ROUND(W102,0)</f>
        <v>1000</v>
      </c>
      <c r="AA102" s="33">
        <f t="shared" si="43"/>
        <v>0</v>
      </c>
      <c r="AB102" s="35"/>
    </row>
    <row r="103" spans="1:28" ht="25.2" customHeight="1" x14ac:dyDescent="0.25">
      <c r="A103" s="1" t="s">
        <v>29</v>
      </c>
      <c r="B103" s="1" t="s">
        <v>295</v>
      </c>
      <c r="C103" s="31" t="s">
        <v>296</v>
      </c>
      <c r="D103" s="32" t="s">
        <v>297</v>
      </c>
      <c r="E103" s="33">
        <f t="shared" ref="E103:N103" si="53">SUM(E104:E106)</f>
        <v>0</v>
      </c>
      <c r="F103" s="33">
        <f t="shared" si="53"/>
        <v>0</v>
      </c>
      <c r="G103" s="33">
        <f t="shared" si="53"/>
        <v>0</v>
      </c>
      <c r="H103" s="33">
        <f t="shared" si="53"/>
        <v>0</v>
      </c>
      <c r="I103" s="33">
        <f t="shared" si="53"/>
        <v>3713551</v>
      </c>
      <c r="J103" s="33">
        <f t="shared" si="53"/>
        <v>0</v>
      </c>
      <c r="K103" s="33">
        <f t="shared" si="53"/>
        <v>112500</v>
      </c>
      <c r="L103" s="33">
        <f t="shared" si="53"/>
        <v>3826051</v>
      </c>
      <c r="M103" s="34">
        <v>3826051</v>
      </c>
      <c r="N103" s="34">
        <f t="shared" si="53"/>
        <v>3826051</v>
      </c>
      <c r="O103" s="33">
        <f t="shared" si="39"/>
        <v>0</v>
      </c>
      <c r="P103" s="51"/>
      <c r="Q103" s="33">
        <f>SUM(Q104:Q106)</f>
        <v>3826051</v>
      </c>
      <c r="R103" s="33">
        <f t="shared" si="40"/>
        <v>0</v>
      </c>
      <c r="S103" s="51"/>
      <c r="T103" s="33">
        <f>SUM(T104:T106)</f>
        <v>3562551</v>
      </c>
      <c r="U103" s="33">
        <f t="shared" si="41"/>
        <v>-263500</v>
      </c>
      <c r="V103" s="51"/>
      <c r="W103" s="33">
        <f>SUM(W104:W106)</f>
        <v>3562551</v>
      </c>
      <c r="X103" s="33">
        <f t="shared" si="42"/>
        <v>0</v>
      </c>
      <c r="Y103" s="51"/>
      <c r="Z103" s="33">
        <f>SUM(Z104:Z106)</f>
        <v>3567551</v>
      </c>
      <c r="AA103" s="33">
        <f t="shared" si="43"/>
        <v>5000</v>
      </c>
      <c r="AB103" s="51"/>
    </row>
    <row r="104" spans="1:28" ht="16.5" customHeight="1" x14ac:dyDescent="0.25">
      <c r="A104" s="66" t="s">
        <v>298</v>
      </c>
      <c r="C104" s="83" t="s">
        <v>299</v>
      </c>
      <c r="D104" s="84" t="s">
        <v>297</v>
      </c>
      <c r="E104" s="33"/>
      <c r="F104" s="33"/>
      <c r="G104" s="33"/>
      <c r="H104" s="33"/>
      <c r="I104" s="33"/>
      <c r="J104" s="33"/>
      <c r="K104" s="33">
        <f>[4]PIVOT_2023!H39</f>
        <v>110000</v>
      </c>
      <c r="L104" s="33">
        <f>F104+G104+H104+I104+J104+K104</f>
        <v>110000</v>
      </c>
      <c r="M104" s="34">
        <v>110000</v>
      </c>
      <c r="N104" s="34">
        <f>ROUND(M104,0)</f>
        <v>110000</v>
      </c>
      <c r="O104" s="33">
        <f t="shared" si="39"/>
        <v>0</v>
      </c>
      <c r="P104" s="35"/>
      <c r="Q104" s="33">
        <f>ROUND(N104,0)</f>
        <v>110000</v>
      </c>
      <c r="R104" s="33">
        <f t="shared" si="40"/>
        <v>0</v>
      </c>
      <c r="S104" s="35"/>
      <c r="T104" s="33">
        <f>ROUND(Q104,0)</f>
        <v>110000</v>
      </c>
      <c r="U104" s="33">
        <f t="shared" si="41"/>
        <v>0</v>
      </c>
      <c r="V104" s="35"/>
      <c r="W104" s="33">
        <f>ROUND(T104,0)</f>
        <v>110000</v>
      </c>
      <c r="X104" s="33">
        <f t="shared" si="42"/>
        <v>0</v>
      </c>
      <c r="Y104" s="35"/>
      <c r="Z104" s="33">
        <f>ROUND(W104,0)+5000</f>
        <v>115000</v>
      </c>
      <c r="AA104" s="33">
        <f t="shared" si="43"/>
        <v>5000</v>
      </c>
      <c r="AB104" s="35" t="s">
        <v>300</v>
      </c>
    </row>
    <row r="105" spans="1:28" ht="16.5" customHeight="1" x14ac:dyDescent="0.25">
      <c r="C105" s="83" t="s">
        <v>301</v>
      </c>
      <c r="D105" s="84" t="s">
        <v>302</v>
      </c>
      <c r="E105" s="33"/>
      <c r="F105" s="33"/>
      <c r="G105" s="33"/>
      <c r="H105" s="33"/>
      <c r="I105" s="33"/>
      <c r="J105" s="33"/>
      <c r="K105" s="33">
        <f>[4]PIVOT_2023!H40</f>
        <v>2500</v>
      </c>
      <c r="L105" s="33">
        <f>F105+G105+H105+I105+J105+K105</f>
        <v>2500</v>
      </c>
      <c r="M105" s="34">
        <v>2500</v>
      </c>
      <c r="N105" s="34">
        <f>ROUND(M105,0)</f>
        <v>2500</v>
      </c>
      <c r="O105" s="33">
        <f t="shared" si="39"/>
        <v>0</v>
      </c>
      <c r="P105" s="35"/>
      <c r="Q105" s="33">
        <f>ROUND(N105,0)</f>
        <v>2500</v>
      </c>
      <c r="R105" s="33">
        <f t="shared" si="40"/>
        <v>0</v>
      </c>
      <c r="S105" s="35"/>
      <c r="T105" s="33">
        <f>ROUND(Q105,0)</f>
        <v>2500</v>
      </c>
      <c r="U105" s="33">
        <f t="shared" si="41"/>
        <v>0</v>
      </c>
      <c r="V105" s="35"/>
      <c r="W105" s="33">
        <f>ROUND(T105,0)</f>
        <v>2500</v>
      </c>
      <c r="X105" s="33">
        <f t="shared" si="42"/>
        <v>0</v>
      </c>
      <c r="Y105" s="35"/>
      <c r="Z105" s="33">
        <f>ROUND(W105,0)</f>
        <v>2500</v>
      </c>
      <c r="AA105" s="33">
        <f t="shared" si="43"/>
        <v>0</v>
      </c>
      <c r="AB105" s="35"/>
    </row>
    <row r="106" spans="1:28" ht="28.95" customHeight="1" x14ac:dyDescent="0.25">
      <c r="C106" s="83" t="s">
        <v>303</v>
      </c>
      <c r="D106" s="84" t="s">
        <v>304</v>
      </c>
      <c r="E106" s="33"/>
      <c r="F106" s="33"/>
      <c r="G106" s="33"/>
      <c r="H106" s="33"/>
      <c r="I106" s="86">
        <f>[4]PIVOT_2023!H41</f>
        <v>3713551</v>
      </c>
      <c r="J106" s="33"/>
      <c r="K106" s="33"/>
      <c r="L106" s="33">
        <f>F106+G106+H106+I106+J106+K106</f>
        <v>3713551</v>
      </c>
      <c r="M106" s="34">
        <v>3713551</v>
      </c>
      <c r="N106" s="34">
        <f>ROUND(M106,0)</f>
        <v>3713551</v>
      </c>
      <c r="O106" s="33">
        <f t="shared" si="39"/>
        <v>0</v>
      </c>
      <c r="P106" s="35"/>
      <c r="Q106" s="33">
        <f>ROUND(N106,0)</f>
        <v>3713551</v>
      </c>
      <c r="R106" s="33">
        <f t="shared" si="40"/>
        <v>0</v>
      </c>
      <c r="S106" s="35"/>
      <c r="T106" s="33">
        <f>ROUND(Q106,0)-263500</f>
        <v>3450051</v>
      </c>
      <c r="U106" s="33">
        <f t="shared" si="41"/>
        <v>-263500</v>
      </c>
      <c r="V106" s="51" t="s">
        <v>194</v>
      </c>
      <c r="W106" s="33">
        <f>ROUND(T106,0)</f>
        <v>3450051</v>
      </c>
      <c r="X106" s="33">
        <f t="shared" si="42"/>
        <v>0</v>
      </c>
      <c r="Y106" s="51"/>
      <c r="Z106" s="33">
        <f>ROUND(W106,0)</f>
        <v>3450051</v>
      </c>
      <c r="AA106" s="33">
        <f t="shared" si="43"/>
        <v>0</v>
      </c>
      <c r="AB106" s="51"/>
    </row>
    <row r="107" spans="1:28" ht="18" customHeight="1" thickBot="1" x14ac:dyDescent="0.35">
      <c r="A107" s="1" t="s">
        <v>29</v>
      </c>
      <c r="B107" s="44" t="s">
        <v>305</v>
      </c>
      <c r="C107" s="31" t="s">
        <v>306</v>
      </c>
      <c r="D107" s="32" t="s">
        <v>307</v>
      </c>
      <c r="E107" s="33"/>
      <c r="F107" s="33"/>
      <c r="G107" s="33"/>
      <c r="H107" s="33"/>
      <c r="I107" s="86">
        <f>75000+25000</f>
        <v>100000</v>
      </c>
      <c r="J107" s="33"/>
      <c r="K107" s="33">
        <f>[4]PIVOT_2023!H42-SUM(E107:J107)</f>
        <v>2000</v>
      </c>
      <c r="L107" s="33">
        <f>F107+G107+H107+I107+J107+K107</f>
        <v>102000</v>
      </c>
      <c r="M107" s="34">
        <v>102000</v>
      </c>
      <c r="N107" s="34">
        <f>ROUND(M107,0)</f>
        <v>102000</v>
      </c>
      <c r="O107" s="33">
        <f t="shared" si="39"/>
        <v>0</v>
      </c>
      <c r="P107" s="35"/>
      <c r="Q107" s="33">
        <f>ROUND(N107,0)</f>
        <v>102000</v>
      </c>
      <c r="R107" s="33">
        <f t="shared" si="40"/>
        <v>0</v>
      </c>
      <c r="S107" s="35"/>
      <c r="T107" s="33">
        <f>ROUND(Q107,0)</f>
        <v>102000</v>
      </c>
      <c r="U107" s="33">
        <f t="shared" si="41"/>
        <v>0</v>
      </c>
      <c r="V107" s="35"/>
      <c r="W107" s="33">
        <f>ROUND(T107,0)</f>
        <v>102000</v>
      </c>
      <c r="X107" s="33">
        <f t="shared" si="42"/>
        <v>0</v>
      </c>
      <c r="Y107" s="35"/>
      <c r="Z107" s="33">
        <f>ROUND(W107,0)</f>
        <v>102000</v>
      </c>
      <c r="AA107" s="33">
        <f t="shared" si="43"/>
        <v>0</v>
      </c>
      <c r="AB107" s="35"/>
    </row>
    <row r="108" spans="1:28" ht="15" customHeight="1" thickBot="1" x14ac:dyDescent="0.3">
      <c r="C108" s="87"/>
      <c r="D108" s="88" t="s">
        <v>308</v>
      </c>
      <c r="E108" s="89">
        <f t="shared" ref="E108:N108" si="54">E7+E11+E14+E17+E20+E23+E36+E39+E43+E44+E89+E92</f>
        <v>1450963.94</v>
      </c>
      <c r="F108" s="89">
        <f t="shared" si="54"/>
        <v>7953316</v>
      </c>
      <c r="G108" s="89">
        <f t="shared" si="54"/>
        <v>1660824.49</v>
      </c>
      <c r="H108" s="89">
        <f t="shared" si="54"/>
        <v>0</v>
      </c>
      <c r="I108" s="89">
        <f t="shared" si="54"/>
        <v>3813551</v>
      </c>
      <c r="J108" s="89">
        <f t="shared" si="54"/>
        <v>0</v>
      </c>
      <c r="K108" s="89">
        <f t="shared" si="54"/>
        <v>32725680</v>
      </c>
      <c r="L108" s="89">
        <f t="shared" si="54"/>
        <v>46153371.490000002</v>
      </c>
      <c r="M108" s="90">
        <v>46153371.490000002</v>
      </c>
      <c r="N108" s="90">
        <f t="shared" si="54"/>
        <v>46211727</v>
      </c>
      <c r="O108" s="89">
        <f t="shared" si="39"/>
        <v>58355.509999997914</v>
      </c>
      <c r="P108" s="91"/>
      <c r="Q108" s="89">
        <f>Q7+Q11+Q14+Q17+Q20+Q23+Q36+Q39+Q43+Q44+Q89+Q92</f>
        <v>46579708</v>
      </c>
      <c r="R108" s="89">
        <f t="shared" si="40"/>
        <v>367981</v>
      </c>
      <c r="S108" s="91"/>
      <c r="T108" s="89">
        <f>T7+T11+T14+T17+T20+T23+T36+T39+T43+T44+T89+T92</f>
        <v>46656159</v>
      </c>
      <c r="U108" s="89">
        <f t="shared" si="41"/>
        <v>76451</v>
      </c>
      <c r="V108" s="91"/>
      <c r="W108" s="89">
        <f>W7+W11+W14+W17+W20+W23+W36+W39+W43+W44+W89+W92</f>
        <v>46706159</v>
      </c>
      <c r="X108" s="89">
        <f t="shared" si="42"/>
        <v>50000</v>
      </c>
      <c r="Y108" s="91"/>
      <c r="Z108" s="89">
        <f>Z7+Z11+Z14+Z17+Z20+Z23+Z36+Z39+Z43+Z44+Z89+Z92</f>
        <v>46901505</v>
      </c>
      <c r="AA108" s="89">
        <f t="shared" si="43"/>
        <v>195346</v>
      </c>
      <c r="AB108" s="91"/>
    </row>
    <row r="109" spans="1:28" ht="14.4" thickBot="1" x14ac:dyDescent="0.3">
      <c r="C109" s="92" t="s">
        <v>309</v>
      </c>
      <c r="D109" s="93" t="s">
        <v>310</v>
      </c>
      <c r="E109" s="94">
        <f>SUM(E110:E111)</f>
        <v>1450963.94</v>
      </c>
      <c r="F109" s="94">
        <f t="shared" ref="F109:L109" si="55">SUM(F110:F111)</f>
        <v>0</v>
      </c>
      <c r="G109" s="94">
        <f t="shared" si="55"/>
        <v>0</v>
      </c>
      <c r="H109" s="94">
        <f t="shared" si="55"/>
        <v>0</v>
      </c>
      <c r="I109" s="94">
        <f>SUM(I110:I111)</f>
        <v>0</v>
      </c>
      <c r="J109" s="94">
        <f t="shared" si="55"/>
        <v>0</v>
      </c>
      <c r="K109" s="94">
        <f t="shared" si="55"/>
        <v>0</v>
      </c>
      <c r="L109" s="94">
        <f t="shared" si="55"/>
        <v>7741520.8000000007</v>
      </c>
      <c r="M109" s="95">
        <v>7741521.0000000009</v>
      </c>
      <c r="N109" s="95">
        <f>SUM(N110:N111)</f>
        <v>7741521</v>
      </c>
      <c r="O109" s="94">
        <f t="shared" si="39"/>
        <v>0</v>
      </c>
      <c r="P109" s="96"/>
      <c r="Q109" s="94">
        <f>SUM(Q110:Q111)</f>
        <v>7741521</v>
      </c>
      <c r="R109" s="94">
        <f t="shared" si="40"/>
        <v>0</v>
      </c>
      <c r="S109" s="96"/>
      <c r="T109" s="94">
        <f>SUM(T110:T111)</f>
        <v>7741521</v>
      </c>
      <c r="U109" s="94">
        <f t="shared" si="41"/>
        <v>0</v>
      </c>
      <c r="V109" s="96"/>
      <c r="W109" s="94">
        <f>SUM(W110:W111)</f>
        <v>7741521</v>
      </c>
      <c r="X109" s="94">
        <f t="shared" si="42"/>
        <v>0</v>
      </c>
      <c r="Y109" s="96"/>
      <c r="Z109" s="94">
        <f>SUM(Z110:Z111)</f>
        <v>7741521</v>
      </c>
      <c r="AA109" s="94">
        <f t="shared" si="43"/>
        <v>0</v>
      </c>
      <c r="AB109" s="96"/>
    </row>
    <row r="110" spans="1:28" ht="17.25" customHeight="1" x14ac:dyDescent="0.25">
      <c r="C110" s="31" t="s">
        <v>311</v>
      </c>
      <c r="D110" s="32" t="s">
        <v>312</v>
      </c>
      <c r="E110" s="33">
        <f>E108</f>
        <v>1450963.94</v>
      </c>
      <c r="F110" s="33"/>
      <c r="G110" s="33"/>
      <c r="H110" s="33"/>
      <c r="I110" s="33"/>
      <c r="J110" s="33"/>
      <c r="K110" s="33"/>
      <c r="L110" s="33">
        <f>E110</f>
        <v>1450963.94</v>
      </c>
      <c r="M110" s="34">
        <v>1454963.94</v>
      </c>
      <c r="N110" s="34">
        <f>ROUND(M110,0)</f>
        <v>1454964</v>
      </c>
      <c r="O110" s="33">
        <f t="shared" si="39"/>
        <v>6.0000000055879354E-2</v>
      </c>
      <c r="P110" s="51"/>
      <c r="Q110" s="33">
        <f>ROUND(N110,0)</f>
        <v>1454964</v>
      </c>
      <c r="R110" s="33">
        <f t="shared" si="40"/>
        <v>0</v>
      </c>
      <c r="S110" s="51"/>
      <c r="T110" s="33">
        <f>ROUND(Q110,0)</f>
        <v>1454964</v>
      </c>
      <c r="U110" s="33">
        <f t="shared" si="41"/>
        <v>0</v>
      </c>
      <c r="V110" s="51"/>
      <c r="W110" s="33">
        <f>ROUND(T110,0)</f>
        <v>1454964</v>
      </c>
      <c r="X110" s="33">
        <f t="shared" si="42"/>
        <v>0</v>
      </c>
      <c r="Y110" s="51"/>
      <c r="Z110" s="33">
        <f>ROUND(W110,0)</f>
        <v>1454964</v>
      </c>
      <c r="AA110" s="33">
        <f t="shared" si="43"/>
        <v>0</v>
      </c>
      <c r="AB110" s="51"/>
    </row>
    <row r="111" spans="1:28" x14ac:dyDescent="0.25">
      <c r="C111" s="31" t="s">
        <v>313</v>
      </c>
      <c r="D111" s="32" t="s">
        <v>314</v>
      </c>
      <c r="E111" s="33"/>
      <c r="F111" s="33"/>
      <c r="G111" s="33"/>
      <c r="H111" s="33"/>
      <c r="I111" s="33"/>
      <c r="J111" s="33"/>
      <c r="K111" s="33"/>
      <c r="L111" s="33">
        <f>'[4]31122022_final'!E81+'[4]31122022_final'!J103+'[4]31122022_final'!E7-'2023.gada budzeta plans_apvieno'!L110</f>
        <v>6290556.8600000013</v>
      </c>
      <c r="M111" s="34">
        <v>6286556.8600000013</v>
      </c>
      <c r="N111" s="34">
        <f>ROUND(M111,0)</f>
        <v>6286557</v>
      </c>
      <c r="O111" s="33">
        <f t="shared" si="39"/>
        <v>0.1399999987334013</v>
      </c>
      <c r="P111" s="35"/>
      <c r="Q111" s="33">
        <f>ROUND(N111,0)</f>
        <v>6286557</v>
      </c>
      <c r="R111" s="33">
        <f t="shared" si="40"/>
        <v>0</v>
      </c>
      <c r="S111" s="35"/>
      <c r="T111" s="33">
        <f>ROUND(Q111,0)</f>
        <v>6286557</v>
      </c>
      <c r="U111" s="33">
        <f t="shared" si="41"/>
        <v>0</v>
      </c>
      <c r="V111" s="35"/>
      <c r="W111" s="33">
        <f>ROUND(T111,0)</f>
        <v>6286557</v>
      </c>
      <c r="X111" s="33">
        <f t="shared" si="42"/>
        <v>0</v>
      </c>
      <c r="Y111" s="35"/>
      <c r="Z111" s="33">
        <f>ROUND(W111,0)</f>
        <v>6286557</v>
      </c>
      <c r="AA111" s="33">
        <f t="shared" si="43"/>
        <v>0</v>
      </c>
      <c r="AB111" s="35"/>
    </row>
    <row r="112" spans="1:28" x14ac:dyDescent="0.25">
      <c r="C112" s="53" t="s">
        <v>315</v>
      </c>
      <c r="D112" s="97" t="s">
        <v>316</v>
      </c>
      <c r="E112" s="98">
        <f>SUM(E113:E124)</f>
        <v>0</v>
      </c>
      <c r="F112" s="98">
        <f t="shared" ref="F112:L112" si="56">SUM(F113:F124)</f>
        <v>0</v>
      </c>
      <c r="G112" s="98">
        <f t="shared" si="56"/>
        <v>0</v>
      </c>
      <c r="H112" s="98">
        <f>SUM(H113:H124)</f>
        <v>4267404.0022</v>
      </c>
      <c r="I112" s="98">
        <f t="shared" si="56"/>
        <v>0</v>
      </c>
      <c r="J112" s="98">
        <f t="shared" si="56"/>
        <v>0</v>
      </c>
      <c r="K112" s="98">
        <f t="shared" si="56"/>
        <v>0</v>
      </c>
      <c r="L112" s="98">
        <f t="shared" si="56"/>
        <v>4267404.0022</v>
      </c>
      <c r="M112" s="99">
        <v>4267403.7422000002</v>
      </c>
      <c r="N112" s="99">
        <f>SUM(N113:N125)</f>
        <v>4267404</v>
      </c>
      <c r="O112" s="39">
        <f t="shared" si="39"/>
        <v>0.25779999978840351</v>
      </c>
      <c r="P112" s="41"/>
      <c r="Q112" s="98">
        <f>SUM(Q113:Q125)</f>
        <v>4393404</v>
      </c>
      <c r="R112" s="39">
        <f t="shared" si="40"/>
        <v>126000</v>
      </c>
      <c r="S112" s="41"/>
      <c r="T112" s="98">
        <f>SUM(T113:T125)</f>
        <v>4477904</v>
      </c>
      <c r="U112" s="39">
        <f t="shared" si="41"/>
        <v>84500</v>
      </c>
      <c r="V112" s="41"/>
      <c r="W112" s="98">
        <f>SUM(W113:W126)</f>
        <v>4545904</v>
      </c>
      <c r="X112" s="39">
        <f t="shared" si="42"/>
        <v>68000</v>
      </c>
      <c r="Y112" s="41"/>
      <c r="Z112" s="98">
        <f>SUM(Z113:Z126)</f>
        <v>2799669</v>
      </c>
      <c r="AA112" s="39">
        <f t="shared" si="43"/>
        <v>-1746235</v>
      </c>
      <c r="AB112" s="41"/>
    </row>
    <row r="113" spans="1:28" ht="41.4" x14ac:dyDescent="0.25">
      <c r="A113" s="66"/>
      <c r="B113" s="66"/>
      <c r="C113" s="83" t="s">
        <v>317</v>
      </c>
      <c r="D113" s="100" t="s">
        <v>244</v>
      </c>
      <c r="E113" s="101"/>
      <c r="F113" s="101"/>
      <c r="G113" s="101"/>
      <c r="H113" s="102">
        <f>[4]Investīcijas_2023!L52</f>
        <v>59922</v>
      </c>
      <c r="I113" s="101"/>
      <c r="J113" s="101"/>
      <c r="K113" s="101"/>
      <c r="L113" s="33">
        <f t="shared" ref="L113:L125" si="57">F113+G113+H113+I113+J113+K113</f>
        <v>59922</v>
      </c>
      <c r="M113" s="34">
        <v>59922</v>
      </c>
      <c r="N113" s="34">
        <f t="shared" ref="N113:N124" si="58">ROUND(M113,0)</f>
        <v>59922</v>
      </c>
      <c r="O113" s="103">
        <f t="shared" si="39"/>
        <v>0</v>
      </c>
      <c r="P113" s="45"/>
      <c r="Q113" s="33">
        <f t="shared" ref="Q113:Q124" si="59">ROUND(N113,0)</f>
        <v>59922</v>
      </c>
      <c r="R113" s="103">
        <f t="shared" si="40"/>
        <v>0</v>
      </c>
      <c r="S113" s="45"/>
      <c r="T113" s="33">
        <f t="shared" ref="T113:T124" si="60">ROUND(Q113,0)</f>
        <v>59922</v>
      </c>
      <c r="U113" s="103">
        <f t="shared" si="41"/>
        <v>0</v>
      </c>
      <c r="V113" s="45"/>
      <c r="W113" s="33">
        <f t="shared" ref="W113:W122" si="61">ROUND(T113,0)</f>
        <v>59922</v>
      </c>
      <c r="X113" s="103">
        <f t="shared" si="42"/>
        <v>0</v>
      </c>
      <c r="Y113" s="45"/>
      <c r="Z113" s="33">
        <f t="shared" ref="Z113:Z121" si="62">ROUND(W113,0)</f>
        <v>59922</v>
      </c>
      <c r="AA113" s="103">
        <f t="shared" si="43"/>
        <v>0</v>
      </c>
      <c r="AB113" s="45"/>
    </row>
    <row r="114" spans="1:28" x14ac:dyDescent="0.25">
      <c r="A114" s="66"/>
      <c r="B114" s="66"/>
      <c r="C114" s="83" t="s">
        <v>318</v>
      </c>
      <c r="D114" s="100" t="s">
        <v>246</v>
      </c>
      <c r="E114" s="101"/>
      <c r="F114" s="101"/>
      <c r="G114" s="101"/>
      <c r="H114" s="102">
        <f>[4]Investīcijas_2023!L53</f>
        <v>207089</v>
      </c>
      <c r="I114" s="101"/>
      <c r="J114" s="101"/>
      <c r="K114" s="101"/>
      <c r="L114" s="33">
        <f t="shared" si="57"/>
        <v>207089</v>
      </c>
      <c r="M114" s="34">
        <v>207089</v>
      </c>
      <c r="N114" s="34">
        <f t="shared" si="58"/>
        <v>207089</v>
      </c>
      <c r="O114" s="103">
        <f t="shared" si="39"/>
        <v>0</v>
      </c>
      <c r="P114" s="45"/>
      <c r="Q114" s="33">
        <f t="shared" si="59"/>
        <v>207089</v>
      </c>
      <c r="R114" s="103">
        <f t="shared" si="40"/>
        <v>0</v>
      </c>
      <c r="S114" s="45"/>
      <c r="T114" s="33">
        <f t="shared" si="60"/>
        <v>207089</v>
      </c>
      <c r="U114" s="103">
        <f t="shared" si="41"/>
        <v>0</v>
      </c>
      <c r="V114" s="45"/>
      <c r="W114" s="33">
        <f t="shared" si="61"/>
        <v>207089</v>
      </c>
      <c r="X114" s="103">
        <f t="shared" si="42"/>
        <v>0</v>
      </c>
      <c r="Y114" s="45"/>
      <c r="Z114" s="33">
        <f t="shared" si="62"/>
        <v>207089</v>
      </c>
      <c r="AA114" s="103">
        <f t="shared" si="43"/>
        <v>0</v>
      </c>
      <c r="AB114" s="45"/>
    </row>
    <row r="115" spans="1:28" ht="44.4" customHeight="1" x14ac:dyDescent="0.25">
      <c r="A115" s="66"/>
      <c r="B115" s="66"/>
      <c r="C115" s="83" t="s">
        <v>319</v>
      </c>
      <c r="D115" s="104" t="s">
        <v>320</v>
      </c>
      <c r="E115" s="101"/>
      <c r="F115" s="101"/>
      <c r="G115" s="101"/>
      <c r="H115" s="102">
        <f>[4]Investīcijas_2023!L54-0.35</f>
        <v>320141.00220000005</v>
      </c>
      <c r="I115" s="101"/>
      <c r="J115" s="101"/>
      <c r="K115" s="101"/>
      <c r="L115" s="33">
        <f t="shared" si="57"/>
        <v>320141.00220000005</v>
      </c>
      <c r="M115" s="34">
        <v>320141.35220000002</v>
      </c>
      <c r="N115" s="34">
        <f t="shared" si="58"/>
        <v>320141</v>
      </c>
      <c r="O115" s="103">
        <f t="shared" si="39"/>
        <v>-0.35220000002300367</v>
      </c>
      <c r="P115" s="45"/>
      <c r="Q115" s="33">
        <f t="shared" si="59"/>
        <v>320141</v>
      </c>
      <c r="R115" s="103">
        <f t="shared" si="40"/>
        <v>0</v>
      </c>
      <c r="S115" s="45"/>
      <c r="T115" s="33">
        <f t="shared" si="60"/>
        <v>320141</v>
      </c>
      <c r="U115" s="103">
        <f t="shared" si="41"/>
        <v>0</v>
      </c>
      <c r="V115" s="45"/>
      <c r="W115" s="33">
        <f t="shared" si="61"/>
        <v>320141</v>
      </c>
      <c r="X115" s="103">
        <f t="shared" si="42"/>
        <v>0</v>
      </c>
      <c r="Y115" s="45"/>
      <c r="Z115" s="33">
        <f t="shared" si="62"/>
        <v>320141</v>
      </c>
      <c r="AA115" s="103">
        <f t="shared" si="43"/>
        <v>0</v>
      </c>
      <c r="AB115" s="45"/>
    </row>
    <row r="116" spans="1:28" ht="27.6" x14ac:dyDescent="0.25">
      <c r="A116" s="66" t="s">
        <v>205</v>
      </c>
      <c r="B116" s="66" t="s">
        <v>321</v>
      </c>
      <c r="C116" s="83" t="s">
        <v>322</v>
      </c>
      <c r="D116" s="104" t="s">
        <v>323</v>
      </c>
      <c r="E116" s="101"/>
      <c r="F116" s="101"/>
      <c r="G116" s="101"/>
      <c r="H116" s="102">
        <f>[4]Investīcijas_2023!L57-0.49</f>
        <v>624704</v>
      </c>
      <c r="I116" s="101"/>
      <c r="J116" s="101"/>
      <c r="K116" s="101"/>
      <c r="L116" s="33">
        <f t="shared" si="57"/>
        <v>624704</v>
      </c>
      <c r="M116" s="34">
        <v>624704.49</v>
      </c>
      <c r="N116" s="34">
        <f t="shared" si="58"/>
        <v>624704</v>
      </c>
      <c r="O116" s="103">
        <f t="shared" si="39"/>
        <v>-0.48999999999068677</v>
      </c>
      <c r="P116" s="43"/>
      <c r="Q116" s="33">
        <f t="shared" si="59"/>
        <v>624704</v>
      </c>
      <c r="R116" s="103">
        <f t="shared" si="40"/>
        <v>0</v>
      </c>
      <c r="S116" s="43"/>
      <c r="T116" s="33">
        <f t="shared" si="60"/>
        <v>624704</v>
      </c>
      <c r="U116" s="103">
        <f t="shared" si="41"/>
        <v>0</v>
      </c>
      <c r="V116" s="43"/>
      <c r="W116" s="33">
        <f t="shared" si="61"/>
        <v>624704</v>
      </c>
      <c r="X116" s="103">
        <f t="shared" si="42"/>
        <v>0</v>
      </c>
      <c r="Y116" s="43"/>
      <c r="Z116" s="33">
        <f t="shared" si="62"/>
        <v>624704</v>
      </c>
      <c r="AA116" s="103">
        <f t="shared" si="43"/>
        <v>0</v>
      </c>
      <c r="AB116" s="43"/>
    </row>
    <row r="117" spans="1:28" ht="30" customHeight="1" x14ac:dyDescent="0.25">
      <c r="A117" s="66"/>
      <c r="B117" s="66"/>
      <c r="C117" s="83" t="s">
        <v>324</v>
      </c>
      <c r="D117" s="104" t="s">
        <v>210</v>
      </c>
      <c r="E117" s="101"/>
      <c r="F117" s="101"/>
      <c r="G117" s="101"/>
      <c r="H117" s="102">
        <f>[4]Investīcijas_2023!L62+0.1</f>
        <v>37335</v>
      </c>
      <c r="I117" s="101"/>
      <c r="J117" s="101"/>
      <c r="K117" s="101"/>
      <c r="L117" s="33">
        <f t="shared" si="57"/>
        <v>37335</v>
      </c>
      <c r="M117" s="34">
        <v>37334.9</v>
      </c>
      <c r="N117" s="34">
        <f t="shared" si="58"/>
        <v>37335</v>
      </c>
      <c r="O117" s="103">
        <f t="shared" si="39"/>
        <v>9.9999999998544808E-2</v>
      </c>
      <c r="P117" s="43"/>
      <c r="Q117" s="33">
        <f t="shared" si="59"/>
        <v>37335</v>
      </c>
      <c r="R117" s="103">
        <f t="shared" si="40"/>
        <v>0</v>
      </c>
      <c r="S117" s="43"/>
      <c r="T117" s="33">
        <f t="shared" si="60"/>
        <v>37335</v>
      </c>
      <c r="U117" s="103">
        <f t="shared" si="41"/>
        <v>0</v>
      </c>
      <c r="V117" s="43"/>
      <c r="W117" s="33">
        <f t="shared" si="61"/>
        <v>37335</v>
      </c>
      <c r="X117" s="103">
        <f t="shared" si="42"/>
        <v>0</v>
      </c>
      <c r="Y117" s="43"/>
      <c r="Z117" s="33">
        <f t="shared" si="62"/>
        <v>37335</v>
      </c>
      <c r="AA117" s="103">
        <f t="shared" si="43"/>
        <v>0</v>
      </c>
      <c r="AB117" s="43"/>
    </row>
    <row r="118" spans="1:28" x14ac:dyDescent="0.25">
      <c r="B118" s="66"/>
      <c r="C118" s="83" t="s">
        <v>325</v>
      </c>
      <c r="D118" s="104" t="s">
        <v>326</v>
      </c>
      <c r="E118" s="101"/>
      <c r="F118" s="101"/>
      <c r="G118" s="101"/>
      <c r="H118" s="102">
        <f>[4]Investīcijas_2023!L66</f>
        <v>582946</v>
      </c>
      <c r="I118" s="101"/>
      <c r="J118" s="101"/>
      <c r="K118" s="101"/>
      <c r="L118" s="101">
        <f t="shared" si="57"/>
        <v>582946</v>
      </c>
      <c r="M118" s="105">
        <v>582946</v>
      </c>
      <c r="N118" s="105">
        <f t="shared" si="58"/>
        <v>582946</v>
      </c>
      <c r="O118" s="106">
        <f t="shared" si="39"/>
        <v>0</v>
      </c>
      <c r="P118" s="107"/>
      <c r="Q118" s="101">
        <f>ROUND(N118,0)</f>
        <v>582946</v>
      </c>
      <c r="R118" s="106">
        <f t="shared" si="40"/>
        <v>0</v>
      </c>
      <c r="S118" s="45"/>
      <c r="T118" s="101">
        <f t="shared" si="60"/>
        <v>582946</v>
      </c>
      <c r="U118" s="106">
        <f t="shared" si="41"/>
        <v>0</v>
      </c>
      <c r="V118" s="45"/>
      <c r="W118" s="101">
        <f t="shared" si="61"/>
        <v>582946</v>
      </c>
      <c r="X118" s="106">
        <f t="shared" si="42"/>
        <v>0</v>
      </c>
      <c r="Y118" s="45"/>
      <c r="Z118" s="101">
        <f t="shared" si="62"/>
        <v>582946</v>
      </c>
      <c r="AA118" s="106">
        <f t="shared" si="43"/>
        <v>0</v>
      </c>
      <c r="AB118" s="45"/>
    </row>
    <row r="119" spans="1:28" ht="45" customHeight="1" x14ac:dyDescent="0.25">
      <c r="B119" s="66"/>
      <c r="C119" s="83" t="s">
        <v>327</v>
      </c>
      <c r="D119" s="108" t="s">
        <v>328</v>
      </c>
      <c r="E119" s="109"/>
      <c r="F119" s="109"/>
      <c r="G119" s="109"/>
      <c r="H119" s="110">
        <f>[4]Investīcijas_2023!L68</f>
        <v>390000</v>
      </c>
      <c r="I119" s="109"/>
      <c r="J119" s="109"/>
      <c r="K119" s="109"/>
      <c r="L119" s="109">
        <f t="shared" si="57"/>
        <v>390000</v>
      </c>
      <c r="M119" s="111">
        <v>390000</v>
      </c>
      <c r="N119" s="105">
        <f t="shared" si="58"/>
        <v>390000</v>
      </c>
      <c r="O119" s="106">
        <f t="shared" si="39"/>
        <v>0</v>
      </c>
      <c r="P119" s="107"/>
      <c r="Q119" s="101">
        <f t="shared" si="59"/>
        <v>390000</v>
      </c>
      <c r="R119" s="106">
        <f t="shared" si="40"/>
        <v>0</v>
      </c>
      <c r="S119" s="45"/>
      <c r="T119" s="101">
        <f t="shared" si="60"/>
        <v>390000</v>
      </c>
      <c r="U119" s="106">
        <f t="shared" si="41"/>
        <v>0</v>
      </c>
      <c r="V119" s="43"/>
      <c r="W119" s="101">
        <f t="shared" si="61"/>
        <v>390000</v>
      </c>
      <c r="X119" s="106">
        <f t="shared" si="42"/>
        <v>0</v>
      </c>
      <c r="Y119" s="43"/>
      <c r="Z119" s="101">
        <f t="shared" si="62"/>
        <v>390000</v>
      </c>
      <c r="AA119" s="106">
        <f t="shared" si="43"/>
        <v>0</v>
      </c>
      <c r="AB119" s="43"/>
    </row>
    <row r="120" spans="1:28" ht="16.2" customHeight="1" x14ac:dyDescent="0.25">
      <c r="B120" s="66"/>
      <c r="C120" s="83" t="s">
        <v>329</v>
      </c>
      <c r="D120" s="112" t="s">
        <v>330</v>
      </c>
      <c r="E120" s="113"/>
      <c r="F120" s="113"/>
      <c r="G120" s="113"/>
      <c r="H120" s="114">
        <f>[4]Investīcijas_2023!L235</f>
        <v>645000</v>
      </c>
      <c r="I120" s="113"/>
      <c r="J120" s="113"/>
      <c r="K120" s="113"/>
      <c r="L120" s="113">
        <f t="shared" si="57"/>
        <v>645000</v>
      </c>
      <c r="M120" s="115">
        <v>645000</v>
      </c>
      <c r="N120" s="105">
        <f t="shared" si="58"/>
        <v>645000</v>
      </c>
      <c r="O120" s="106">
        <f t="shared" si="39"/>
        <v>0</v>
      </c>
      <c r="P120" s="107"/>
      <c r="Q120" s="101">
        <f t="shared" si="59"/>
        <v>645000</v>
      </c>
      <c r="R120" s="106">
        <f t="shared" si="40"/>
        <v>0</v>
      </c>
      <c r="S120" s="45"/>
      <c r="T120" s="101">
        <f t="shared" si="60"/>
        <v>645000</v>
      </c>
      <c r="U120" s="106">
        <f t="shared" si="41"/>
        <v>0</v>
      </c>
      <c r="V120" s="43"/>
      <c r="W120" s="101">
        <f t="shared" si="61"/>
        <v>645000</v>
      </c>
      <c r="X120" s="106">
        <f t="shared" si="42"/>
        <v>0</v>
      </c>
      <c r="Y120" s="43"/>
      <c r="Z120" s="101">
        <f>ROUND(W120,0)-645000</f>
        <v>0</v>
      </c>
      <c r="AA120" s="106">
        <f t="shared" si="43"/>
        <v>-645000</v>
      </c>
      <c r="AB120" s="43" t="s">
        <v>331</v>
      </c>
    </row>
    <row r="121" spans="1:28" ht="16.2" customHeight="1" x14ac:dyDescent="0.25">
      <c r="B121" s="66" t="s">
        <v>249</v>
      </c>
      <c r="C121" s="83" t="s">
        <v>332</v>
      </c>
      <c r="D121" s="112" t="s">
        <v>251</v>
      </c>
      <c r="E121" s="113"/>
      <c r="F121" s="113"/>
      <c r="G121" s="113"/>
      <c r="H121" s="114">
        <v>164032</v>
      </c>
      <c r="I121" s="113"/>
      <c r="J121" s="113"/>
      <c r="K121" s="113"/>
      <c r="L121" s="113">
        <f t="shared" si="57"/>
        <v>164032</v>
      </c>
      <c r="M121" s="116">
        <v>164032</v>
      </c>
      <c r="N121" s="105">
        <f t="shared" si="58"/>
        <v>164032</v>
      </c>
      <c r="O121" s="106">
        <f t="shared" si="39"/>
        <v>0</v>
      </c>
      <c r="P121" s="107"/>
      <c r="Q121" s="101">
        <f t="shared" si="59"/>
        <v>164032</v>
      </c>
      <c r="R121" s="106">
        <f t="shared" si="40"/>
        <v>0</v>
      </c>
      <c r="S121" s="45"/>
      <c r="T121" s="101">
        <f t="shared" si="60"/>
        <v>164032</v>
      </c>
      <c r="U121" s="106">
        <f t="shared" si="41"/>
        <v>0</v>
      </c>
      <c r="V121" s="43"/>
      <c r="W121" s="101">
        <f t="shared" si="61"/>
        <v>164032</v>
      </c>
      <c r="X121" s="106">
        <f t="shared" si="42"/>
        <v>0</v>
      </c>
      <c r="Y121" s="43"/>
      <c r="Z121" s="101">
        <f t="shared" si="62"/>
        <v>164032</v>
      </c>
      <c r="AA121" s="106">
        <f t="shared" si="43"/>
        <v>0</v>
      </c>
      <c r="AB121" s="43"/>
    </row>
    <row r="122" spans="1:28" ht="27" customHeight="1" x14ac:dyDescent="0.25">
      <c r="B122" s="66"/>
      <c r="C122" s="83" t="s">
        <v>333</v>
      </c>
      <c r="D122" s="112" t="s">
        <v>253</v>
      </c>
      <c r="E122" s="113"/>
      <c r="F122" s="113"/>
      <c r="G122" s="113"/>
      <c r="H122" s="114">
        <v>907235</v>
      </c>
      <c r="I122" s="113"/>
      <c r="J122" s="113"/>
      <c r="K122" s="113"/>
      <c r="L122" s="113">
        <f t="shared" si="57"/>
        <v>907235</v>
      </c>
      <c r="M122" s="116">
        <v>907235</v>
      </c>
      <c r="N122" s="105">
        <f t="shared" si="58"/>
        <v>907235</v>
      </c>
      <c r="O122" s="106">
        <f t="shared" si="39"/>
        <v>0</v>
      </c>
      <c r="P122" s="107"/>
      <c r="Q122" s="101">
        <f t="shared" si="59"/>
        <v>907235</v>
      </c>
      <c r="R122" s="106">
        <f t="shared" si="40"/>
        <v>0</v>
      </c>
      <c r="S122" s="45"/>
      <c r="T122" s="101">
        <f t="shared" si="60"/>
        <v>907235</v>
      </c>
      <c r="U122" s="106">
        <f t="shared" si="41"/>
        <v>0</v>
      </c>
      <c r="V122" s="117"/>
      <c r="W122" s="101">
        <f t="shared" si="61"/>
        <v>907235</v>
      </c>
      <c r="X122" s="106">
        <f t="shared" si="42"/>
        <v>0</v>
      </c>
      <c r="Y122" s="43"/>
      <c r="Z122" s="101">
        <f>ROUND(W122,0)-907235</f>
        <v>0</v>
      </c>
      <c r="AA122" s="106">
        <f t="shared" si="43"/>
        <v>-907235</v>
      </c>
      <c r="AB122" s="45" t="s">
        <v>254</v>
      </c>
    </row>
    <row r="123" spans="1:28" ht="27.6" customHeight="1" x14ac:dyDescent="0.25">
      <c r="B123" s="66"/>
      <c r="C123" s="118" t="s">
        <v>334</v>
      </c>
      <c r="D123" s="119" t="s">
        <v>335</v>
      </c>
      <c r="E123" s="113"/>
      <c r="F123" s="113"/>
      <c r="G123" s="113"/>
      <c r="H123" s="114">
        <v>203000</v>
      </c>
      <c r="I123" s="113"/>
      <c r="J123" s="113"/>
      <c r="K123" s="113"/>
      <c r="L123" s="113">
        <f t="shared" si="57"/>
        <v>203000</v>
      </c>
      <c r="M123" s="116">
        <v>203000</v>
      </c>
      <c r="N123" s="105">
        <f t="shared" si="58"/>
        <v>203000</v>
      </c>
      <c r="O123" s="106">
        <f t="shared" si="39"/>
        <v>0</v>
      </c>
      <c r="P123" s="107"/>
      <c r="Q123" s="101">
        <f t="shared" si="59"/>
        <v>203000</v>
      </c>
      <c r="R123" s="106">
        <f t="shared" si="40"/>
        <v>0</v>
      </c>
      <c r="S123" s="45"/>
      <c r="T123" s="101">
        <f>ROUND(Q123,0)+84500</f>
        <v>287500</v>
      </c>
      <c r="U123" s="106">
        <f t="shared" si="41"/>
        <v>84500</v>
      </c>
      <c r="V123" s="120" t="s">
        <v>336</v>
      </c>
      <c r="W123" s="101">
        <f>ROUND(T123,0)</f>
        <v>287500</v>
      </c>
      <c r="X123" s="106">
        <f t="shared" si="42"/>
        <v>0</v>
      </c>
      <c r="Y123" s="43"/>
      <c r="Z123" s="101">
        <f>ROUND(W123,0)</f>
        <v>287500</v>
      </c>
      <c r="AA123" s="106">
        <f t="shared" si="43"/>
        <v>0</v>
      </c>
      <c r="AB123" s="43"/>
    </row>
    <row r="124" spans="1:28" ht="42" customHeight="1" x14ac:dyDescent="0.25">
      <c r="B124" s="66"/>
      <c r="C124" s="83" t="s">
        <v>337</v>
      </c>
      <c r="D124" s="121" t="s">
        <v>338</v>
      </c>
      <c r="E124" s="101"/>
      <c r="F124" s="101"/>
      <c r="G124" s="101"/>
      <c r="H124" s="102">
        <v>126000</v>
      </c>
      <c r="I124" s="101"/>
      <c r="J124" s="101"/>
      <c r="K124" s="101"/>
      <c r="L124" s="101">
        <f t="shared" si="57"/>
        <v>126000</v>
      </c>
      <c r="M124" s="105">
        <v>126000</v>
      </c>
      <c r="N124" s="105">
        <f t="shared" si="58"/>
        <v>126000</v>
      </c>
      <c r="O124" s="106">
        <f t="shared" si="39"/>
        <v>0</v>
      </c>
      <c r="P124" s="107"/>
      <c r="Q124" s="101">
        <f t="shared" si="59"/>
        <v>126000</v>
      </c>
      <c r="R124" s="106">
        <f t="shared" si="40"/>
        <v>0</v>
      </c>
      <c r="S124" s="45"/>
      <c r="T124" s="101">
        <f t="shared" si="60"/>
        <v>126000</v>
      </c>
      <c r="U124" s="106">
        <f t="shared" si="41"/>
        <v>0</v>
      </c>
      <c r="V124" s="35"/>
      <c r="W124" s="101">
        <f>ROUND(T124,0)</f>
        <v>126000</v>
      </c>
      <c r="X124" s="106">
        <f t="shared" si="42"/>
        <v>0</v>
      </c>
      <c r="Y124" s="43"/>
      <c r="Z124" s="101">
        <f>ROUND(W124,0)-126000</f>
        <v>0</v>
      </c>
      <c r="AA124" s="106">
        <f t="shared" si="43"/>
        <v>-126000</v>
      </c>
      <c r="AB124" s="45" t="s">
        <v>339</v>
      </c>
    </row>
    <row r="125" spans="1:28" ht="15" customHeight="1" x14ac:dyDescent="0.25">
      <c r="B125" s="66"/>
      <c r="C125" s="83" t="s">
        <v>340</v>
      </c>
      <c r="D125" s="112" t="s">
        <v>341</v>
      </c>
      <c r="E125" s="113"/>
      <c r="F125" s="113"/>
      <c r="G125" s="113"/>
      <c r="H125" s="114"/>
      <c r="I125" s="113"/>
      <c r="J125" s="113"/>
      <c r="K125" s="113"/>
      <c r="L125" s="113">
        <f t="shared" si="57"/>
        <v>0</v>
      </c>
      <c r="M125" s="116">
        <v>0</v>
      </c>
      <c r="N125" s="105">
        <f>ROUND(M125,0)</f>
        <v>0</v>
      </c>
      <c r="O125" s="33">
        <f>N125-M125</f>
        <v>0</v>
      </c>
      <c r="P125" s="122"/>
      <c r="Q125" s="101">
        <f>ROUND(N125,0)+126000</f>
        <v>126000</v>
      </c>
      <c r="R125" s="33">
        <f>Q125-N125</f>
        <v>126000</v>
      </c>
      <c r="S125" s="45" t="s">
        <v>342</v>
      </c>
      <c r="T125" s="101">
        <f>ROUND(Q125,0)</f>
        <v>126000</v>
      </c>
      <c r="U125" s="33">
        <f t="shared" si="41"/>
        <v>0</v>
      </c>
      <c r="V125" s="117"/>
      <c r="W125" s="101">
        <f>ROUND(T125,0)</f>
        <v>126000</v>
      </c>
      <c r="X125" s="123">
        <f t="shared" si="42"/>
        <v>0</v>
      </c>
      <c r="Y125" s="43"/>
      <c r="Z125" s="101">
        <f>ROUND(W125,0)</f>
        <v>126000</v>
      </c>
      <c r="AA125" s="123">
        <f t="shared" si="43"/>
        <v>0</v>
      </c>
      <c r="AB125" s="43"/>
    </row>
    <row r="126" spans="1:28" ht="13.2" customHeight="1" thickBot="1" x14ac:dyDescent="0.3">
      <c r="B126" s="66"/>
      <c r="C126" s="124" t="s">
        <v>343</v>
      </c>
      <c r="D126" s="125" t="s">
        <v>344</v>
      </c>
      <c r="E126" s="126"/>
      <c r="F126" s="126"/>
      <c r="G126" s="126"/>
      <c r="H126" s="127"/>
      <c r="I126" s="126"/>
      <c r="J126" s="126"/>
      <c r="K126" s="126"/>
      <c r="L126" s="126"/>
      <c r="M126" s="128"/>
      <c r="N126" s="129"/>
      <c r="O126" s="130"/>
      <c r="P126" s="131"/>
      <c r="Q126" s="132"/>
      <c r="R126" s="130"/>
      <c r="S126" s="133"/>
      <c r="T126" s="132"/>
      <c r="U126" s="130"/>
      <c r="V126" s="134"/>
      <c r="W126" s="132">
        <v>68000</v>
      </c>
      <c r="X126" s="135">
        <f t="shared" si="42"/>
        <v>68000</v>
      </c>
      <c r="Y126" s="136" t="s">
        <v>345</v>
      </c>
      <c r="Z126" s="132">
        <f>68000-68000</f>
        <v>0</v>
      </c>
      <c r="AA126" s="135">
        <f t="shared" si="43"/>
        <v>-68000</v>
      </c>
      <c r="AB126" s="136" t="s">
        <v>346</v>
      </c>
    </row>
    <row r="127" spans="1:28" ht="14.4" thickBot="1" x14ac:dyDescent="0.3">
      <c r="C127" s="137"/>
      <c r="D127" s="138" t="s">
        <v>347</v>
      </c>
      <c r="E127" s="94">
        <f>E110</f>
        <v>1450963.94</v>
      </c>
      <c r="F127" s="94">
        <f t="shared" ref="F127:N127" si="63">F108+F109+F112</f>
        <v>7953316</v>
      </c>
      <c r="G127" s="94">
        <f t="shared" si="63"/>
        <v>1660824.49</v>
      </c>
      <c r="H127" s="94">
        <f t="shared" si="63"/>
        <v>4267404.0022</v>
      </c>
      <c r="I127" s="94">
        <f t="shared" si="63"/>
        <v>3813551</v>
      </c>
      <c r="J127" s="94">
        <f t="shared" si="63"/>
        <v>0</v>
      </c>
      <c r="K127" s="94">
        <f t="shared" si="63"/>
        <v>32725680</v>
      </c>
      <c r="L127" s="94">
        <f>L108+L109+L112</f>
        <v>58162296.292200007</v>
      </c>
      <c r="M127" s="95">
        <v>58162296.232200004</v>
      </c>
      <c r="N127" s="95">
        <f t="shared" si="63"/>
        <v>58220652</v>
      </c>
      <c r="O127" s="94">
        <f t="shared" si="39"/>
        <v>58355.76779999584</v>
      </c>
      <c r="P127" s="139"/>
      <c r="Q127" s="94">
        <f>Q108+Q109+Q112</f>
        <v>58714633</v>
      </c>
      <c r="R127" s="94">
        <f t="shared" si="40"/>
        <v>493981</v>
      </c>
      <c r="S127" s="139"/>
      <c r="T127" s="94">
        <f>T108+T109+T112</f>
        <v>58875584</v>
      </c>
      <c r="U127" s="94">
        <f t="shared" si="41"/>
        <v>160951</v>
      </c>
      <c r="V127" s="139"/>
      <c r="W127" s="94">
        <f>W108+W109+W112</f>
        <v>58993584</v>
      </c>
      <c r="X127" s="94">
        <f t="shared" si="42"/>
        <v>118000</v>
      </c>
      <c r="Y127" s="139"/>
      <c r="Z127" s="94">
        <f>Z108+Z109+Z112</f>
        <v>57442695</v>
      </c>
      <c r="AA127" s="94">
        <f t="shared" si="43"/>
        <v>-1550889</v>
      </c>
      <c r="AB127" s="139"/>
    </row>
    <row r="128" spans="1:28" x14ac:dyDescent="0.25">
      <c r="L128" s="4"/>
    </row>
    <row r="129" spans="2:28" x14ac:dyDescent="0.25">
      <c r="E129" s="4"/>
      <c r="F129" s="4"/>
      <c r="G129" s="4"/>
      <c r="H129" s="4"/>
      <c r="I129" s="4"/>
      <c r="J129" s="4"/>
      <c r="K129" s="4"/>
      <c r="L129" s="4"/>
      <c r="O129" s="4"/>
      <c r="Q129" s="4"/>
      <c r="R129" s="4"/>
      <c r="T129" s="4"/>
      <c r="U129" s="4"/>
      <c r="W129" s="4"/>
      <c r="X129" s="4"/>
      <c r="Z129" s="4"/>
      <c r="AA129" s="4"/>
    </row>
    <row r="130" spans="2:28" ht="20.399999999999999" x14ac:dyDescent="0.35">
      <c r="C130" s="361" t="s">
        <v>348</v>
      </c>
      <c r="D130" s="361"/>
      <c r="E130" s="4"/>
      <c r="F130" s="4"/>
      <c r="G130" s="4"/>
      <c r="H130" s="4"/>
      <c r="I130" s="4"/>
      <c r="J130" s="4"/>
      <c r="K130" s="4"/>
      <c r="L130" s="4"/>
      <c r="O130" s="4"/>
      <c r="Q130" s="4"/>
      <c r="R130" s="4"/>
      <c r="T130" s="4"/>
      <c r="U130" s="4"/>
      <c r="W130" s="4"/>
      <c r="X130" s="4"/>
      <c r="Z130" s="4"/>
      <c r="AA130" s="4"/>
    </row>
    <row r="131" spans="2:28" ht="15" thickBot="1" x14ac:dyDescent="0.35">
      <c r="C131" s="362"/>
      <c r="D131" s="362"/>
      <c r="E131" s="142"/>
      <c r="F131" s="142"/>
      <c r="G131" s="142"/>
      <c r="H131" s="142"/>
      <c r="I131" s="142"/>
      <c r="J131" s="142"/>
      <c r="K131" s="4"/>
      <c r="L131" s="142"/>
      <c r="O131" s="142"/>
      <c r="Q131" s="142"/>
      <c r="R131" s="142"/>
      <c r="T131" s="142"/>
      <c r="U131" s="142"/>
      <c r="W131" s="142"/>
      <c r="X131" s="142"/>
      <c r="Z131" s="142"/>
      <c r="AA131" s="142"/>
    </row>
    <row r="132" spans="2:28" ht="57" customHeight="1" outlineLevel="1" thickBot="1" x14ac:dyDescent="0.3">
      <c r="C132" s="15" t="s">
        <v>3</v>
      </c>
      <c r="D132" s="16" t="s">
        <v>4</v>
      </c>
      <c r="E132" s="17" t="s">
        <v>5</v>
      </c>
      <c r="F132" s="17" t="s">
        <v>6</v>
      </c>
      <c r="G132" s="17" t="s">
        <v>7</v>
      </c>
      <c r="H132" s="17" t="s">
        <v>8</v>
      </c>
      <c r="I132" s="17" t="s">
        <v>9</v>
      </c>
      <c r="J132" s="17" t="s">
        <v>10</v>
      </c>
      <c r="K132" s="17" t="s">
        <v>11</v>
      </c>
      <c r="L132" s="17" t="s">
        <v>12</v>
      </c>
      <c r="M132" s="18" t="s">
        <v>12</v>
      </c>
      <c r="N132" s="18" t="s">
        <v>13</v>
      </c>
      <c r="O132" s="17" t="s">
        <v>14</v>
      </c>
      <c r="P132" s="19" t="s">
        <v>349</v>
      </c>
      <c r="Q132" s="17" t="s">
        <v>16</v>
      </c>
      <c r="R132" s="17" t="s">
        <v>17</v>
      </c>
      <c r="S132" s="19" t="s">
        <v>349</v>
      </c>
      <c r="T132" s="17" t="s">
        <v>18</v>
      </c>
      <c r="U132" s="17" t="s">
        <v>19</v>
      </c>
      <c r="V132" s="19" t="s">
        <v>349</v>
      </c>
      <c r="W132" s="17" t="s">
        <v>20</v>
      </c>
      <c r="X132" s="17" t="s">
        <v>21</v>
      </c>
      <c r="Y132" s="19" t="s">
        <v>349</v>
      </c>
      <c r="Z132" s="17" t="s">
        <v>20</v>
      </c>
      <c r="AA132" s="17" t="s">
        <v>21</v>
      </c>
      <c r="AB132" s="19" t="s">
        <v>349</v>
      </c>
    </row>
    <row r="133" spans="2:28" x14ac:dyDescent="0.25">
      <c r="C133" s="143" t="s">
        <v>27</v>
      </c>
      <c r="D133" s="144" t="s">
        <v>350</v>
      </c>
      <c r="E133" s="145">
        <f t="shared" ref="E133:N133" si="64">SUM(E134:E142)</f>
        <v>0</v>
      </c>
      <c r="F133" s="145">
        <f t="shared" si="64"/>
        <v>0</v>
      </c>
      <c r="G133" s="145">
        <f t="shared" si="64"/>
        <v>0</v>
      </c>
      <c r="H133" s="145">
        <f t="shared" si="64"/>
        <v>0</v>
      </c>
      <c r="I133" s="145">
        <f t="shared" si="64"/>
        <v>0</v>
      </c>
      <c r="J133" s="145">
        <f t="shared" si="64"/>
        <v>8000</v>
      </c>
      <c r="K133" s="145">
        <f t="shared" si="64"/>
        <v>8237497.9511212902</v>
      </c>
      <c r="L133" s="145">
        <f t="shared" si="64"/>
        <v>8245497.9511212902</v>
      </c>
      <c r="M133" s="146">
        <v>8245497.4604350002</v>
      </c>
      <c r="N133" s="146">
        <f t="shared" si="64"/>
        <v>8245497</v>
      </c>
      <c r="O133" s="145">
        <f t="shared" ref="O133:O196" si="65">N133-M133</f>
        <v>-0.46043500024825335</v>
      </c>
      <c r="P133" s="147"/>
      <c r="Q133" s="145">
        <f>SUM(Q134:Q142)</f>
        <v>8253567</v>
      </c>
      <c r="R133" s="145">
        <f t="shared" ref="R133:R197" si="66">Q133-N133</f>
        <v>8070</v>
      </c>
      <c r="S133" s="147"/>
      <c r="T133" s="145">
        <f>SUM(T134:T142)</f>
        <v>8253567</v>
      </c>
      <c r="U133" s="145">
        <f t="shared" ref="U133:U197" si="67">T133-Q133</f>
        <v>0</v>
      </c>
      <c r="V133" s="147"/>
      <c r="W133" s="145">
        <f>SUM(W134:W142)</f>
        <v>8293568</v>
      </c>
      <c r="X133" s="145">
        <f t="shared" ref="X133:X197" si="68">W133-T133</f>
        <v>40001</v>
      </c>
      <c r="Y133" s="147"/>
      <c r="Z133" s="145">
        <f>SUM(Z134:Z142)</f>
        <v>8440303</v>
      </c>
      <c r="AA133" s="145">
        <f t="shared" ref="AA133:AA197" si="69">Z133-W133</f>
        <v>146735</v>
      </c>
      <c r="AB133" s="147"/>
    </row>
    <row r="134" spans="2:28" ht="31.5" customHeight="1" x14ac:dyDescent="0.25">
      <c r="B134" s="66" t="s">
        <v>351</v>
      </c>
      <c r="C134" s="148" t="s">
        <v>31</v>
      </c>
      <c r="D134" s="149" t="s">
        <v>352</v>
      </c>
      <c r="E134" s="56"/>
      <c r="F134" s="56"/>
      <c r="G134" s="56"/>
      <c r="H134" s="56"/>
      <c r="I134" s="56"/>
      <c r="J134" s="56"/>
      <c r="K134" s="56">
        <f>[4]PIVOT_2023!H64</f>
        <v>1904695.882342119</v>
      </c>
      <c r="L134" s="56">
        <f>E134+F134+G134+H134+I134+J134+K134</f>
        <v>1904695.882342119</v>
      </c>
      <c r="M134" s="71">
        <v>1904696</v>
      </c>
      <c r="N134" s="71">
        <f>ROUND(M134,0)</f>
        <v>1904696</v>
      </c>
      <c r="O134" s="56">
        <f t="shared" si="65"/>
        <v>0</v>
      </c>
      <c r="P134" s="72"/>
      <c r="Q134" s="56">
        <f>ROUND(N134,0)-16038</f>
        <v>1888658</v>
      </c>
      <c r="R134" s="150">
        <f t="shared" si="66"/>
        <v>-16038</v>
      </c>
      <c r="S134" s="151" t="s">
        <v>353</v>
      </c>
      <c r="T134" s="56">
        <f t="shared" ref="T134:T145" si="70">ROUND(Q134,0)</f>
        <v>1888658</v>
      </c>
      <c r="U134" s="56">
        <f t="shared" si="67"/>
        <v>0</v>
      </c>
      <c r="V134" s="72"/>
      <c r="W134" s="56">
        <f t="shared" ref="W134:W145" si="71">ROUND(T134,0)</f>
        <v>1888658</v>
      </c>
      <c r="X134" s="56">
        <f t="shared" si="68"/>
        <v>0</v>
      </c>
      <c r="Y134" s="72"/>
      <c r="Z134" s="56">
        <f t="shared" ref="Z134:Z139" si="72">ROUND(W134,0)</f>
        <v>1888658</v>
      </c>
      <c r="AA134" s="56">
        <f t="shared" si="69"/>
        <v>0</v>
      </c>
      <c r="AB134" s="72"/>
    </row>
    <row r="135" spans="2:28" x14ac:dyDescent="0.25">
      <c r="B135" s="66" t="s">
        <v>354</v>
      </c>
      <c r="C135" s="148" t="s">
        <v>35</v>
      </c>
      <c r="D135" s="149" t="s">
        <v>355</v>
      </c>
      <c r="E135" s="56"/>
      <c r="F135" s="56"/>
      <c r="G135" s="56"/>
      <c r="H135" s="56"/>
      <c r="I135" s="56"/>
      <c r="J135" s="56"/>
      <c r="K135" s="56">
        <f>[4]PIVOT_2023!H69</f>
        <v>355818.96720568801</v>
      </c>
      <c r="L135" s="56">
        <f t="shared" ref="L135:L144" si="73">E135+F135+G135+H135+I135+J135+K135</f>
        <v>355818.96720568801</v>
      </c>
      <c r="M135" s="71">
        <v>355819</v>
      </c>
      <c r="N135" s="71">
        <f t="shared" ref="N135:N144" si="74">ROUND(M135,0)</f>
        <v>355819</v>
      </c>
      <c r="O135" s="56">
        <f t="shared" si="65"/>
        <v>0</v>
      </c>
      <c r="P135" s="152"/>
      <c r="Q135" s="56">
        <f t="shared" ref="Q135:Q140" si="75">ROUND(N135,0)</f>
        <v>355819</v>
      </c>
      <c r="R135" s="56">
        <f t="shared" si="66"/>
        <v>0</v>
      </c>
      <c r="S135" s="152"/>
      <c r="T135" s="56">
        <f t="shared" si="70"/>
        <v>355819</v>
      </c>
      <c r="U135" s="56">
        <f t="shared" si="67"/>
        <v>0</v>
      </c>
      <c r="V135" s="152"/>
      <c r="W135" s="56">
        <f t="shared" si="71"/>
        <v>355819</v>
      </c>
      <c r="X135" s="56">
        <f t="shared" si="68"/>
        <v>0</v>
      </c>
      <c r="Y135" s="152"/>
      <c r="Z135" s="56">
        <f t="shared" si="72"/>
        <v>355819</v>
      </c>
      <c r="AA135" s="56">
        <f t="shared" si="69"/>
        <v>0</v>
      </c>
      <c r="AB135" s="152"/>
    </row>
    <row r="136" spans="2:28" ht="13.2" customHeight="1" x14ac:dyDescent="0.25">
      <c r="B136" s="66" t="s">
        <v>356</v>
      </c>
      <c r="C136" s="148" t="s">
        <v>357</v>
      </c>
      <c r="D136" s="149" t="s">
        <v>358</v>
      </c>
      <c r="E136" s="56"/>
      <c r="F136" s="56"/>
      <c r="G136" s="56"/>
      <c r="H136" s="56"/>
      <c r="I136" s="56"/>
      <c r="J136" s="56"/>
      <c r="K136" s="56">
        <f>[4]PIVOT_2023!H70</f>
        <v>58895.469599999997</v>
      </c>
      <c r="L136" s="56">
        <f t="shared" si="73"/>
        <v>58895.469599999997</v>
      </c>
      <c r="M136" s="71">
        <v>58895</v>
      </c>
      <c r="N136" s="71">
        <f>ROUND(M136,0)</f>
        <v>58895</v>
      </c>
      <c r="O136" s="56">
        <f t="shared" si="65"/>
        <v>0</v>
      </c>
      <c r="P136" s="72"/>
      <c r="Q136" s="56">
        <f t="shared" si="75"/>
        <v>58895</v>
      </c>
      <c r="R136" s="56">
        <f t="shared" si="66"/>
        <v>0</v>
      </c>
      <c r="S136" s="72"/>
      <c r="T136" s="56">
        <f t="shared" si="70"/>
        <v>58895</v>
      </c>
      <c r="U136" s="56">
        <f t="shared" si="67"/>
        <v>0</v>
      </c>
      <c r="V136" s="72"/>
      <c r="W136" s="56">
        <f t="shared" si="71"/>
        <v>58895</v>
      </c>
      <c r="X136" s="56">
        <f t="shared" si="68"/>
        <v>0</v>
      </c>
      <c r="Y136" s="72"/>
      <c r="Z136" s="56">
        <f t="shared" si="72"/>
        <v>58895</v>
      </c>
      <c r="AA136" s="56">
        <f t="shared" si="69"/>
        <v>0</v>
      </c>
      <c r="AB136" s="72"/>
    </row>
    <row r="137" spans="2:28" ht="14.4" customHeight="1" x14ac:dyDescent="0.25">
      <c r="B137" s="66" t="s">
        <v>359</v>
      </c>
      <c r="C137" s="148" t="s">
        <v>360</v>
      </c>
      <c r="D137" s="149" t="s">
        <v>361</v>
      </c>
      <c r="E137" s="56"/>
      <c r="F137" s="56"/>
      <c r="G137" s="56"/>
      <c r="H137" s="56"/>
      <c r="I137" s="56"/>
      <c r="J137" s="56"/>
      <c r="K137" s="56">
        <f>[4]PIVOT_2023!H75</f>
        <v>50294.195200000002</v>
      </c>
      <c r="L137" s="56">
        <f t="shared" si="73"/>
        <v>50294.195200000002</v>
      </c>
      <c r="M137" s="71">
        <v>50294</v>
      </c>
      <c r="N137" s="71">
        <f t="shared" si="74"/>
        <v>50294</v>
      </c>
      <c r="O137" s="56">
        <f t="shared" si="65"/>
        <v>0</v>
      </c>
      <c r="P137" s="72"/>
      <c r="Q137" s="56">
        <f t="shared" si="75"/>
        <v>50294</v>
      </c>
      <c r="R137" s="56">
        <f t="shared" si="66"/>
        <v>0</v>
      </c>
      <c r="S137" s="72"/>
      <c r="T137" s="56">
        <f t="shared" si="70"/>
        <v>50294</v>
      </c>
      <c r="U137" s="56">
        <f t="shared" si="67"/>
        <v>0</v>
      </c>
      <c r="V137" s="72"/>
      <c r="W137" s="56">
        <f t="shared" si="71"/>
        <v>50294</v>
      </c>
      <c r="X137" s="56">
        <f t="shared" si="68"/>
        <v>0</v>
      </c>
      <c r="Y137" s="72"/>
      <c r="Z137" s="56">
        <f t="shared" si="72"/>
        <v>50294</v>
      </c>
      <c r="AA137" s="56">
        <f t="shared" si="69"/>
        <v>0</v>
      </c>
      <c r="AB137" s="72"/>
    </row>
    <row r="138" spans="2:28" ht="18" customHeight="1" x14ac:dyDescent="0.25">
      <c r="B138" s="66" t="s">
        <v>362</v>
      </c>
      <c r="C138" s="148" t="s">
        <v>363</v>
      </c>
      <c r="D138" s="149" t="s">
        <v>364</v>
      </c>
      <c r="E138" s="56"/>
      <c r="F138" s="56"/>
      <c r="G138" s="56"/>
      <c r="H138" s="56"/>
      <c r="I138" s="56"/>
      <c r="J138" s="56"/>
      <c r="K138" s="56">
        <f>[4]PIVOT_2023!H76</f>
        <v>6587.5</v>
      </c>
      <c r="L138" s="56">
        <f t="shared" si="73"/>
        <v>6587.5</v>
      </c>
      <c r="M138" s="71">
        <v>6588</v>
      </c>
      <c r="N138" s="71">
        <f t="shared" si="74"/>
        <v>6588</v>
      </c>
      <c r="O138" s="56">
        <f t="shared" si="65"/>
        <v>0</v>
      </c>
      <c r="P138" s="152"/>
      <c r="Q138" s="56">
        <f t="shared" si="75"/>
        <v>6588</v>
      </c>
      <c r="R138" s="56">
        <f t="shared" si="66"/>
        <v>0</v>
      </c>
      <c r="S138" s="152"/>
      <c r="T138" s="56">
        <f t="shared" si="70"/>
        <v>6588</v>
      </c>
      <c r="U138" s="56">
        <f t="shared" si="67"/>
        <v>0</v>
      </c>
      <c r="V138" s="152"/>
      <c r="W138" s="56">
        <f t="shared" si="71"/>
        <v>6588</v>
      </c>
      <c r="X138" s="56">
        <f t="shared" si="68"/>
        <v>0</v>
      </c>
      <c r="Y138" s="152"/>
      <c r="Z138" s="56">
        <f t="shared" si="72"/>
        <v>6588</v>
      </c>
      <c r="AA138" s="56">
        <f t="shared" si="69"/>
        <v>0</v>
      </c>
      <c r="AB138" s="152"/>
    </row>
    <row r="139" spans="2:28" ht="29.4" customHeight="1" x14ac:dyDescent="0.25">
      <c r="B139" s="66" t="s">
        <v>365</v>
      </c>
      <c r="C139" s="148" t="s">
        <v>366</v>
      </c>
      <c r="D139" s="149" t="s">
        <v>367</v>
      </c>
      <c r="E139" s="56"/>
      <c r="F139" s="56"/>
      <c r="G139" s="56"/>
      <c r="H139" s="56"/>
      <c r="I139" s="56"/>
      <c r="J139" s="56"/>
      <c r="K139" s="56">
        <f>[4]PIVOT_2023!H77</f>
        <v>71620.138310000009</v>
      </c>
      <c r="L139" s="56">
        <f t="shared" si="73"/>
        <v>71620.138310000009</v>
      </c>
      <c r="M139" s="71">
        <v>71620</v>
      </c>
      <c r="N139" s="71">
        <f t="shared" si="74"/>
        <v>71620</v>
      </c>
      <c r="O139" s="56">
        <f t="shared" si="65"/>
        <v>0</v>
      </c>
      <c r="P139" s="152"/>
      <c r="Q139" s="56">
        <f>ROUND(N139,0)-2000</f>
        <v>69620</v>
      </c>
      <c r="R139" s="56">
        <f t="shared" si="66"/>
        <v>-2000</v>
      </c>
      <c r="S139" s="152" t="s">
        <v>368</v>
      </c>
      <c r="T139" s="56">
        <f t="shared" si="70"/>
        <v>69620</v>
      </c>
      <c r="U139" s="56">
        <f t="shared" si="67"/>
        <v>0</v>
      </c>
      <c r="V139" s="152"/>
      <c r="W139" s="56">
        <f t="shared" si="71"/>
        <v>69620</v>
      </c>
      <c r="X139" s="56">
        <f t="shared" si="68"/>
        <v>0</v>
      </c>
      <c r="Y139" s="152"/>
      <c r="Z139" s="56">
        <f t="shared" si="72"/>
        <v>69620</v>
      </c>
      <c r="AA139" s="56">
        <f t="shared" si="69"/>
        <v>0</v>
      </c>
      <c r="AB139" s="152"/>
    </row>
    <row r="140" spans="2:28" ht="29.4" customHeight="1" x14ac:dyDescent="0.25">
      <c r="B140" s="66" t="s">
        <v>351</v>
      </c>
      <c r="C140" s="148" t="s">
        <v>369</v>
      </c>
      <c r="D140" s="149" t="s">
        <v>370</v>
      </c>
      <c r="E140" s="56"/>
      <c r="F140" s="56"/>
      <c r="G140" s="56"/>
      <c r="H140" s="56"/>
      <c r="I140" s="56"/>
      <c r="J140" s="56"/>
      <c r="K140" s="56">
        <f>[4]PIVOT_2023!H80</f>
        <v>1047339.3380284834</v>
      </c>
      <c r="L140" s="56">
        <f t="shared" si="73"/>
        <v>1047339.3380284834</v>
      </c>
      <c r="M140" s="71">
        <v>1047339</v>
      </c>
      <c r="N140" s="71">
        <f t="shared" si="74"/>
        <v>1047339</v>
      </c>
      <c r="O140" s="56">
        <f t="shared" si="65"/>
        <v>0</v>
      </c>
      <c r="P140" s="72"/>
      <c r="Q140" s="56">
        <f t="shared" si="75"/>
        <v>1047339</v>
      </c>
      <c r="R140" s="56">
        <f t="shared" si="66"/>
        <v>0</v>
      </c>
      <c r="S140" s="72"/>
      <c r="T140" s="56">
        <f t="shared" si="70"/>
        <v>1047339</v>
      </c>
      <c r="U140" s="56">
        <f t="shared" si="67"/>
        <v>0</v>
      </c>
      <c r="V140" s="72"/>
      <c r="W140" s="56">
        <f>ROUND(T140,0)+40001</f>
        <v>1087340</v>
      </c>
      <c r="X140" s="56">
        <f t="shared" si="68"/>
        <v>40001</v>
      </c>
      <c r="Y140" s="72" t="s">
        <v>371</v>
      </c>
      <c r="Z140" s="56">
        <f>ROUND(W140,0)+137023</f>
        <v>1224363</v>
      </c>
      <c r="AA140" s="56">
        <f t="shared" si="69"/>
        <v>137023</v>
      </c>
      <c r="AB140" s="72" t="s">
        <v>372</v>
      </c>
    </row>
    <row r="141" spans="2:28" x14ac:dyDescent="0.25">
      <c r="B141" s="66" t="s">
        <v>351</v>
      </c>
      <c r="C141" s="148" t="s">
        <v>373</v>
      </c>
      <c r="D141" s="149" t="s">
        <v>374</v>
      </c>
      <c r="E141" s="56"/>
      <c r="F141" s="56"/>
      <c r="G141" s="56"/>
      <c r="H141" s="56"/>
      <c r="I141" s="56"/>
      <c r="J141" s="56"/>
      <c r="K141" s="56">
        <f>[4]PIVOT_2023!H81</f>
        <v>4392666</v>
      </c>
      <c r="L141" s="56">
        <f t="shared" si="73"/>
        <v>4392666</v>
      </c>
      <c r="M141" s="71">
        <v>4392666</v>
      </c>
      <c r="N141" s="71">
        <f t="shared" si="74"/>
        <v>4392666</v>
      </c>
      <c r="O141" s="56">
        <f t="shared" si="65"/>
        <v>0</v>
      </c>
      <c r="P141" s="152"/>
      <c r="Q141" s="56">
        <f>ROUND(N141,0)+26108</f>
        <v>4418774</v>
      </c>
      <c r="R141" s="56">
        <f t="shared" si="66"/>
        <v>26108</v>
      </c>
      <c r="S141" s="152" t="s">
        <v>33</v>
      </c>
      <c r="T141" s="56">
        <f t="shared" si="70"/>
        <v>4418774</v>
      </c>
      <c r="U141" s="56">
        <f t="shared" si="67"/>
        <v>0</v>
      </c>
      <c r="V141" s="152"/>
      <c r="W141" s="56">
        <f t="shared" si="71"/>
        <v>4418774</v>
      </c>
      <c r="X141" s="56">
        <f t="shared" si="68"/>
        <v>0</v>
      </c>
      <c r="Y141" s="152"/>
      <c r="Z141" s="56">
        <f>ROUND(W141,0)+9712</f>
        <v>4428486</v>
      </c>
      <c r="AA141" s="56">
        <f t="shared" si="69"/>
        <v>9712</v>
      </c>
      <c r="AB141" s="152" t="s">
        <v>34</v>
      </c>
    </row>
    <row r="142" spans="2:28" ht="42.6" customHeight="1" x14ac:dyDescent="0.25">
      <c r="B142" s="66" t="s">
        <v>375</v>
      </c>
      <c r="C142" s="148" t="s">
        <v>376</v>
      </c>
      <c r="D142" s="149" t="s">
        <v>377</v>
      </c>
      <c r="E142" s="56"/>
      <c r="F142" s="56"/>
      <c r="G142" s="56"/>
      <c r="H142" s="56"/>
      <c r="I142" s="56"/>
      <c r="J142" s="56">
        <f>[4]Pivot_invest_2023!E63</f>
        <v>8000</v>
      </c>
      <c r="K142" s="56">
        <f>[4]PIVOT_2023!H82</f>
        <v>349580.46043500002</v>
      </c>
      <c r="L142" s="56">
        <f t="shared" si="73"/>
        <v>357580.46043500002</v>
      </c>
      <c r="M142" s="71">
        <v>357580.46043500002</v>
      </c>
      <c r="N142" s="71">
        <f>ROUND(M142,0)</f>
        <v>357580</v>
      </c>
      <c r="O142" s="56">
        <f t="shared" si="65"/>
        <v>-0.4604350000154227</v>
      </c>
      <c r="P142" s="72"/>
      <c r="Q142" s="56">
        <f>ROUND(N142,0)</f>
        <v>357580</v>
      </c>
      <c r="R142" s="56">
        <f t="shared" si="66"/>
        <v>0</v>
      </c>
      <c r="S142" s="72"/>
      <c r="T142" s="56">
        <f t="shared" si="70"/>
        <v>357580</v>
      </c>
      <c r="U142" s="56">
        <f t="shared" si="67"/>
        <v>0</v>
      </c>
      <c r="V142" s="72"/>
      <c r="W142" s="56">
        <f t="shared" si="71"/>
        <v>357580</v>
      </c>
      <c r="X142" s="56">
        <f t="shared" si="68"/>
        <v>0</v>
      </c>
      <c r="Y142" s="72"/>
      <c r="Z142" s="56">
        <f>ROUND(W142,0)</f>
        <v>357580</v>
      </c>
      <c r="AA142" s="56">
        <f t="shared" si="69"/>
        <v>0</v>
      </c>
      <c r="AB142" s="72"/>
    </row>
    <row r="143" spans="2:28" x14ac:dyDescent="0.25">
      <c r="C143" s="153" t="s">
        <v>40</v>
      </c>
      <c r="D143" s="154" t="s">
        <v>378</v>
      </c>
      <c r="E143" s="39">
        <f>E144</f>
        <v>0</v>
      </c>
      <c r="F143" s="39">
        <f t="shared" ref="F143:L143" si="76">F144</f>
        <v>0</v>
      </c>
      <c r="G143" s="39">
        <f t="shared" si="76"/>
        <v>0</v>
      </c>
      <c r="H143" s="39">
        <f t="shared" si="76"/>
        <v>0</v>
      </c>
      <c r="I143" s="39">
        <f t="shared" si="76"/>
        <v>0</v>
      </c>
      <c r="J143" s="39">
        <f t="shared" si="76"/>
        <v>0</v>
      </c>
      <c r="K143" s="39">
        <f t="shared" si="76"/>
        <v>0</v>
      </c>
      <c r="L143" s="39">
        <f t="shared" si="76"/>
        <v>0</v>
      </c>
      <c r="M143" s="40">
        <v>0</v>
      </c>
      <c r="N143" s="40">
        <f t="shared" si="74"/>
        <v>0</v>
      </c>
      <c r="O143" s="39">
        <f t="shared" si="65"/>
        <v>0</v>
      </c>
      <c r="P143" s="41"/>
      <c r="Q143" s="39">
        <f>ROUND(N143,0)</f>
        <v>0</v>
      </c>
      <c r="R143" s="39">
        <f t="shared" si="66"/>
        <v>0</v>
      </c>
      <c r="S143" s="41"/>
      <c r="T143" s="39">
        <f t="shared" si="70"/>
        <v>0</v>
      </c>
      <c r="U143" s="39">
        <f t="shared" si="67"/>
        <v>0</v>
      </c>
      <c r="V143" s="41"/>
      <c r="W143" s="39">
        <f t="shared" si="71"/>
        <v>0</v>
      </c>
      <c r="X143" s="39">
        <f t="shared" si="68"/>
        <v>0</v>
      </c>
      <c r="Y143" s="41"/>
      <c r="Z143" s="39">
        <f>ROUND(W143,0)</f>
        <v>0</v>
      </c>
      <c r="AA143" s="39">
        <f t="shared" si="69"/>
        <v>0</v>
      </c>
      <c r="AB143" s="41"/>
    </row>
    <row r="144" spans="2:28" ht="13.95" customHeight="1" x14ac:dyDescent="0.25">
      <c r="B144" s="66" t="s">
        <v>379</v>
      </c>
      <c r="C144" s="148" t="s">
        <v>43</v>
      </c>
      <c r="D144" s="149" t="s">
        <v>380</v>
      </c>
      <c r="E144" s="56"/>
      <c r="F144" s="56"/>
      <c r="G144" s="56"/>
      <c r="H144" s="56"/>
      <c r="I144" s="56"/>
      <c r="J144" s="56"/>
      <c r="K144" s="56"/>
      <c r="L144" s="56">
        <f t="shared" si="73"/>
        <v>0</v>
      </c>
      <c r="M144" s="71">
        <v>0</v>
      </c>
      <c r="N144" s="71">
        <f t="shared" si="74"/>
        <v>0</v>
      </c>
      <c r="O144" s="56">
        <f t="shared" si="65"/>
        <v>0</v>
      </c>
      <c r="P144" s="152"/>
      <c r="Q144" s="56">
        <f>ROUND(N144,0)</f>
        <v>0</v>
      </c>
      <c r="R144" s="56">
        <f t="shared" si="66"/>
        <v>0</v>
      </c>
      <c r="S144" s="152"/>
      <c r="T144" s="56">
        <f t="shared" si="70"/>
        <v>0</v>
      </c>
      <c r="U144" s="56">
        <f t="shared" si="67"/>
        <v>0</v>
      </c>
      <c r="V144" s="152"/>
      <c r="W144" s="56">
        <f t="shared" si="71"/>
        <v>0</v>
      </c>
      <c r="X144" s="56">
        <f t="shared" si="68"/>
        <v>0</v>
      </c>
      <c r="Y144" s="152"/>
      <c r="Z144" s="56">
        <f>ROUND(W144,0)</f>
        <v>0</v>
      </c>
      <c r="AA144" s="56">
        <f t="shared" si="69"/>
        <v>0</v>
      </c>
      <c r="AB144" s="152"/>
    </row>
    <row r="145" spans="2:28" ht="15" customHeight="1" collapsed="1" x14ac:dyDescent="0.25">
      <c r="B145" s="66" t="s">
        <v>381</v>
      </c>
      <c r="C145" s="153" t="s">
        <v>48</v>
      </c>
      <c r="D145" s="154" t="s">
        <v>382</v>
      </c>
      <c r="E145" s="39"/>
      <c r="F145" s="39"/>
      <c r="G145" s="39"/>
      <c r="H145" s="39"/>
      <c r="I145" s="39"/>
      <c r="J145" s="39">
        <f>[4]Pivot_invest_2023!E42+[4]Pivot_invest_2023!E64-[4]Pivot_invest_2023!J64</f>
        <v>9400</v>
      </c>
      <c r="K145" s="39">
        <f>[4]PIVOT_2023!H87</f>
        <v>926669.29245700024</v>
      </c>
      <c r="L145" s="39">
        <f>F145+G145+H145+I145+J145+K145</f>
        <v>936069.29245700024</v>
      </c>
      <c r="M145" s="40">
        <v>936069.29245700024</v>
      </c>
      <c r="N145" s="40">
        <f>ROUND(M145,0)</f>
        <v>936069</v>
      </c>
      <c r="O145" s="39">
        <f t="shared" si="65"/>
        <v>-0.29245700023602694</v>
      </c>
      <c r="P145" s="49"/>
      <c r="Q145" s="39">
        <f>ROUND(N145,0)</f>
        <v>936069</v>
      </c>
      <c r="R145" s="39">
        <f t="shared" si="66"/>
        <v>0</v>
      </c>
      <c r="S145" s="155"/>
      <c r="T145" s="39">
        <f t="shared" si="70"/>
        <v>936069</v>
      </c>
      <c r="U145" s="39">
        <f t="shared" si="67"/>
        <v>0</v>
      </c>
      <c r="V145" s="49"/>
      <c r="W145" s="39">
        <f t="shared" si="71"/>
        <v>936069</v>
      </c>
      <c r="X145" s="39">
        <f t="shared" si="68"/>
        <v>0</v>
      </c>
      <c r="Y145" s="49"/>
      <c r="Z145" s="39">
        <f>ROUND(W145,0)</f>
        <v>936069</v>
      </c>
      <c r="AA145" s="39">
        <f t="shared" si="69"/>
        <v>0</v>
      </c>
      <c r="AB145" s="49"/>
    </row>
    <row r="146" spans="2:28" s="156" customFormat="1" ht="16.95" customHeight="1" x14ac:dyDescent="0.25">
      <c r="C146" s="153" t="s">
        <v>56</v>
      </c>
      <c r="D146" s="154" t="s">
        <v>383</v>
      </c>
      <c r="E146" s="39">
        <f t="shared" ref="E146:N146" si="77">E147+E150</f>
        <v>6813</v>
      </c>
      <c r="F146" s="39">
        <f t="shared" si="77"/>
        <v>342263</v>
      </c>
      <c r="G146" s="39">
        <f t="shared" si="77"/>
        <v>0</v>
      </c>
      <c r="H146" s="39">
        <f t="shared" si="77"/>
        <v>0</v>
      </c>
      <c r="I146" s="39">
        <f t="shared" si="77"/>
        <v>0</v>
      </c>
      <c r="J146" s="39">
        <f t="shared" si="77"/>
        <v>0</v>
      </c>
      <c r="K146" s="39">
        <f t="shared" si="77"/>
        <v>207617.29264600005</v>
      </c>
      <c r="L146" s="39">
        <f t="shared" si="77"/>
        <v>556693.29264600005</v>
      </c>
      <c r="M146" s="40">
        <v>556693.29264600005</v>
      </c>
      <c r="N146" s="40">
        <f t="shared" si="77"/>
        <v>556693</v>
      </c>
      <c r="O146" s="39">
        <f t="shared" si="65"/>
        <v>-0.29264600004535168</v>
      </c>
      <c r="P146" s="49"/>
      <c r="Q146" s="39">
        <f>Q147+Q150</f>
        <v>589278</v>
      </c>
      <c r="R146" s="39">
        <f t="shared" si="66"/>
        <v>32585</v>
      </c>
      <c r="S146" s="49"/>
      <c r="T146" s="39">
        <f>T147+T150</f>
        <v>589278</v>
      </c>
      <c r="U146" s="39">
        <f t="shared" si="67"/>
        <v>0</v>
      </c>
      <c r="V146" s="49"/>
      <c r="W146" s="39">
        <f>W147+W150</f>
        <v>589278</v>
      </c>
      <c r="X146" s="39">
        <f t="shared" si="68"/>
        <v>0</v>
      </c>
      <c r="Y146" s="49"/>
      <c r="Z146" s="39">
        <f>Z147+Z150</f>
        <v>589278</v>
      </c>
      <c r="AA146" s="39">
        <f t="shared" si="69"/>
        <v>0</v>
      </c>
      <c r="AB146" s="49"/>
    </row>
    <row r="147" spans="2:28" x14ac:dyDescent="0.25">
      <c r="B147" s="66" t="s">
        <v>384</v>
      </c>
      <c r="C147" s="148" t="s">
        <v>59</v>
      </c>
      <c r="D147" s="149" t="s">
        <v>385</v>
      </c>
      <c r="E147" s="56">
        <f>SUM(E148:E149)</f>
        <v>0</v>
      </c>
      <c r="F147" s="56">
        <f t="shared" ref="F147:O147" si="78">SUM(F148:F149)</f>
        <v>0</v>
      </c>
      <c r="G147" s="56">
        <f t="shared" si="78"/>
        <v>0</v>
      </c>
      <c r="H147" s="56">
        <f t="shared" si="78"/>
        <v>0</v>
      </c>
      <c r="I147" s="56">
        <f t="shared" si="78"/>
        <v>0</v>
      </c>
      <c r="J147" s="56">
        <f t="shared" si="78"/>
        <v>0</v>
      </c>
      <c r="K147" s="56">
        <f t="shared" si="78"/>
        <v>207617.29264600005</v>
      </c>
      <c r="L147" s="56">
        <f t="shared" si="78"/>
        <v>207617.29264600005</v>
      </c>
      <c r="M147" s="71">
        <v>207617.29264600005</v>
      </c>
      <c r="N147" s="71">
        <f>SUM(N148:N149)</f>
        <v>207617</v>
      </c>
      <c r="O147" s="56">
        <f t="shared" si="78"/>
        <v>3.7353999970946461E-2</v>
      </c>
      <c r="P147" s="56"/>
      <c r="Q147" s="56">
        <f>SUM(Q148:Q149)</f>
        <v>207617</v>
      </c>
      <c r="R147" s="56">
        <f t="shared" si="66"/>
        <v>0</v>
      </c>
      <c r="S147" s="56"/>
      <c r="T147" s="56">
        <f>SUM(T148:T149)</f>
        <v>207617</v>
      </c>
      <c r="U147" s="56">
        <f t="shared" si="67"/>
        <v>0</v>
      </c>
      <c r="V147" s="56"/>
      <c r="W147" s="56">
        <f>SUM(W148:W149)</f>
        <v>207617</v>
      </c>
      <c r="X147" s="56">
        <f t="shared" si="68"/>
        <v>0</v>
      </c>
      <c r="Y147" s="56"/>
      <c r="Z147" s="56">
        <f>SUM(Z148:Z149)</f>
        <v>207617</v>
      </c>
      <c r="AA147" s="56">
        <f t="shared" si="69"/>
        <v>0</v>
      </c>
      <c r="AB147" s="56"/>
    </row>
    <row r="148" spans="2:28" x14ac:dyDescent="0.25">
      <c r="B148" s="66" t="s">
        <v>384</v>
      </c>
      <c r="C148" s="157" t="s">
        <v>386</v>
      </c>
      <c r="D148" s="158" t="s">
        <v>387</v>
      </c>
      <c r="E148" s="33"/>
      <c r="F148" s="33"/>
      <c r="G148" s="33"/>
      <c r="H148" s="33"/>
      <c r="I148" s="33"/>
      <c r="J148" s="33"/>
      <c r="K148" s="33">
        <f>[4]PIVOT_2023!H92-K149</f>
        <v>162450.96264600003</v>
      </c>
      <c r="L148" s="33">
        <f t="shared" ref="L148:L156" si="79">E148+F148+G148+H148+I148+J148+K148</f>
        <v>162450.96264600003</v>
      </c>
      <c r="M148" s="34">
        <v>162450.96264600003</v>
      </c>
      <c r="N148" s="34">
        <f>ROUND(M148,0)</f>
        <v>162451</v>
      </c>
      <c r="O148" s="33">
        <f t="shared" si="65"/>
        <v>3.7353999970946461E-2</v>
      </c>
      <c r="P148" s="35"/>
      <c r="Q148" s="33">
        <f>ROUND(N148,0)</f>
        <v>162451</v>
      </c>
      <c r="R148" s="33">
        <f t="shared" si="66"/>
        <v>0</v>
      </c>
      <c r="S148" s="35"/>
      <c r="T148" s="33">
        <f>ROUND(Q148,0)</f>
        <v>162451</v>
      </c>
      <c r="U148" s="33">
        <f t="shared" si="67"/>
        <v>0</v>
      </c>
      <c r="V148" s="35"/>
      <c r="W148" s="33">
        <f>ROUND(T148,0)</f>
        <v>162451</v>
      </c>
      <c r="X148" s="33">
        <f t="shared" si="68"/>
        <v>0</v>
      </c>
      <c r="Y148" s="35"/>
      <c r="Z148" s="33">
        <f>ROUND(W148,0)</f>
        <v>162451</v>
      </c>
      <c r="AA148" s="33">
        <f t="shared" si="69"/>
        <v>0</v>
      </c>
      <c r="AB148" s="35"/>
    </row>
    <row r="149" spans="2:28" x14ac:dyDescent="0.25">
      <c r="B149" s="66"/>
      <c r="C149" s="157" t="s">
        <v>388</v>
      </c>
      <c r="D149" s="158" t="s">
        <v>389</v>
      </c>
      <c r="E149" s="33"/>
      <c r="F149" s="33"/>
      <c r="G149" s="33"/>
      <c r="H149" s="33"/>
      <c r="I149" s="33"/>
      <c r="J149" s="33"/>
      <c r="K149" s="33">
        <f>[4]PIVOT_2023!H95</f>
        <v>45166.33</v>
      </c>
      <c r="L149" s="33">
        <f t="shared" si="79"/>
        <v>45166.33</v>
      </c>
      <c r="M149" s="34">
        <v>45166.33</v>
      </c>
      <c r="N149" s="34">
        <f>ROUND(M149,0)</f>
        <v>45166</v>
      </c>
      <c r="O149" s="33"/>
      <c r="P149" s="35"/>
      <c r="Q149" s="33">
        <f>ROUND(N149,0)</f>
        <v>45166</v>
      </c>
      <c r="R149" s="33">
        <f t="shared" si="66"/>
        <v>0</v>
      </c>
      <c r="S149" s="35"/>
      <c r="T149" s="33">
        <f>ROUND(Q149,0)</f>
        <v>45166</v>
      </c>
      <c r="U149" s="33">
        <f t="shared" si="67"/>
        <v>0</v>
      </c>
      <c r="V149" s="35"/>
      <c r="W149" s="33">
        <f>ROUND(T149,0)</f>
        <v>45166</v>
      </c>
      <c r="X149" s="33">
        <f t="shared" si="68"/>
        <v>0</v>
      </c>
      <c r="Y149" s="35"/>
      <c r="Z149" s="33">
        <f>ROUND(W149,0)</f>
        <v>45166</v>
      </c>
      <c r="AA149" s="33">
        <f t="shared" si="69"/>
        <v>0</v>
      </c>
      <c r="AB149" s="35"/>
    </row>
    <row r="150" spans="2:28" x14ac:dyDescent="0.25">
      <c r="B150" s="66" t="s">
        <v>390</v>
      </c>
      <c r="C150" s="148" t="s">
        <v>61</v>
      </c>
      <c r="D150" s="149" t="s">
        <v>391</v>
      </c>
      <c r="E150" s="56">
        <f>E62</f>
        <v>6813</v>
      </c>
      <c r="F150" s="70">
        <f>F62</f>
        <v>342263</v>
      </c>
      <c r="G150" s="56"/>
      <c r="H150" s="56"/>
      <c r="I150" s="56"/>
      <c r="J150" s="56"/>
      <c r="K150" s="56"/>
      <c r="L150" s="56">
        <f t="shared" si="79"/>
        <v>349076</v>
      </c>
      <c r="M150" s="71">
        <v>349076</v>
      </c>
      <c r="N150" s="71">
        <f>ROUND(M150,0)</f>
        <v>349076</v>
      </c>
      <c r="O150" s="56">
        <f t="shared" si="65"/>
        <v>0</v>
      </c>
      <c r="P150" s="152"/>
      <c r="Q150" s="56">
        <f>ROUND(N150,0)+32585</f>
        <v>381661</v>
      </c>
      <c r="R150" s="56">
        <f t="shared" si="66"/>
        <v>32585</v>
      </c>
      <c r="S150" s="56" t="s">
        <v>187</v>
      </c>
      <c r="T150" s="56">
        <f>ROUND(Q150,0)</f>
        <v>381661</v>
      </c>
      <c r="U150" s="56">
        <f t="shared" si="67"/>
        <v>0</v>
      </c>
      <c r="V150" s="56"/>
      <c r="W150" s="56">
        <f>ROUND(T150,0)</f>
        <v>381661</v>
      </c>
      <c r="X150" s="56">
        <f t="shared" si="68"/>
        <v>0</v>
      </c>
      <c r="Y150" s="56"/>
      <c r="Z150" s="56">
        <f>ROUND(W150,0)</f>
        <v>381661</v>
      </c>
      <c r="AA150" s="56">
        <f t="shared" si="69"/>
        <v>0</v>
      </c>
      <c r="AB150" s="56"/>
    </row>
    <row r="151" spans="2:28" x14ac:dyDescent="0.25">
      <c r="C151" s="153" t="s">
        <v>62</v>
      </c>
      <c r="D151" s="154" t="s">
        <v>392</v>
      </c>
      <c r="E151" s="39">
        <f>E152</f>
        <v>190002</v>
      </c>
      <c r="F151" s="39">
        <f t="shared" ref="F151:N151" si="80">F152</f>
        <v>70000</v>
      </c>
      <c r="G151" s="39">
        <f t="shared" si="80"/>
        <v>0</v>
      </c>
      <c r="H151" s="39">
        <f t="shared" si="80"/>
        <v>0</v>
      </c>
      <c r="I151" s="39">
        <f t="shared" si="80"/>
        <v>0</v>
      </c>
      <c r="J151" s="39">
        <f t="shared" si="80"/>
        <v>0</v>
      </c>
      <c r="K151" s="39">
        <f t="shared" si="80"/>
        <v>0</v>
      </c>
      <c r="L151" s="39">
        <f t="shared" si="80"/>
        <v>260002</v>
      </c>
      <c r="M151" s="40">
        <v>260002</v>
      </c>
      <c r="N151" s="40">
        <f t="shared" si="80"/>
        <v>260002</v>
      </c>
      <c r="O151" s="39">
        <f t="shared" si="65"/>
        <v>0</v>
      </c>
      <c r="P151" s="41"/>
      <c r="Q151" s="39">
        <f>Q152</f>
        <v>260002</v>
      </c>
      <c r="R151" s="39">
        <f t="shared" si="66"/>
        <v>0</v>
      </c>
      <c r="S151" s="41"/>
      <c r="T151" s="39">
        <f>T152</f>
        <v>260002</v>
      </c>
      <c r="U151" s="39">
        <f t="shared" si="67"/>
        <v>0</v>
      </c>
      <c r="V151" s="41"/>
      <c r="W151" s="39">
        <f>W152</f>
        <v>260002</v>
      </c>
      <c r="X151" s="39">
        <f t="shared" si="68"/>
        <v>0</v>
      </c>
      <c r="Y151" s="41"/>
      <c r="Z151" s="39">
        <f>Z152</f>
        <v>260002</v>
      </c>
      <c r="AA151" s="39">
        <f t="shared" si="69"/>
        <v>0</v>
      </c>
      <c r="AB151" s="41"/>
    </row>
    <row r="152" spans="2:28" ht="16.2" customHeight="1" x14ac:dyDescent="0.25">
      <c r="B152" s="66" t="s">
        <v>393</v>
      </c>
      <c r="C152" s="148" t="s">
        <v>65</v>
      </c>
      <c r="D152" s="149" t="s">
        <v>394</v>
      </c>
      <c r="E152" s="56">
        <f>E22</f>
        <v>190002</v>
      </c>
      <c r="F152" s="56">
        <f>F22</f>
        <v>70000</v>
      </c>
      <c r="G152" s="56"/>
      <c r="H152" s="56"/>
      <c r="I152" s="56"/>
      <c r="J152" s="56"/>
      <c r="K152" s="56"/>
      <c r="L152" s="56">
        <f>E152+F152+G152+H152+I152+J152+K152</f>
        <v>260002</v>
      </c>
      <c r="M152" s="71">
        <v>260002</v>
      </c>
      <c r="N152" s="71">
        <f>ROUND(M152,0)</f>
        <v>260002</v>
      </c>
      <c r="O152" s="56">
        <f t="shared" si="65"/>
        <v>0</v>
      </c>
      <c r="P152" s="72"/>
      <c r="Q152" s="56">
        <f>ROUND(N152,0)</f>
        <v>260002</v>
      </c>
      <c r="R152" s="56">
        <f t="shared" si="66"/>
        <v>0</v>
      </c>
      <c r="S152" s="72"/>
      <c r="T152" s="56">
        <f>ROUND(Q152,0)</f>
        <v>260002</v>
      </c>
      <c r="U152" s="56">
        <f t="shared" si="67"/>
        <v>0</v>
      </c>
      <c r="V152" s="72"/>
      <c r="W152" s="56">
        <f>ROUND(T152,0)</f>
        <v>260002</v>
      </c>
      <c r="X152" s="56">
        <f t="shared" si="68"/>
        <v>0</v>
      </c>
      <c r="Y152" s="72"/>
      <c r="Z152" s="56">
        <f>ROUND(W152,0)</f>
        <v>260002</v>
      </c>
      <c r="AA152" s="56">
        <f t="shared" si="69"/>
        <v>0</v>
      </c>
      <c r="AB152" s="72"/>
    </row>
    <row r="153" spans="2:28" ht="27.6" x14ac:dyDescent="0.25">
      <c r="C153" s="153" t="s">
        <v>70</v>
      </c>
      <c r="D153" s="154" t="s">
        <v>395</v>
      </c>
      <c r="E153" s="39">
        <f t="shared" ref="E153:N153" si="81">E154+E155+E156+E157+E169</f>
        <v>330504.90000000002</v>
      </c>
      <c r="F153" s="39">
        <f t="shared" si="81"/>
        <v>1200</v>
      </c>
      <c r="G153" s="39">
        <f t="shared" si="81"/>
        <v>860821.1</v>
      </c>
      <c r="H153" s="39">
        <f t="shared" si="81"/>
        <v>3294458.0022</v>
      </c>
      <c r="I153" s="39">
        <f t="shared" si="81"/>
        <v>8421112.8361329995</v>
      </c>
      <c r="J153" s="39">
        <f t="shared" si="81"/>
        <v>2029618.85</v>
      </c>
      <c r="K153" s="39">
        <f t="shared" si="81"/>
        <v>1391525.6841199999</v>
      </c>
      <c r="L153" s="39">
        <f t="shared" si="81"/>
        <v>16329241.372453</v>
      </c>
      <c r="M153" s="40">
        <v>16329241.372453</v>
      </c>
      <c r="N153" s="40">
        <f t="shared" si="81"/>
        <v>16329241</v>
      </c>
      <c r="O153" s="39">
        <f>O155+O156+O157+O169</f>
        <v>-0.3724529993487522</v>
      </c>
      <c r="P153" s="39"/>
      <c r="Q153" s="39">
        <f>Q154+Q155+Q156+Q157+Q169</f>
        <v>16651546</v>
      </c>
      <c r="R153" s="39">
        <f t="shared" si="66"/>
        <v>322305</v>
      </c>
      <c r="S153" s="39"/>
      <c r="T153" s="39">
        <f>T154+T155+T156+T157+T169</f>
        <v>16728872</v>
      </c>
      <c r="U153" s="39">
        <f t="shared" si="67"/>
        <v>77326</v>
      </c>
      <c r="V153" s="39"/>
      <c r="W153" s="39">
        <f>W154+W155+W156+W157+W169</f>
        <v>16750347</v>
      </c>
      <c r="X153" s="39">
        <f t="shared" si="68"/>
        <v>21475</v>
      </c>
      <c r="Y153" s="39"/>
      <c r="Z153" s="39">
        <f>Z154+Z155+Z156+Z157+Z169</f>
        <v>14810347</v>
      </c>
      <c r="AA153" s="39">
        <f t="shared" si="69"/>
        <v>-1940000</v>
      </c>
      <c r="AB153" s="39"/>
    </row>
    <row r="154" spans="2:28" ht="15.6" customHeight="1" x14ac:dyDescent="0.25">
      <c r="B154" s="66" t="s">
        <v>379</v>
      </c>
      <c r="C154" s="148" t="s">
        <v>73</v>
      </c>
      <c r="D154" s="159" t="s">
        <v>380</v>
      </c>
      <c r="E154" s="56"/>
      <c r="F154" s="56"/>
      <c r="G154" s="56"/>
      <c r="H154" s="56"/>
      <c r="I154" s="56"/>
      <c r="J154" s="56"/>
      <c r="K154" s="160">
        <f>[4]PIVOT_2023!H105</f>
        <v>70000</v>
      </c>
      <c r="L154" s="160">
        <f>E154+F154+G154+H154+I154+J154+K154</f>
        <v>70000</v>
      </c>
      <c r="M154" s="71">
        <v>70000</v>
      </c>
      <c r="N154" s="71">
        <f>ROUND(M154,0)</f>
        <v>70000</v>
      </c>
      <c r="O154" s="56">
        <f>N154-M154</f>
        <v>0</v>
      </c>
      <c r="P154" s="152"/>
      <c r="Q154" s="56">
        <f>ROUND(N154,0)</f>
        <v>70000</v>
      </c>
      <c r="R154" s="56">
        <f t="shared" si="66"/>
        <v>0</v>
      </c>
      <c r="S154" s="152"/>
      <c r="T154" s="56">
        <f>ROUND(Q154,0)</f>
        <v>70000</v>
      </c>
      <c r="U154" s="56">
        <f t="shared" si="67"/>
        <v>0</v>
      </c>
      <c r="V154" s="152"/>
      <c r="W154" s="56">
        <f>ROUND(T154,0)</f>
        <v>70000</v>
      </c>
      <c r="X154" s="56">
        <f t="shared" si="68"/>
        <v>0</v>
      </c>
      <c r="Y154" s="152"/>
      <c r="Z154" s="56">
        <f>ROUND(W154,0)</f>
        <v>70000</v>
      </c>
      <c r="AA154" s="56">
        <f t="shared" si="69"/>
        <v>0</v>
      </c>
      <c r="AB154" s="152"/>
    </row>
    <row r="155" spans="2:28" ht="19.2" customHeight="1" x14ac:dyDescent="0.25">
      <c r="B155" s="66" t="s">
        <v>396</v>
      </c>
      <c r="C155" s="148" t="s">
        <v>85</v>
      </c>
      <c r="D155" s="159" t="s">
        <v>397</v>
      </c>
      <c r="E155" s="160"/>
      <c r="F155" s="160"/>
      <c r="G155" s="160"/>
      <c r="H155" s="160"/>
      <c r="I155" s="160"/>
      <c r="J155" s="160"/>
      <c r="K155" s="160">
        <f>[4]PIVOT_2023!H106</f>
        <v>313523.70461999997</v>
      </c>
      <c r="L155" s="160">
        <f t="shared" si="79"/>
        <v>313523.70461999997</v>
      </c>
      <c r="M155" s="161">
        <v>313523.70461999997</v>
      </c>
      <c r="N155" s="161">
        <f>ROUND(M155,0)</f>
        <v>313524</v>
      </c>
      <c r="O155" s="160">
        <f t="shared" si="65"/>
        <v>0.29538000002503395</v>
      </c>
      <c r="P155" s="72"/>
      <c r="Q155" s="160">
        <f>ROUND(N155,0)+15000</f>
        <v>328524</v>
      </c>
      <c r="R155" s="162">
        <f t="shared" si="66"/>
        <v>15000</v>
      </c>
      <c r="S155" s="163" t="s">
        <v>398</v>
      </c>
      <c r="T155" s="160">
        <f>ROUND(Q155,0)</f>
        <v>328524</v>
      </c>
      <c r="U155" s="160">
        <f t="shared" si="67"/>
        <v>0</v>
      </c>
      <c r="V155" s="164"/>
      <c r="W155" s="160">
        <f>ROUND(T155,0)</f>
        <v>328524</v>
      </c>
      <c r="X155" s="160">
        <f t="shared" si="68"/>
        <v>0</v>
      </c>
      <c r="Y155" s="164"/>
      <c r="Z155" s="160">
        <f>ROUND(W155,0)</f>
        <v>328524</v>
      </c>
      <c r="AA155" s="160">
        <f t="shared" si="69"/>
        <v>0</v>
      </c>
      <c r="AB155" s="164"/>
    </row>
    <row r="156" spans="2:28" ht="58.2" customHeight="1" x14ac:dyDescent="0.25">
      <c r="B156" s="66" t="s">
        <v>399</v>
      </c>
      <c r="C156" s="148" t="s">
        <v>400</v>
      </c>
      <c r="D156" s="159" t="s">
        <v>401</v>
      </c>
      <c r="E156" s="160"/>
      <c r="F156" s="160"/>
      <c r="G156" s="160"/>
      <c r="H156" s="160"/>
      <c r="I156" s="160"/>
      <c r="J156" s="160">
        <f>[4]Pivot_invest_2023!E46</f>
        <v>78000</v>
      </c>
      <c r="K156" s="160">
        <f>[4]PIVOT_2023!H119</f>
        <v>267571.12844500004</v>
      </c>
      <c r="L156" s="160">
        <f t="shared" si="79"/>
        <v>345571.12844500004</v>
      </c>
      <c r="M156" s="161">
        <v>345571.12844500004</v>
      </c>
      <c r="N156" s="161">
        <f>ROUND(M156,0)</f>
        <v>345571</v>
      </c>
      <c r="O156" s="160">
        <f t="shared" si="65"/>
        <v>-0.12844500003848225</v>
      </c>
      <c r="P156" s="72"/>
      <c r="Q156" s="160">
        <f>ROUND(N156,0)-11083</f>
        <v>334488</v>
      </c>
      <c r="R156" s="162">
        <f t="shared" si="66"/>
        <v>-11083</v>
      </c>
      <c r="S156" s="151" t="s">
        <v>353</v>
      </c>
      <c r="T156" s="160">
        <f>ROUND(Q156,0)</f>
        <v>334488</v>
      </c>
      <c r="U156" s="160">
        <f t="shared" si="67"/>
        <v>0</v>
      </c>
      <c r="V156" s="72"/>
      <c r="W156" s="160">
        <f>ROUND(T156,0)</f>
        <v>334488</v>
      </c>
      <c r="X156" s="160">
        <f t="shared" si="68"/>
        <v>0</v>
      </c>
      <c r="Y156" s="72"/>
      <c r="Z156" s="160">
        <f>ROUND(W156,0)</f>
        <v>334488</v>
      </c>
      <c r="AA156" s="160">
        <f t="shared" si="69"/>
        <v>0</v>
      </c>
      <c r="AB156" s="72"/>
    </row>
    <row r="157" spans="2:28" x14ac:dyDescent="0.25">
      <c r="C157" s="148" t="s">
        <v>402</v>
      </c>
      <c r="D157" s="159" t="s">
        <v>403</v>
      </c>
      <c r="E157" s="160">
        <f t="shared" ref="E157:O157" si="82">SUM(E158:E167)</f>
        <v>96582</v>
      </c>
      <c r="F157" s="160">
        <f t="shared" si="82"/>
        <v>1200</v>
      </c>
      <c r="G157" s="160">
        <f t="shared" si="82"/>
        <v>14100</v>
      </c>
      <c r="H157" s="160">
        <f t="shared" si="82"/>
        <v>304346</v>
      </c>
      <c r="I157" s="160">
        <f t="shared" si="82"/>
        <v>0</v>
      </c>
      <c r="J157" s="160">
        <f t="shared" si="82"/>
        <v>708088</v>
      </c>
      <c r="K157" s="160">
        <f t="shared" si="82"/>
        <v>402654.04988000001</v>
      </c>
      <c r="L157" s="160">
        <f t="shared" si="82"/>
        <v>1526970.0498800001</v>
      </c>
      <c r="M157" s="160">
        <v>1526970.0498800001</v>
      </c>
      <c r="N157" s="160">
        <f>SUM(N158:N168)</f>
        <v>1526970</v>
      </c>
      <c r="O157" s="160">
        <f t="shared" si="82"/>
        <v>-4.9880000064149499E-2</v>
      </c>
      <c r="P157" s="160"/>
      <c r="Q157" s="160">
        <f>SUM(Q158:Q168)</f>
        <v>1509840</v>
      </c>
      <c r="R157" s="160">
        <f t="shared" si="66"/>
        <v>-17130</v>
      </c>
      <c r="S157" s="160"/>
      <c r="T157" s="160">
        <f>SUM(T158:T168)</f>
        <v>1509840</v>
      </c>
      <c r="U157" s="160">
        <f t="shared" si="67"/>
        <v>0</v>
      </c>
      <c r="V157" s="160"/>
      <c r="W157" s="160">
        <f>SUM(W158:W168)</f>
        <v>1594840</v>
      </c>
      <c r="X157" s="160">
        <f t="shared" si="68"/>
        <v>85000</v>
      </c>
      <c r="Y157" s="160"/>
      <c r="Z157" s="160">
        <f>SUM(Z158:Z168)</f>
        <v>1480257</v>
      </c>
      <c r="AA157" s="160">
        <f t="shared" si="69"/>
        <v>-114583</v>
      </c>
      <c r="AB157" s="160"/>
    </row>
    <row r="158" spans="2:28" ht="73.5" customHeight="1" x14ac:dyDescent="0.25">
      <c r="B158" s="66" t="s">
        <v>195</v>
      </c>
      <c r="C158" s="157" t="s">
        <v>404</v>
      </c>
      <c r="D158" s="112" t="s">
        <v>405</v>
      </c>
      <c r="E158" s="33">
        <f>10621</f>
        <v>10621</v>
      </c>
      <c r="F158" s="33">
        <v>1200</v>
      </c>
      <c r="G158" s="33"/>
      <c r="H158" s="33"/>
      <c r="I158" s="33"/>
      <c r="J158" s="33">
        <f>[4]Pivot_invest_2023!E4+[4]Pivot_invest_2023!E44+[4]Pivot_invest_2023!E65-E158</f>
        <v>594638</v>
      </c>
      <c r="K158" s="33">
        <f>[4]PIVOT_2023!H111</f>
        <v>402654.04988000001</v>
      </c>
      <c r="L158" s="33">
        <f>E158+F158+G158+H158+I158+J158+K158</f>
        <v>1009113.0498800001</v>
      </c>
      <c r="M158" s="34">
        <v>1009113.0498800001</v>
      </c>
      <c r="N158" s="34">
        <f>ROUND(M158,0)+5033</f>
        <v>1014146</v>
      </c>
      <c r="O158" s="33">
        <f t="shared" si="65"/>
        <v>5032.9501199999359</v>
      </c>
      <c r="P158" s="165" t="s">
        <v>406</v>
      </c>
      <c r="Q158" s="33">
        <f>ROUND(N158,0)-17130</f>
        <v>997016</v>
      </c>
      <c r="R158" s="36">
        <f t="shared" si="66"/>
        <v>-17130</v>
      </c>
      <c r="S158" s="166" t="s">
        <v>353</v>
      </c>
      <c r="T158" s="33">
        <f>ROUND(Q158,0)</f>
        <v>997016</v>
      </c>
      <c r="U158" s="33">
        <f t="shared" si="67"/>
        <v>0</v>
      </c>
      <c r="V158" s="165"/>
      <c r="W158" s="33">
        <f>ROUND(T158,0)-73+27000+8000+50000+1000</f>
        <v>1082943</v>
      </c>
      <c r="X158" s="33">
        <f t="shared" si="68"/>
        <v>85927</v>
      </c>
      <c r="Y158" s="165" t="s">
        <v>407</v>
      </c>
      <c r="Z158" s="33">
        <f>ROUND(W158,0)-232064-8445</f>
        <v>842434</v>
      </c>
      <c r="AA158" s="33">
        <f t="shared" si="69"/>
        <v>-240509</v>
      </c>
      <c r="AB158" s="165" t="s">
        <v>408</v>
      </c>
    </row>
    <row r="159" spans="2:28" ht="18.600000000000001" customHeight="1" x14ac:dyDescent="0.25">
      <c r="B159" s="66" t="s">
        <v>409</v>
      </c>
      <c r="C159" s="157" t="s">
        <v>410</v>
      </c>
      <c r="D159" s="167" t="s">
        <v>411</v>
      </c>
      <c r="E159" s="33"/>
      <c r="F159" s="33"/>
      <c r="G159" s="33"/>
      <c r="H159" s="33"/>
      <c r="I159" s="33"/>
      <c r="J159" s="33">
        <v>40000</v>
      </c>
      <c r="K159" s="33"/>
      <c r="L159" s="33">
        <f t="shared" ref="L159:L167" si="83">E159+F159+G159+H159+I159+J159+K159</f>
        <v>40000</v>
      </c>
      <c r="M159" s="34">
        <v>40000</v>
      </c>
      <c r="N159" s="34">
        <f t="shared" ref="N159:N164" si="84">ROUND(M159,0)</f>
        <v>40000</v>
      </c>
      <c r="O159" s="33">
        <f t="shared" si="65"/>
        <v>0</v>
      </c>
      <c r="P159" s="165"/>
      <c r="Q159" s="33">
        <f t="shared" ref="Q159:Q164" si="85">ROUND(N159,0)</f>
        <v>40000</v>
      </c>
      <c r="R159" s="33">
        <f t="shared" si="66"/>
        <v>0</v>
      </c>
      <c r="S159" s="165"/>
      <c r="T159" s="33">
        <f>ROUND(Q159,0)+1630</f>
        <v>41630</v>
      </c>
      <c r="U159" s="33">
        <f t="shared" si="67"/>
        <v>1630</v>
      </c>
      <c r="V159" s="165" t="s">
        <v>412</v>
      </c>
      <c r="W159" s="33">
        <f t="shared" ref="W159:W164" si="86">ROUND(T159,0)</f>
        <v>41630</v>
      </c>
      <c r="X159" s="33">
        <f t="shared" si="68"/>
        <v>0</v>
      </c>
      <c r="Y159" s="165"/>
      <c r="Z159" s="33">
        <f t="shared" ref="Z159:Z164" si="87">ROUND(W159,0)</f>
        <v>41630</v>
      </c>
      <c r="AA159" s="33">
        <f t="shared" si="69"/>
        <v>0</v>
      </c>
      <c r="AB159" s="165"/>
    </row>
    <row r="160" spans="2:28" ht="16.5" customHeight="1" x14ac:dyDescent="0.25">
      <c r="B160" s="66" t="s">
        <v>409</v>
      </c>
      <c r="C160" s="157" t="s">
        <v>413</v>
      </c>
      <c r="D160" s="167" t="s">
        <v>414</v>
      </c>
      <c r="E160" s="33"/>
      <c r="F160" s="33"/>
      <c r="G160" s="33"/>
      <c r="H160" s="33"/>
      <c r="I160" s="33"/>
      <c r="J160" s="33">
        <f>[4]Pivot_invest_2023!E45-J159</f>
        <v>10000</v>
      </c>
      <c r="K160" s="33"/>
      <c r="L160" s="33">
        <f t="shared" si="83"/>
        <v>10000</v>
      </c>
      <c r="M160" s="34">
        <v>10000</v>
      </c>
      <c r="N160" s="34">
        <f t="shared" si="84"/>
        <v>10000</v>
      </c>
      <c r="O160" s="33">
        <f t="shared" si="65"/>
        <v>0</v>
      </c>
      <c r="P160" s="165"/>
      <c r="Q160" s="33">
        <f t="shared" si="85"/>
        <v>10000</v>
      </c>
      <c r="R160" s="33">
        <f t="shared" si="66"/>
        <v>0</v>
      </c>
      <c r="S160" s="165"/>
      <c r="T160" s="33">
        <f>ROUND(Q160,0)</f>
        <v>10000</v>
      </c>
      <c r="U160" s="33">
        <f t="shared" si="67"/>
        <v>0</v>
      </c>
      <c r="V160" s="165"/>
      <c r="W160" s="33">
        <f t="shared" si="86"/>
        <v>10000</v>
      </c>
      <c r="X160" s="33">
        <f t="shared" si="68"/>
        <v>0</v>
      </c>
      <c r="Y160" s="165"/>
      <c r="Z160" s="33">
        <f t="shared" si="87"/>
        <v>10000</v>
      </c>
      <c r="AA160" s="33">
        <f t="shared" si="69"/>
        <v>0</v>
      </c>
      <c r="AB160" s="165"/>
    </row>
    <row r="161" spans="2:28" ht="28.2" customHeight="1" x14ac:dyDescent="0.25">
      <c r="B161" s="66" t="s">
        <v>415</v>
      </c>
      <c r="C161" s="168" t="s">
        <v>416</v>
      </c>
      <c r="D161" s="169" t="s">
        <v>417</v>
      </c>
      <c r="E161" s="33">
        <f>42000</f>
        <v>42000</v>
      </c>
      <c r="F161" s="33"/>
      <c r="G161" s="33"/>
      <c r="H161" s="33"/>
      <c r="I161" s="33"/>
      <c r="J161" s="33">
        <f>[4]Pivot_invest_2023!E7-SUM(E161:I161)</f>
        <v>0</v>
      </c>
      <c r="K161" s="33"/>
      <c r="L161" s="33">
        <f t="shared" si="83"/>
        <v>42000</v>
      </c>
      <c r="M161" s="34">
        <v>42000</v>
      </c>
      <c r="N161" s="34">
        <f>ROUND(M161,0)+18000</f>
        <v>60000</v>
      </c>
      <c r="O161" s="33">
        <f t="shared" si="65"/>
        <v>18000</v>
      </c>
      <c r="P161" s="165" t="s">
        <v>418</v>
      </c>
      <c r="Q161" s="33">
        <f t="shared" si="85"/>
        <v>60000</v>
      </c>
      <c r="R161" s="33">
        <f t="shared" si="66"/>
        <v>0</v>
      </c>
      <c r="S161" s="165"/>
      <c r="T161" s="33">
        <f>ROUND(Q161,0)</f>
        <v>60000</v>
      </c>
      <c r="U161" s="33">
        <f t="shared" si="67"/>
        <v>0</v>
      </c>
      <c r="V161" s="165"/>
      <c r="W161" s="33">
        <f t="shared" si="86"/>
        <v>60000</v>
      </c>
      <c r="X161" s="33">
        <f t="shared" si="68"/>
        <v>0</v>
      </c>
      <c r="Y161" s="165"/>
      <c r="Z161" s="33">
        <f t="shared" si="87"/>
        <v>60000</v>
      </c>
      <c r="AA161" s="33">
        <f t="shared" si="69"/>
        <v>0</v>
      </c>
      <c r="AB161" s="165"/>
    </row>
    <row r="162" spans="2:28" ht="32.4" customHeight="1" x14ac:dyDescent="0.25">
      <c r="B162" s="66" t="s">
        <v>419</v>
      </c>
      <c r="C162" s="168" t="s">
        <v>420</v>
      </c>
      <c r="D162" s="170" t="s">
        <v>421</v>
      </c>
      <c r="E162" s="33"/>
      <c r="F162" s="33"/>
      <c r="G162" s="33"/>
      <c r="H162" s="33">
        <f>H113</f>
        <v>59922</v>
      </c>
      <c r="I162" s="33"/>
      <c r="J162" s="33">
        <f>[4]Pivot_invest_2023!E8-SUM(E162:I162)</f>
        <v>25368</v>
      </c>
      <c r="K162" s="33"/>
      <c r="L162" s="33">
        <f t="shared" si="83"/>
        <v>85290</v>
      </c>
      <c r="M162" s="34">
        <v>85290</v>
      </c>
      <c r="N162" s="34">
        <f t="shared" si="84"/>
        <v>85290</v>
      </c>
      <c r="O162" s="33">
        <f t="shared" si="65"/>
        <v>0</v>
      </c>
      <c r="P162" s="165"/>
      <c r="Q162" s="33">
        <f t="shared" si="85"/>
        <v>85290</v>
      </c>
      <c r="R162" s="33">
        <f t="shared" si="66"/>
        <v>0</v>
      </c>
      <c r="S162" s="165"/>
      <c r="T162" s="33">
        <f>ROUND(Q162,0)</f>
        <v>85290</v>
      </c>
      <c r="U162" s="33">
        <f t="shared" si="67"/>
        <v>0</v>
      </c>
      <c r="V162" s="165"/>
      <c r="W162" s="33">
        <f t="shared" si="86"/>
        <v>85290</v>
      </c>
      <c r="X162" s="33">
        <f t="shared" si="68"/>
        <v>0</v>
      </c>
      <c r="Y162" s="165"/>
      <c r="Z162" s="33">
        <f t="shared" si="87"/>
        <v>85290</v>
      </c>
      <c r="AA162" s="33">
        <f t="shared" si="69"/>
        <v>0</v>
      </c>
      <c r="AB162" s="165"/>
    </row>
    <row r="163" spans="2:28" ht="15.75" customHeight="1" x14ac:dyDescent="0.25">
      <c r="B163" s="66" t="s">
        <v>422</v>
      </c>
      <c r="C163" s="168" t="s">
        <v>423</v>
      </c>
      <c r="D163" s="170" t="s">
        <v>246</v>
      </c>
      <c r="E163" s="33"/>
      <c r="F163" s="33"/>
      <c r="G163" s="33"/>
      <c r="H163" s="33">
        <f>H114</f>
        <v>207089</v>
      </c>
      <c r="I163" s="33"/>
      <c r="J163" s="33">
        <f>[4]Pivot_invest_2023!E9-SUM(E163:I163)</f>
        <v>29082</v>
      </c>
      <c r="K163" s="33"/>
      <c r="L163" s="33">
        <f t="shared" si="83"/>
        <v>236171</v>
      </c>
      <c r="M163" s="34">
        <v>236171</v>
      </c>
      <c r="N163" s="34">
        <f t="shared" si="84"/>
        <v>236171</v>
      </c>
      <c r="O163" s="33">
        <f t="shared" si="65"/>
        <v>0</v>
      </c>
      <c r="P163" s="165"/>
      <c r="Q163" s="33">
        <f t="shared" si="85"/>
        <v>236171</v>
      </c>
      <c r="R163" s="33">
        <f t="shared" si="66"/>
        <v>0</v>
      </c>
      <c r="S163" s="165"/>
      <c r="T163" s="33">
        <f>ROUND(Q163,0)</f>
        <v>236171</v>
      </c>
      <c r="U163" s="33">
        <f t="shared" si="67"/>
        <v>0</v>
      </c>
      <c r="V163" s="165"/>
      <c r="W163" s="33">
        <f t="shared" si="86"/>
        <v>236171</v>
      </c>
      <c r="X163" s="33">
        <f t="shared" si="68"/>
        <v>0</v>
      </c>
      <c r="Y163" s="165"/>
      <c r="Z163" s="33">
        <f t="shared" si="87"/>
        <v>236171</v>
      </c>
      <c r="AA163" s="33">
        <f t="shared" si="69"/>
        <v>0</v>
      </c>
      <c r="AB163" s="165"/>
    </row>
    <row r="164" spans="2:28" ht="25.2" customHeight="1" x14ac:dyDescent="0.25">
      <c r="B164" s="66" t="s">
        <v>424</v>
      </c>
      <c r="C164" s="168" t="s">
        <v>425</v>
      </c>
      <c r="D164" s="170" t="s">
        <v>210</v>
      </c>
      <c r="E164" s="33">
        <f>E70</f>
        <v>7821</v>
      </c>
      <c r="F164" s="33"/>
      <c r="G164" s="33"/>
      <c r="H164" s="33">
        <f>H117</f>
        <v>37335</v>
      </c>
      <c r="I164" s="33"/>
      <c r="J164" s="33">
        <f>[4]Pivot_invest_2023!E6-SUM(E164:I164)</f>
        <v>8084</v>
      </c>
      <c r="K164" s="33"/>
      <c r="L164" s="33">
        <f t="shared" si="83"/>
        <v>53240</v>
      </c>
      <c r="M164" s="34">
        <v>53240</v>
      </c>
      <c r="N164" s="34">
        <f t="shared" si="84"/>
        <v>53240</v>
      </c>
      <c r="O164" s="33">
        <f t="shared" si="65"/>
        <v>0</v>
      </c>
      <c r="P164" s="51"/>
      <c r="Q164" s="33">
        <f t="shared" si="85"/>
        <v>53240</v>
      </c>
      <c r="R164" s="33">
        <f t="shared" si="66"/>
        <v>0</v>
      </c>
      <c r="S164" s="51"/>
      <c r="T164" s="33">
        <f>ROUND(Q164,0)</f>
        <v>53240</v>
      </c>
      <c r="U164" s="33">
        <f t="shared" si="67"/>
        <v>0</v>
      </c>
      <c r="V164" s="51"/>
      <c r="W164" s="33">
        <f t="shared" si="86"/>
        <v>53240</v>
      </c>
      <c r="X164" s="33">
        <f t="shared" si="68"/>
        <v>0</v>
      </c>
      <c r="Y164" s="51"/>
      <c r="Z164" s="33">
        <f t="shared" si="87"/>
        <v>53240</v>
      </c>
      <c r="AA164" s="33">
        <f t="shared" si="69"/>
        <v>0</v>
      </c>
      <c r="AB164" s="51"/>
    </row>
    <row r="165" spans="2:28" ht="13.2" customHeight="1" x14ac:dyDescent="0.25">
      <c r="B165" s="66" t="s">
        <v>195</v>
      </c>
      <c r="C165" s="168" t="s">
        <v>426</v>
      </c>
      <c r="D165" s="73" t="s">
        <v>280</v>
      </c>
      <c r="E165" s="33">
        <f>32020</f>
        <v>32020</v>
      </c>
      <c r="F165" s="33"/>
      <c r="G165" s="33"/>
      <c r="H165" s="33"/>
      <c r="I165" s="33"/>
      <c r="J165" s="33">
        <f>[4]Pivot_invest_2023!E32-SUM(E165:I165)</f>
        <v>0</v>
      </c>
      <c r="K165" s="33"/>
      <c r="L165" s="33">
        <f t="shared" si="83"/>
        <v>32020</v>
      </c>
      <c r="M165" s="34">
        <v>32020</v>
      </c>
      <c r="N165" s="34">
        <f>32020-18000-5033</f>
        <v>8987</v>
      </c>
      <c r="O165" s="33">
        <f t="shared" si="65"/>
        <v>-23033</v>
      </c>
      <c r="P165" s="165" t="s">
        <v>427</v>
      </c>
      <c r="Q165" s="33">
        <f>32020-18000-5033</f>
        <v>8987</v>
      </c>
      <c r="R165" s="33">
        <f t="shared" si="66"/>
        <v>0</v>
      </c>
      <c r="S165" s="165"/>
      <c r="T165" s="33">
        <f>32020-18000-5033</f>
        <v>8987</v>
      </c>
      <c r="U165" s="33">
        <f t="shared" si="67"/>
        <v>0</v>
      </c>
      <c r="V165" s="165"/>
      <c r="W165" s="33">
        <f>32020-18000-5033</f>
        <v>8987</v>
      </c>
      <c r="X165" s="33">
        <f t="shared" si="68"/>
        <v>0</v>
      </c>
      <c r="Y165" s="165"/>
      <c r="Z165" s="33">
        <f>32020-18000-5033</f>
        <v>8987</v>
      </c>
      <c r="AA165" s="33">
        <f t="shared" si="69"/>
        <v>0</v>
      </c>
      <c r="AB165" s="165"/>
    </row>
    <row r="166" spans="2:28" ht="32.4" customHeight="1" x14ac:dyDescent="0.25">
      <c r="B166" s="66" t="s">
        <v>281</v>
      </c>
      <c r="C166" s="168" t="s">
        <v>428</v>
      </c>
      <c r="D166" s="170" t="s">
        <v>429</v>
      </c>
      <c r="E166" s="33">
        <f>E98</f>
        <v>4120</v>
      </c>
      <c r="F166" s="33"/>
      <c r="G166" s="33"/>
      <c r="H166" s="33"/>
      <c r="I166" s="33"/>
      <c r="J166" s="33">
        <f>[4]Pivot_invest_2023!E5-SUM(E166:I166)</f>
        <v>16</v>
      </c>
      <c r="K166" s="33"/>
      <c r="L166" s="33">
        <f t="shared" si="83"/>
        <v>4136</v>
      </c>
      <c r="M166" s="34">
        <v>4136</v>
      </c>
      <c r="N166" s="34">
        <v>4136</v>
      </c>
      <c r="O166" s="33">
        <f t="shared" si="65"/>
        <v>0</v>
      </c>
      <c r="P166" s="165"/>
      <c r="Q166" s="33">
        <f>4136-1298</f>
        <v>2838</v>
      </c>
      <c r="R166" s="33">
        <f t="shared" si="66"/>
        <v>-1298</v>
      </c>
      <c r="S166" s="363" t="s">
        <v>430</v>
      </c>
      <c r="T166" s="33">
        <f>4136-1298-1630</f>
        <v>1208</v>
      </c>
      <c r="U166" s="33">
        <f t="shared" si="67"/>
        <v>-1630</v>
      </c>
      <c r="V166" s="165" t="s">
        <v>412</v>
      </c>
      <c r="W166" s="33">
        <f>4136-1298-1630-1000</f>
        <v>208</v>
      </c>
      <c r="X166" s="33">
        <f t="shared" si="68"/>
        <v>-1000</v>
      </c>
      <c r="Y166" s="165" t="s">
        <v>431</v>
      </c>
      <c r="Z166" s="33">
        <f>4136-1298-1630-1000</f>
        <v>208</v>
      </c>
      <c r="AA166" s="33">
        <f t="shared" si="69"/>
        <v>0</v>
      </c>
      <c r="AB166" s="165"/>
    </row>
    <row r="167" spans="2:28" ht="32.4" customHeight="1" x14ac:dyDescent="0.25">
      <c r="B167" s="66" t="s">
        <v>432</v>
      </c>
      <c r="C167" s="168" t="s">
        <v>433</v>
      </c>
      <c r="D167" s="170" t="s">
        <v>248</v>
      </c>
      <c r="E167" s="33"/>
      <c r="F167" s="33"/>
      <c r="G167" s="33">
        <f>G85</f>
        <v>14100</v>
      </c>
      <c r="H167" s="33"/>
      <c r="I167" s="33"/>
      <c r="J167" s="33">
        <f>[4]Pivot_invest_2023!E12-SUM(E167:I167)</f>
        <v>900</v>
      </c>
      <c r="K167" s="33"/>
      <c r="L167" s="33">
        <f t="shared" si="83"/>
        <v>15000</v>
      </c>
      <c r="M167" s="34">
        <v>15000</v>
      </c>
      <c r="N167" s="34">
        <v>15000</v>
      </c>
      <c r="O167" s="33">
        <f t="shared" si="65"/>
        <v>0</v>
      </c>
      <c r="P167" s="165"/>
      <c r="Q167" s="33">
        <f>15000+1298</f>
        <v>16298</v>
      </c>
      <c r="R167" s="33">
        <f t="shared" si="66"/>
        <v>1298</v>
      </c>
      <c r="S167" s="364"/>
      <c r="T167" s="33">
        <f>15000+1298</f>
        <v>16298</v>
      </c>
      <c r="U167" s="33">
        <f t="shared" si="67"/>
        <v>0</v>
      </c>
      <c r="V167" s="171"/>
      <c r="W167" s="33">
        <f>15000+1298+73</f>
        <v>16371</v>
      </c>
      <c r="X167" s="33">
        <f t="shared" si="68"/>
        <v>73</v>
      </c>
      <c r="Y167" s="171" t="s">
        <v>434</v>
      </c>
      <c r="Z167" s="33">
        <f>15000+1298+73</f>
        <v>16371</v>
      </c>
      <c r="AA167" s="33">
        <f t="shared" si="69"/>
        <v>0</v>
      </c>
      <c r="AB167" s="171"/>
    </row>
    <row r="168" spans="2:28" ht="32.4" customHeight="1" x14ac:dyDescent="0.25">
      <c r="B168" s="66" t="s">
        <v>211</v>
      </c>
      <c r="C168" s="168" t="s">
        <v>435</v>
      </c>
      <c r="D168" s="170" t="s">
        <v>213</v>
      </c>
      <c r="E168" s="33"/>
      <c r="F168" s="33"/>
      <c r="G168" s="33"/>
      <c r="H168" s="33"/>
      <c r="I168" s="33"/>
      <c r="J168" s="33"/>
      <c r="K168" s="33"/>
      <c r="L168" s="33"/>
      <c r="M168" s="34"/>
      <c r="N168" s="34"/>
      <c r="O168" s="33"/>
      <c r="P168" s="165"/>
      <c r="Q168" s="33"/>
      <c r="R168" s="33"/>
      <c r="S168" s="172"/>
      <c r="T168" s="33"/>
      <c r="U168" s="33"/>
      <c r="V168" s="173"/>
      <c r="W168" s="33"/>
      <c r="X168" s="33"/>
      <c r="Y168" s="173"/>
      <c r="Z168" s="33">
        <v>125926</v>
      </c>
      <c r="AA168" s="33">
        <f t="shared" si="69"/>
        <v>125926</v>
      </c>
      <c r="AB168" s="173" t="s">
        <v>214</v>
      </c>
    </row>
    <row r="169" spans="2:28" ht="29.25" customHeight="1" x14ac:dyDescent="0.25">
      <c r="C169" s="148" t="s">
        <v>436</v>
      </c>
      <c r="D169" s="159" t="s">
        <v>437</v>
      </c>
      <c r="E169" s="160">
        <f>SUM(E170:E187)</f>
        <v>233922.9</v>
      </c>
      <c r="F169" s="160">
        <f t="shared" ref="F169:N169" si="88">SUM(F170:F175,F179:F187)</f>
        <v>0</v>
      </c>
      <c r="G169" s="160">
        <f t="shared" si="88"/>
        <v>846721.1</v>
      </c>
      <c r="H169" s="160">
        <f t="shared" si="88"/>
        <v>2990112.0022</v>
      </c>
      <c r="I169" s="160">
        <f t="shared" si="88"/>
        <v>8421112.8361329995</v>
      </c>
      <c r="J169" s="160">
        <f t="shared" si="88"/>
        <v>1243530.8500000001</v>
      </c>
      <c r="K169" s="160">
        <f t="shared" si="88"/>
        <v>337776.80117500003</v>
      </c>
      <c r="L169" s="160">
        <f t="shared" si="88"/>
        <v>14073176.489507999</v>
      </c>
      <c r="M169" s="161">
        <v>14073176.489507999</v>
      </c>
      <c r="N169" s="161">
        <f t="shared" si="88"/>
        <v>14073176</v>
      </c>
      <c r="O169" s="160">
        <f t="shared" si="65"/>
        <v>-0.4895079992711544</v>
      </c>
      <c r="P169" s="174"/>
      <c r="Q169" s="160">
        <f>SUM(Q170:Q175,Q179:Q187)</f>
        <v>14408694</v>
      </c>
      <c r="R169" s="160">
        <f t="shared" si="66"/>
        <v>335518</v>
      </c>
      <c r="S169" s="174"/>
      <c r="T169" s="160">
        <f>SUM(T170:T175,T179:T187)</f>
        <v>14486020</v>
      </c>
      <c r="U169" s="160">
        <f t="shared" si="67"/>
        <v>77326</v>
      </c>
      <c r="V169" s="174"/>
      <c r="W169" s="160">
        <f>SUM(W170:W175,W179:W187)</f>
        <v>14422495</v>
      </c>
      <c r="X169" s="160">
        <f t="shared" si="68"/>
        <v>-63525</v>
      </c>
      <c r="Y169" s="174"/>
      <c r="Z169" s="160">
        <f>SUM(Z170:Z175,Z179:Z187)</f>
        <v>12597078</v>
      </c>
      <c r="AA169" s="160">
        <f t="shared" si="69"/>
        <v>-1825417</v>
      </c>
      <c r="AB169" s="174"/>
    </row>
    <row r="170" spans="2:28" s="141" customFormat="1" ht="17.25" hidden="1" customHeight="1" outlineLevel="1" x14ac:dyDescent="0.25">
      <c r="C170" s="175" t="s">
        <v>438</v>
      </c>
      <c r="D170" s="176" t="s">
        <v>439</v>
      </c>
      <c r="E170" s="33"/>
      <c r="F170" s="33"/>
      <c r="G170" s="33"/>
      <c r="H170" s="33"/>
      <c r="I170" s="33"/>
      <c r="J170" s="33"/>
      <c r="K170" s="33"/>
      <c r="L170" s="33">
        <f t="shared" ref="L170:L187" si="89">E170+F170+G170+H170+I170+J170+K170</f>
        <v>0</v>
      </c>
      <c r="M170" s="34">
        <v>0</v>
      </c>
      <c r="N170" s="34">
        <f>ROUND(M170,0)</f>
        <v>0</v>
      </c>
      <c r="O170" s="33">
        <f t="shared" si="65"/>
        <v>0</v>
      </c>
      <c r="P170" s="177"/>
      <c r="Q170" s="33">
        <f>ROUND(N170,0)</f>
        <v>0</v>
      </c>
      <c r="R170" s="33">
        <f t="shared" si="66"/>
        <v>0</v>
      </c>
      <c r="S170" s="177"/>
      <c r="T170" s="33">
        <f>ROUND(Q170,0)</f>
        <v>0</v>
      </c>
      <c r="U170" s="33">
        <f t="shared" si="67"/>
        <v>0</v>
      </c>
      <c r="V170" s="177"/>
      <c r="W170" s="33">
        <f>ROUND(T170,0)</f>
        <v>0</v>
      </c>
      <c r="X170" s="33">
        <f t="shared" si="68"/>
        <v>0</v>
      </c>
      <c r="Y170" s="177"/>
      <c r="Z170" s="33">
        <f>ROUND(W170,0)</f>
        <v>0</v>
      </c>
      <c r="AA170" s="33">
        <f t="shared" si="69"/>
        <v>0</v>
      </c>
      <c r="AB170" s="177"/>
    </row>
    <row r="171" spans="2:28" ht="41.4" customHeight="1" collapsed="1" x14ac:dyDescent="0.25">
      <c r="B171" s="66" t="s">
        <v>440</v>
      </c>
      <c r="C171" s="157" t="s">
        <v>438</v>
      </c>
      <c r="D171" s="178" t="s">
        <v>441</v>
      </c>
      <c r="E171" s="33"/>
      <c r="F171" s="33"/>
      <c r="G171" s="33"/>
      <c r="H171" s="33"/>
      <c r="I171" s="33"/>
      <c r="J171" s="33"/>
      <c r="K171" s="33">
        <f>[4]PIVOT_2023!H124</f>
        <v>160572.14087500004</v>
      </c>
      <c r="L171" s="33">
        <f t="shared" si="89"/>
        <v>160572.14087500004</v>
      </c>
      <c r="M171" s="34">
        <v>160572.14087500004</v>
      </c>
      <c r="N171" s="34">
        <f>ROUND(M171,0)</f>
        <v>160572</v>
      </c>
      <c r="O171" s="33">
        <f t="shared" si="65"/>
        <v>-0.14087500004097819</v>
      </c>
      <c r="P171" s="171"/>
      <c r="Q171" s="33">
        <f>ROUND(N171,0)</f>
        <v>160572</v>
      </c>
      <c r="R171" s="33">
        <f t="shared" si="66"/>
        <v>0</v>
      </c>
      <c r="S171" s="171"/>
      <c r="T171" s="33">
        <f>ROUND(Q171,0)</f>
        <v>160572</v>
      </c>
      <c r="U171" s="33">
        <f t="shared" si="67"/>
        <v>0</v>
      </c>
      <c r="V171" s="171"/>
      <c r="W171" s="33">
        <f>ROUND(T171,0)</f>
        <v>160572</v>
      </c>
      <c r="X171" s="33">
        <f t="shared" si="68"/>
        <v>0</v>
      </c>
      <c r="Y171" s="171"/>
      <c r="Z171" s="33">
        <f>ROUND(W171,0)+232064</f>
        <v>392636</v>
      </c>
      <c r="AA171" s="33">
        <f t="shared" si="69"/>
        <v>232064</v>
      </c>
      <c r="AB171" s="171" t="s">
        <v>442</v>
      </c>
    </row>
    <row r="172" spans="2:28" ht="13.95" customHeight="1" x14ac:dyDescent="0.25">
      <c r="B172" s="66" t="s">
        <v>443</v>
      </c>
      <c r="C172" s="157" t="s">
        <v>444</v>
      </c>
      <c r="D172" s="170" t="s">
        <v>445</v>
      </c>
      <c r="E172" s="33">
        <f>E61</f>
        <v>72387</v>
      </c>
      <c r="F172" s="33"/>
      <c r="G172" s="33"/>
      <c r="H172" s="33"/>
      <c r="I172" s="33"/>
      <c r="J172" s="33">
        <f>[4]Pivot_invest_2023!E33-SUM(E172:I172)</f>
        <v>283314</v>
      </c>
      <c r="K172" s="33"/>
      <c r="L172" s="179">
        <f t="shared" si="89"/>
        <v>355701</v>
      </c>
      <c r="M172" s="34">
        <v>355701</v>
      </c>
      <c r="N172" s="34">
        <f t="shared" ref="N172:N184" si="90">ROUND(M172,0)</f>
        <v>355701</v>
      </c>
      <c r="O172" s="33">
        <f t="shared" si="65"/>
        <v>0</v>
      </c>
      <c r="P172" s="165"/>
      <c r="Q172" s="33">
        <f>ROUND(N172,0)</f>
        <v>355701</v>
      </c>
      <c r="R172" s="33">
        <f t="shared" si="66"/>
        <v>0</v>
      </c>
      <c r="S172" s="165"/>
      <c r="T172" s="33">
        <f>ROUND(Q172,0)</f>
        <v>355701</v>
      </c>
      <c r="U172" s="33">
        <f t="shared" si="67"/>
        <v>0</v>
      </c>
      <c r="V172" s="165"/>
      <c r="W172" s="33">
        <f>ROUND(T172,0)</f>
        <v>355701</v>
      </c>
      <c r="X172" s="33">
        <f t="shared" si="68"/>
        <v>0</v>
      </c>
      <c r="Y172" s="165"/>
      <c r="Z172" s="33">
        <f>ROUND(W172,0)</f>
        <v>355701</v>
      </c>
      <c r="AA172" s="33">
        <f t="shared" si="69"/>
        <v>0</v>
      </c>
      <c r="AB172" s="165"/>
    </row>
    <row r="173" spans="2:28" ht="27" customHeight="1" x14ac:dyDescent="0.25">
      <c r="B173" s="66" t="s">
        <v>205</v>
      </c>
      <c r="C173" s="168" t="s">
        <v>446</v>
      </c>
      <c r="D173" s="170" t="s">
        <v>323</v>
      </c>
      <c r="E173" s="33">
        <f>E69</f>
        <v>90431.9</v>
      </c>
      <c r="F173" s="33"/>
      <c r="G173" s="33">
        <f>G69</f>
        <v>109839.1</v>
      </c>
      <c r="H173" s="33">
        <f>H116</f>
        <v>624704</v>
      </c>
      <c r="I173" s="33"/>
      <c r="J173" s="33">
        <f>[4]Pivot_invest_2023!E13-SUM(E173:I173)</f>
        <v>66164</v>
      </c>
      <c r="K173" s="33"/>
      <c r="L173" s="33">
        <f t="shared" si="89"/>
        <v>891139</v>
      </c>
      <c r="M173" s="34">
        <v>891139</v>
      </c>
      <c r="N173" s="34">
        <f t="shared" si="90"/>
        <v>891139</v>
      </c>
      <c r="O173" s="33">
        <f t="shared" si="65"/>
        <v>0</v>
      </c>
      <c r="P173" s="165"/>
      <c r="Q173" s="33">
        <f>ROUND(N173,0)</f>
        <v>891139</v>
      </c>
      <c r="R173" s="33">
        <f t="shared" si="66"/>
        <v>0</v>
      </c>
      <c r="S173" s="165"/>
      <c r="T173" s="33">
        <f>ROUND(Q173,0)</f>
        <v>891139</v>
      </c>
      <c r="U173" s="33">
        <f t="shared" si="67"/>
        <v>0</v>
      </c>
      <c r="V173" s="165"/>
      <c r="W173" s="33">
        <f>ROUND(T173,0)</f>
        <v>891139</v>
      </c>
      <c r="X173" s="33">
        <f t="shared" si="68"/>
        <v>0</v>
      </c>
      <c r="Y173" s="165"/>
      <c r="Z173" s="33">
        <f>ROUND(W173,0)</f>
        <v>891139</v>
      </c>
      <c r="AA173" s="33">
        <f t="shared" si="69"/>
        <v>0</v>
      </c>
      <c r="AB173" s="165"/>
    </row>
    <row r="174" spans="2:28" ht="25.95" customHeight="1" x14ac:dyDescent="0.25">
      <c r="B174" s="66" t="s">
        <v>447</v>
      </c>
      <c r="C174" s="157" t="s">
        <v>448</v>
      </c>
      <c r="D174" s="178" t="s">
        <v>449</v>
      </c>
      <c r="E174" s="180">
        <f>E106</f>
        <v>0</v>
      </c>
      <c r="F174" s="33"/>
      <c r="G174" s="33"/>
      <c r="H174" s="33"/>
      <c r="I174" s="86">
        <f>[4]PIVOT_2023!H137-SUM(E174:H174)</f>
        <v>3779449</v>
      </c>
      <c r="J174" s="86"/>
      <c r="K174" s="33"/>
      <c r="L174" s="179">
        <f t="shared" si="89"/>
        <v>3779449</v>
      </c>
      <c r="M174" s="34">
        <v>3779449</v>
      </c>
      <c r="N174" s="34">
        <f t="shared" si="90"/>
        <v>3779449</v>
      </c>
      <c r="O174" s="33">
        <f t="shared" si="65"/>
        <v>0</v>
      </c>
      <c r="P174" s="165"/>
      <c r="Q174" s="33">
        <f>ROUND(N174,0)</f>
        <v>3779449</v>
      </c>
      <c r="R174" s="33">
        <f t="shared" si="66"/>
        <v>0</v>
      </c>
      <c r="S174" s="165"/>
      <c r="T174" s="33">
        <f>ROUND(Q174,0)</f>
        <v>3779449</v>
      </c>
      <c r="U174" s="33">
        <f t="shared" si="67"/>
        <v>0</v>
      </c>
      <c r="V174" s="165"/>
      <c r="W174" s="33">
        <f>ROUND(T174,0)</f>
        <v>3779449</v>
      </c>
      <c r="X174" s="33">
        <f t="shared" si="68"/>
        <v>0</v>
      </c>
      <c r="Y174" s="165"/>
      <c r="Z174" s="33">
        <f>ROUND(W174,0)</f>
        <v>3779449</v>
      </c>
      <c r="AA174" s="33">
        <f t="shared" si="69"/>
        <v>0</v>
      </c>
      <c r="AB174" s="165"/>
    </row>
    <row r="175" spans="2:28" ht="32.25" customHeight="1" x14ac:dyDescent="0.25">
      <c r="B175" s="66" t="s">
        <v>9</v>
      </c>
      <c r="C175" s="157" t="s">
        <v>450</v>
      </c>
      <c r="D175" s="178" t="s">
        <v>451</v>
      </c>
      <c r="E175" s="33"/>
      <c r="F175" s="33"/>
      <c r="G175" s="33"/>
      <c r="H175" s="33"/>
      <c r="I175" s="33">
        <f>SUM(I176:I178)</f>
        <v>4641663.8361329995</v>
      </c>
      <c r="J175" s="33">
        <f>SUM(J176:J178)</f>
        <v>733906.5</v>
      </c>
      <c r="K175" s="33">
        <f>SUM(K176:K178)</f>
        <v>177204.66029999999</v>
      </c>
      <c r="L175" s="179">
        <f t="shared" si="89"/>
        <v>5552774.9964329991</v>
      </c>
      <c r="M175" s="181">
        <v>5552774.9964329991</v>
      </c>
      <c r="N175" s="181">
        <f>SUM(N176:N178)</f>
        <v>5552775</v>
      </c>
      <c r="O175" s="33">
        <f t="shared" si="65"/>
        <v>3.5670008510351181E-3</v>
      </c>
      <c r="P175" s="165"/>
      <c r="Q175" s="86">
        <f>SUM(Q176:Q178)</f>
        <v>5888293</v>
      </c>
      <c r="R175" s="33">
        <f t="shared" si="66"/>
        <v>335518</v>
      </c>
      <c r="S175" s="165"/>
      <c r="T175" s="86">
        <f>SUM(T176:T178)</f>
        <v>5908293</v>
      </c>
      <c r="U175" s="33">
        <f t="shared" si="67"/>
        <v>20000</v>
      </c>
      <c r="V175" s="165"/>
      <c r="W175" s="86">
        <f>SUM(W176:W178)</f>
        <v>5825768</v>
      </c>
      <c r="X175" s="33">
        <f t="shared" si="68"/>
        <v>-82525</v>
      </c>
      <c r="Y175" s="165"/>
      <c r="Z175" s="86">
        <f>SUM(Z176:Z178)</f>
        <v>5837717</v>
      </c>
      <c r="AA175" s="33">
        <f t="shared" si="69"/>
        <v>11949</v>
      </c>
      <c r="AB175" s="165"/>
    </row>
    <row r="176" spans="2:28" ht="60.75" customHeight="1" x14ac:dyDescent="0.25">
      <c r="B176" s="66"/>
      <c r="C176" s="182" t="s">
        <v>452</v>
      </c>
      <c r="D176" s="183" t="s">
        <v>453</v>
      </c>
      <c r="E176" s="33"/>
      <c r="F176" s="33"/>
      <c r="G176" s="33"/>
      <c r="H176" s="33"/>
      <c r="I176" s="184">
        <f>[4]PIVOT_2023!H132</f>
        <v>4346663.8361329995</v>
      </c>
      <c r="J176" s="185">
        <f>[4]Pivot_invest_2023!E54-[4]Pivot_invest_2023!J54-[4]Pivot_invest_2023!K54+[4]Pivot_invest_2023!E78-[4]Pivot_invest_2023!K78-J178-J184-J185-J186-J181-J182-J183</f>
        <v>649376.5</v>
      </c>
      <c r="K176" s="185"/>
      <c r="L176" s="186">
        <f t="shared" si="89"/>
        <v>4996040.3361329995</v>
      </c>
      <c r="M176" s="181">
        <v>4996040.3361329995</v>
      </c>
      <c r="N176" s="181">
        <f t="shared" si="90"/>
        <v>4996040</v>
      </c>
      <c r="O176" s="33">
        <f t="shared" si="65"/>
        <v>-0.33613299950957298</v>
      </c>
      <c r="P176" s="165"/>
      <c r="Q176" s="86">
        <f>ROUND(N176,0)-18000+16000+21000+30000+5000+30000+12000+36000+(54000+126000)+15597</f>
        <v>5323637</v>
      </c>
      <c r="R176" s="36">
        <f t="shared" si="66"/>
        <v>327597</v>
      </c>
      <c r="S176" s="166" t="s">
        <v>454</v>
      </c>
      <c r="T176" s="86">
        <f>ROUND(Q176,0)-17977-99-410-4242-202-86-55-19408-8457</f>
        <v>5272701</v>
      </c>
      <c r="U176" s="33">
        <f t="shared" si="67"/>
        <v>-50936</v>
      </c>
      <c r="V176" s="165" t="s">
        <v>455</v>
      </c>
      <c r="W176" s="86">
        <f>ROUND(T176,0)-50000+25175-54000-3700</f>
        <v>5190176</v>
      </c>
      <c r="X176" s="33">
        <f t="shared" si="68"/>
        <v>-82525</v>
      </c>
      <c r="Y176" s="165" t="s">
        <v>456</v>
      </c>
      <c r="Z176" s="86">
        <f>ROUND(W176,0)+8445+3504</f>
        <v>5202125</v>
      </c>
      <c r="AA176" s="33">
        <f t="shared" si="69"/>
        <v>11949</v>
      </c>
      <c r="AB176" s="165" t="s">
        <v>457</v>
      </c>
    </row>
    <row r="177" spans="2:28" ht="16.95" customHeight="1" x14ac:dyDescent="0.25">
      <c r="B177" s="66"/>
      <c r="C177" s="182" t="s">
        <v>458</v>
      </c>
      <c r="D177" s="183" t="s">
        <v>459</v>
      </c>
      <c r="E177" s="33"/>
      <c r="F177" s="33"/>
      <c r="G177" s="33"/>
      <c r="H177" s="33"/>
      <c r="I177" s="184">
        <f>[4]PIVOT_2023!H143</f>
        <v>295000</v>
      </c>
      <c r="J177" s="187"/>
      <c r="K177" s="185"/>
      <c r="L177" s="186">
        <f t="shared" si="89"/>
        <v>295000</v>
      </c>
      <c r="M177" s="181">
        <v>295000</v>
      </c>
      <c r="N177" s="181">
        <f t="shared" si="90"/>
        <v>295000</v>
      </c>
      <c r="O177" s="33">
        <f t="shared" si="65"/>
        <v>0</v>
      </c>
      <c r="P177" s="165"/>
      <c r="Q177" s="86">
        <f t="shared" ref="Q177:Q187" si="91">ROUND(N177,0)</f>
        <v>295000</v>
      </c>
      <c r="R177" s="33">
        <f t="shared" si="66"/>
        <v>0</v>
      </c>
      <c r="S177" s="165"/>
      <c r="T177" s="86">
        <f>ROUND(Q177,0)+27920</f>
        <v>322920</v>
      </c>
      <c r="U177" s="33">
        <f t="shared" si="67"/>
        <v>27920</v>
      </c>
      <c r="V177" s="165" t="s">
        <v>460</v>
      </c>
      <c r="W177" s="86">
        <f>ROUND(T177,0)</f>
        <v>322920</v>
      </c>
      <c r="X177" s="33">
        <f t="shared" si="68"/>
        <v>0</v>
      </c>
      <c r="Y177" s="165"/>
      <c r="Z177" s="86">
        <f t="shared" ref="Z177:Z187" si="92">ROUND(W177,0)</f>
        <v>322920</v>
      </c>
      <c r="AA177" s="33">
        <f t="shared" si="69"/>
        <v>0</v>
      </c>
      <c r="AB177" s="165"/>
    </row>
    <row r="178" spans="2:28" ht="15" customHeight="1" x14ac:dyDescent="0.25">
      <c r="B178" s="66"/>
      <c r="C178" s="182" t="s">
        <v>461</v>
      </c>
      <c r="D178" s="183" t="s">
        <v>462</v>
      </c>
      <c r="E178" s="33"/>
      <c r="F178" s="33"/>
      <c r="G178" s="33"/>
      <c r="H178" s="33"/>
      <c r="I178" s="185"/>
      <c r="J178" s="185">
        <f>3600+6800+54930+19200</f>
        <v>84530</v>
      </c>
      <c r="K178" s="185">
        <f>[4]PIVOT_2023!H129</f>
        <v>177204.66029999999</v>
      </c>
      <c r="L178" s="186">
        <f t="shared" si="89"/>
        <v>261734.66029999999</v>
      </c>
      <c r="M178" s="181">
        <v>261734.66029999999</v>
      </c>
      <c r="N178" s="181">
        <f t="shared" si="90"/>
        <v>261735</v>
      </c>
      <c r="O178" s="33">
        <f t="shared" si="65"/>
        <v>0.33970000001136214</v>
      </c>
      <c r="P178" s="165"/>
      <c r="Q178" s="86">
        <f>ROUND(N178,0)+7921</f>
        <v>269656</v>
      </c>
      <c r="R178" s="33">
        <f t="shared" si="66"/>
        <v>7921</v>
      </c>
      <c r="S178" s="165" t="s">
        <v>463</v>
      </c>
      <c r="T178" s="86">
        <f>ROUND(Q178,0)+17977+99+410+4242+202+86+20000</f>
        <v>312672</v>
      </c>
      <c r="U178" s="33">
        <f t="shared" si="67"/>
        <v>43016</v>
      </c>
      <c r="V178" s="165" t="s">
        <v>464</v>
      </c>
      <c r="W178" s="86">
        <f>ROUND(T178,0)</f>
        <v>312672</v>
      </c>
      <c r="X178" s="33">
        <f t="shared" si="68"/>
        <v>0</v>
      </c>
      <c r="Y178" s="165"/>
      <c r="Z178" s="86">
        <f t="shared" si="92"/>
        <v>312672</v>
      </c>
      <c r="AA178" s="33">
        <f t="shared" si="69"/>
        <v>0</v>
      </c>
      <c r="AB178" s="165"/>
    </row>
    <row r="179" spans="2:28" ht="29.25" hidden="1" customHeight="1" outlineLevel="1" x14ac:dyDescent="0.25">
      <c r="B179" s="66" t="s">
        <v>465</v>
      </c>
      <c r="C179" s="157" t="s">
        <v>466</v>
      </c>
      <c r="D179" s="178" t="s">
        <v>467</v>
      </c>
      <c r="E179" s="33"/>
      <c r="F179" s="33"/>
      <c r="G179" s="33"/>
      <c r="H179" s="33"/>
      <c r="I179" s="33"/>
      <c r="J179" s="33"/>
      <c r="K179" s="33"/>
      <c r="L179" s="33">
        <f t="shared" si="89"/>
        <v>0</v>
      </c>
      <c r="M179" s="34">
        <v>0</v>
      </c>
      <c r="N179" s="34">
        <f t="shared" si="90"/>
        <v>0</v>
      </c>
      <c r="O179" s="33">
        <f t="shared" si="65"/>
        <v>0</v>
      </c>
      <c r="P179" s="51"/>
      <c r="Q179" s="33">
        <f t="shared" si="91"/>
        <v>0</v>
      </c>
      <c r="R179" s="33">
        <f t="shared" si="66"/>
        <v>0</v>
      </c>
      <c r="S179" s="51"/>
      <c r="T179" s="33">
        <f t="shared" ref="T179:T187" si="93">ROUND(Q179,0)</f>
        <v>0</v>
      </c>
      <c r="U179" s="33">
        <f t="shared" si="67"/>
        <v>0</v>
      </c>
      <c r="V179" s="51"/>
      <c r="W179" s="33">
        <f>ROUND(T179,0)</f>
        <v>0</v>
      </c>
      <c r="X179" s="33">
        <f t="shared" si="68"/>
        <v>0</v>
      </c>
      <c r="Y179" s="51"/>
      <c r="Z179" s="33">
        <f t="shared" si="92"/>
        <v>0</v>
      </c>
      <c r="AA179" s="33">
        <f t="shared" si="69"/>
        <v>0</v>
      </c>
      <c r="AB179" s="51"/>
    </row>
    <row r="180" spans="2:28" ht="39.6" customHeight="1" collapsed="1" x14ac:dyDescent="0.25">
      <c r="B180" s="66" t="s">
        <v>468</v>
      </c>
      <c r="C180" s="168" t="s">
        <v>469</v>
      </c>
      <c r="D180" s="170" t="s">
        <v>470</v>
      </c>
      <c r="E180" s="188">
        <f>E71</f>
        <v>71104</v>
      </c>
      <c r="F180" s="188"/>
      <c r="G180" s="188"/>
      <c r="H180" s="188">
        <f>H115</f>
        <v>320141.00220000005</v>
      </c>
      <c r="I180" s="188"/>
      <c r="J180" s="188">
        <f>[4]Pivot_invest_2023!E10-SUM(E180:I180)</f>
        <v>0.34999999997671694</v>
      </c>
      <c r="K180" s="188"/>
      <c r="L180" s="33">
        <f t="shared" si="89"/>
        <v>391245.35220000002</v>
      </c>
      <c r="M180" s="34">
        <v>391245.35220000002</v>
      </c>
      <c r="N180" s="34">
        <f t="shared" si="90"/>
        <v>391245</v>
      </c>
      <c r="O180" s="33">
        <f t="shared" si="65"/>
        <v>-0.35220000002300367</v>
      </c>
      <c r="P180" s="165"/>
      <c r="Q180" s="33">
        <f t="shared" si="91"/>
        <v>391245</v>
      </c>
      <c r="R180" s="33">
        <f t="shared" si="66"/>
        <v>0</v>
      </c>
      <c r="S180" s="165"/>
      <c r="T180" s="33">
        <f t="shared" si="93"/>
        <v>391245</v>
      </c>
      <c r="U180" s="33">
        <f t="shared" si="67"/>
        <v>0</v>
      </c>
      <c r="V180" s="165"/>
      <c r="W180" s="33">
        <f>ROUND(T180,0)</f>
        <v>391245</v>
      </c>
      <c r="X180" s="33">
        <f t="shared" si="68"/>
        <v>0</v>
      </c>
      <c r="Y180" s="165"/>
      <c r="Z180" s="33">
        <f t="shared" si="92"/>
        <v>391245</v>
      </c>
      <c r="AA180" s="33">
        <f t="shared" si="69"/>
        <v>0</v>
      </c>
      <c r="AB180" s="165"/>
    </row>
    <row r="181" spans="2:28" ht="16.2" customHeight="1" x14ac:dyDescent="0.25">
      <c r="B181" s="66" t="s">
        <v>443</v>
      </c>
      <c r="C181" s="168" t="s">
        <v>471</v>
      </c>
      <c r="D181" s="170" t="s">
        <v>472</v>
      </c>
      <c r="E181" s="188"/>
      <c r="F181" s="188"/>
      <c r="G181" s="188">
        <f>G40</f>
        <v>16000</v>
      </c>
      <c r="H181" s="188"/>
      <c r="I181" s="188"/>
      <c r="J181" s="188">
        <f>16000</f>
        <v>16000</v>
      </c>
      <c r="K181" s="188"/>
      <c r="L181" s="33">
        <f t="shared" si="89"/>
        <v>32000</v>
      </c>
      <c r="M181" s="34">
        <v>32000</v>
      </c>
      <c r="N181" s="34">
        <f t="shared" si="90"/>
        <v>32000</v>
      </c>
      <c r="O181" s="33">
        <f t="shared" si="65"/>
        <v>0</v>
      </c>
      <c r="P181" s="165"/>
      <c r="Q181" s="33">
        <f t="shared" si="91"/>
        <v>32000</v>
      </c>
      <c r="R181" s="33">
        <f t="shared" si="66"/>
        <v>0</v>
      </c>
      <c r="S181" s="165"/>
      <c r="T181" s="33">
        <f t="shared" si="93"/>
        <v>32000</v>
      </c>
      <c r="U181" s="33">
        <f t="shared" si="67"/>
        <v>0</v>
      </c>
      <c r="V181" s="165" t="s">
        <v>473</v>
      </c>
      <c r="W181" s="33">
        <f>ROUND(T181,0)</f>
        <v>32000</v>
      </c>
      <c r="X181" s="33">
        <f t="shared" si="68"/>
        <v>0</v>
      </c>
      <c r="Y181" s="165"/>
      <c r="Z181" s="33">
        <f t="shared" si="92"/>
        <v>32000</v>
      </c>
      <c r="AA181" s="33">
        <f t="shared" si="69"/>
        <v>0</v>
      </c>
      <c r="AB181" s="165"/>
    </row>
    <row r="182" spans="2:28" ht="46.95" customHeight="1" x14ac:dyDescent="0.25">
      <c r="B182" s="66"/>
      <c r="C182" s="168" t="s">
        <v>474</v>
      </c>
      <c r="D182" s="170" t="s">
        <v>335</v>
      </c>
      <c r="E182" s="188"/>
      <c r="F182" s="188"/>
      <c r="G182" s="188"/>
      <c r="H182" s="188">
        <f>H123</f>
        <v>203000</v>
      </c>
      <c r="I182" s="188"/>
      <c r="J182" s="188">
        <f>293146-SUM(E182:I182)</f>
        <v>90146</v>
      </c>
      <c r="K182" s="188"/>
      <c r="L182" s="179">
        <f t="shared" si="89"/>
        <v>293146</v>
      </c>
      <c r="M182" s="34">
        <v>293146</v>
      </c>
      <c r="N182" s="34">
        <f t="shared" si="90"/>
        <v>293146</v>
      </c>
      <c r="O182" s="33">
        <f t="shared" si="65"/>
        <v>0</v>
      </c>
      <c r="P182" s="165"/>
      <c r="Q182" s="33">
        <f t="shared" si="91"/>
        <v>293146</v>
      </c>
      <c r="R182" s="33">
        <f t="shared" si="66"/>
        <v>0</v>
      </c>
      <c r="S182" s="165"/>
      <c r="T182" s="33">
        <f>ROUND(Q182,0)+57326</f>
        <v>350472</v>
      </c>
      <c r="U182" s="33">
        <f t="shared" si="67"/>
        <v>57326</v>
      </c>
      <c r="V182" s="165" t="s">
        <v>336</v>
      </c>
      <c r="W182" s="33">
        <f>ROUND(T182,0)-27000</f>
        <v>323472</v>
      </c>
      <c r="X182" s="33">
        <f t="shared" si="68"/>
        <v>-27000</v>
      </c>
      <c r="Y182" s="165" t="s">
        <v>475</v>
      </c>
      <c r="Z182" s="33">
        <f t="shared" si="92"/>
        <v>323472</v>
      </c>
      <c r="AA182" s="33">
        <f t="shared" si="69"/>
        <v>0</v>
      </c>
      <c r="AB182" s="165"/>
    </row>
    <row r="183" spans="2:28" ht="68.25" customHeight="1" x14ac:dyDescent="0.25">
      <c r="B183" s="66"/>
      <c r="C183" s="168" t="s">
        <v>476</v>
      </c>
      <c r="D183" s="170" t="s">
        <v>338</v>
      </c>
      <c r="E183" s="188"/>
      <c r="F183" s="188"/>
      <c r="G183" s="188"/>
      <c r="H183" s="188">
        <f>H124</f>
        <v>126000</v>
      </c>
      <c r="I183" s="188"/>
      <c r="J183" s="188">
        <f>180000-SUM(E183:I183)</f>
        <v>54000</v>
      </c>
      <c r="K183" s="188"/>
      <c r="L183" s="179">
        <f t="shared" si="89"/>
        <v>180000</v>
      </c>
      <c r="M183" s="34">
        <v>180000</v>
      </c>
      <c r="N183" s="34">
        <f t="shared" si="90"/>
        <v>180000</v>
      </c>
      <c r="O183" s="33">
        <f t="shared" si="65"/>
        <v>0</v>
      </c>
      <c r="P183" s="165"/>
      <c r="Q183" s="33">
        <f t="shared" si="91"/>
        <v>180000</v>
      </c>
      <c r="R183" s="33">
        <f t="shared" si="66"/>
        <v>0</v>
      </c>
      <c r="S183" s="165"/>
      <c r="T183" s="33">
        <f t="shared" si="93"/>
        <v>180000</v>
      </c>
      <c r="U183" s="33">
        <f t="shared" si="67"/>
        <v>0</v>
      </c>
      <c r="V183" s="165"/>
      <c r="W183" s="33">
        <f>ROUND(T183,0)-8000-7875</f>
        <v>164125</v>
      </c>
      <c r="X183" s="33">
        <f t="shared" si="68"/>
        <v>-15875</v>
      </c>
      <c r="Y183" s="165" t="s">
        <v>477</v>
      </c>
      <c r="Z183" s="33">
        <f>ROUND(W183,0)-6125-126000-25950</f>
        <v>6050</v>
      </c>
      <c r="AA183" s="33">
        <f t="shared" si="69"/>
        <v>-158075</v>
      </c>
      <c r="AB183" s="165" t="s">
        <v>478</v>
      </c>
    </row>
    <row r="184" spans="2:28" ht="35.25" customHeight="1" x14ac:dyDescent="0.25">
      <c r="B184" s="66"/>
      <c r="C184" s="168" t="s">
        <v>479</v>
      </c>
      <c r="D184" s="189" t="s">
        <v>330</v>
      </c>
      <c r="E184" s="188"/>
      <c r="F184" s="188"/>
      <c r="G184" s="188"/>
      <c r="H184" s="188">
        <f>H120</f>
        <v>645000</v>
      </c>
      <c r="I184" s="188"/>
      <c r="J184" s="188"/>
      <c r="K184" s="188"/>
      <c r="L184" s="179">
        <f t="shared" si="89"/>
        <v>645000</v>
      </c>
      <c r="M184" s="34">
        <v>645000</v>
      </c>
      <c r="N184" s="34">
        <f t="shared" si="90"/>
        <v>645000</v>
      </c>
      <c r="O184" s="33">
        <f t="shared" si="65"/>
        <v>0</v>
      </c>
      <c r="P184" s="165"/>
      <c r="Q184" s="33">
        <f t="shared" si="91"/>
        <v>645000</v>
      </c>
      <c r="R184" s="33">
        <f t="shared" si="66"/>
        <v>0</v>
      </c>
      <c r="S184" s="165"/>
      <c r="T184" s="33">
        <f t="shared" si="93"/>
        <v>645000</v>
      </c>
      <c r="U184" s="33">
        <f t="shared" si="67"/>
        <v>0</v>
      </c>
      <c r="V184" s="165"/>
      <c r="W184" s="33">
        <f>ROUND(T184,0)+54000+7875</f>
        <v>706875</v>
      </c>
      <c r="X184" s="33">
        <f t="shared" si="68"/>
        <v>61875</v>
      </c>
      <c r="Y184" s="165" t="s">
        <v>480</v>
      </c>
      <c r="Z184" s="33">
        <f>ROUND(W184,0)-61875-645000</f>
        <v>0</v>
      </c>
      <c r="AA184" s="33">
        <f t="shared" si="69"/>
        <v>-706875</v>
      </c>
      <c r="AB184" s="165" t="s">
        <v>481</v>
      </c>
    </row>
    <row r="185" spans="2:28" ht="18.600000000000001" customHeight="1" x14ac:dyDescent="0.25">
      <c r="B185" s="66" t="s">
        <v>249</v>
      </c>
      <c r="C185" s="168" t="s">
        <v>482</v>
      </c>
      <c r="D185" s="178" t="s">
        <v>251</v>
      </c>
      <c r="E185" s="188"/>
      <c r="F185" s="188"/>
      <c r="G185" s="80">
        <f>G86</f>
        <v>382739</v>
      </c>
      <c r="H185" s="188">
        <f>H121</f>
        <v>164032</v>
      </c>
      <c r="I185" s="188"/>
      <c r="J185" s="188"/>
      <c r="K185" s="188"/>
      <c r="L185" s="33">
        <f t="shared" si="89"/>
        <v>546771</v>
      </c>
      <c r="M185" s="34">
        <v>546771</v>
      </c>
      <c r="N185" s="34">
        <f>ROUND(M185,0)</f>
        <v>546771</v>
      </c>
      <c r="O185" s="33">
        <f>N185-M185</f>
        <v>0</v>
      </c>
      <c r="P185" s="165"/>
      <c r="Q185" s="33">
        <f t="shared" si="91"/>
        <v>546771</v>
      </c>
      <c r="R185" s="33">
        <f t="shared" si="66"/>
        <v>0</v>
      </c>
      <c r="S185" s="165"/>
      <c r="T185" s="33">
        <f t="shared" si="93"/>
        <v>546771</v>
      </c>
      <c r="U185" s="33">
        <f t="shared" si="67"/>
        <v>0</v>
      </c>
      <c r="V185" s="165" t="s">
        <v>473</v>
      </c>
      <c r="W185" s="33">
        <f>ROUND(T185,0)</f>
        <v>546771</v>
      </c>
      <c r="X185" s="33">
        <f t="shared" si="68"/>
        <v>0</v>
      </c>
      <c r="Y185" s="165"/>
      <c r="Z185" s="33">
        <f t="shared" si="92"/>
        <v>546771</v>
      </c>
      <c r="AA185" s="33">
        <f t="shared" si="69"/>
        <v>0</v>
      </c>
      <c r="AB185" s="165"/>
    </row>
    <row r="186" spans="2:28" ht="28.5" customHeight="1" x14ac:dyDescent="0.25">
      <c r="B186" s="66"/>
      <c r="C186" s="168" t="s">
        <v>483</v>
      </c>
      <c r="D186" s="178" t="s">
        <v>253</v>
      </c>
      <c r="E186" s="188"/>
      <c r="F186" s="188"/>
      <c r="G186" s="80">
        <f>G87</f>
        <v>297245</v>
      </c>
      <c r="H186" s="188">
        <f>H122</f>
        <v>907235</v>
      </c>
      <c r="I186" s="188"/>
      <c r="J186" s="188"/>
      <c r="K186" s="188"/>
      <c r="L186" s="179">
        <f t="shared" si="89"/>
        <v>1204480</v>
      </c>
      <c r="M186" s="34">
        <v>1204480</v>
      </c>
      <c r="N186" s="34">
        <f>ROUND(M186,0)</f>
        <v>1204480</v>
      </c>
      <c r="O186" s="33">
        <f>N186-M186</f>
        <v>0</v>
      </c>
      <c r="P186" s="165"/>
      <c r="Q186" s="33">
        <f t="shared" si="91"/>
        <v>1204480</v>
      </c>
      <c r="R186" s="33">
        <f t="shared" si="66"/>
        <v>0</v>
      </c>
      <c r="S186" s="165"/>
      <c r="T186" s="33">
        <f t="shared" si="93"/>
        <v>1204480</v>
      </c>
      <c r="U186" s="33">
        <f t="shared" si="67"/>
        <v>0</v>
      </c>
      <c r="V186" s="165"/>
      <c r="W186" s="33">
        <f>ROUND(T186,0)</f>
        <v>1204480</v>
      </c>
      <c r="X186" s="33">
        <f t="shared" si="68"/>
        <v>0</v>
      </c>
      <c r="Y186" s="165"/>
      <c r="Z186" s="33">
        <f>ROUND(W186,0)-1204480</f>
        <v>0</v>
      </c>
      <c r="AA186" s="33">
        <f t="shared" si="69"/>
        <v>-1204480</v>
      </c>
      <c r="AB186" s="165" t="s">
        <v>254</v>
      </c>
    </row>
    <row r="187" spans="2:28" ht="27.6" customHeight="1" x14ac:dyDescent="0.25">
      <c r="B187" s="66" t="s">
        <v>484</v>
      </c>
      <c r="C187" s="168" t="s">
        <v>485</v>
      </c>
      <c r="D187" s="189" t="s">
        <v>486</v>
      </c>
      <c r="E187" s="80">
        <f>E77</f>
        <v>0</v>
      </c>
      <c r="F187" s="33">
        <f>F77</f>
        <v>0</v>
      </c>
      <c r="G187" s="80">
        <f>G77</f>
        <v>40898</v>
      </c>
      <c r="H187" s="86"/>
      <c r="I187" s="33"/>
      <c r="J187" s="33">
        <f>[4]Pivot_invest_2023!E11-SUM(E187:I187)</f>
        <v>0</v>
      </c>
      <c r="K187" s="33"/>
      <c r="L187" s="33">
        <f t="shared" si="89"/>
        <v>40898</v>
      </c>
      <c r="M187" s="34">
        <v>40898</v>
      </c>
      <c r="N187" s="34">
        <f>ROUND(M187,0)</f>
        <v>40898</v>
      </c>
      <c r="O187" s="33">
        <f>N187-M187</f>
        <v>0</v>
      </c>
      <c r="P187" s="51"/>
      <c r="Q187" s="33">
        <f t="shared" si="91"/>
        <v>40898</v>
      </c>
      <c r="R187" s="33">
        <f t="shared" si="66"/>
        <v>0</v>
      </c>
      <c r="S187" s="51"/>
      <c r="T187" s="33">
        <f t="shared" si="93"/>
        <v>40898</v>
      </c>
      <c r="U187" s="33">
        <f t="shared" si="67"/>
        <v>0</v>
      </c>
      <c r="V187" s="51"/>
      <c r="W187" s="33">
        <f>ROUND(T187,0)</f>
        <v>40898</v>
      </c>
      <c r="X187" s="33">
        <f t="shared" si="68"/>
        <v>0</v>
      </c>
      <c r="Y187" s="51"/>
      <c r="Z187" s="33">
        <f t="shared" si="92"/>
        <v>40898</v>
      </c>
      <c r="AA187" s="33">
        <f t="shared" si="69"/>
        <v>0</v>
      </c>
      <c r="AB187" s="51"/>
    </row>
    <row r="188" spans="2:28" x14ac:dyDescent="0.25">
      <c r="C188" s="153" t="s">
        <v>109</v>
      </c>
      <c r="D188" s="154" t="s">
        <v>487</v>
      </c>
      <c r="E188" s="39">
        <f t="shared" ref="E188:N188" si="94">SUM(E189,E193:E200)</f>
        <v>15704</v>
      </c>
      <c r="F188" s="39">
        <f t="shared" si="94"/>
        <v>13088</v>
      </c>
      <c r="G188" s="39">
        <f t="shared" si="94"/>
        <v>202410</v>
      </c>
      <c r="H188" s="39">
        <f t="shared" si="94"/>
        <v>0</v>
      </c>
      <c r="I188" s="39">
        <f t="shared" si="94"/>
        <v>0</v>
      </c>
      <c r="J188" s="39">
        <f t="shared" si="94"/>
        <v>597179.64</v>
      </c>
      <c r="K188" s="39">
        <f t="shared" si="94"/>
        <v>1658616.7036900001</v>
      </c>
      <c r="L188" s="39">
        <f t="shared" si="94"/>
        <v>2486998.34369</v>
      </c>
      <c r="M188" s="40">
        <v>2486998.34369</v>
      </c>
      <c r="N188" s="40">
        <f t="shared" si="94"/>
        <v>2486999</v>
      </c>
      <c r="O188" s="39">
        <f>SUM(O189,O194:O200)</f>
        <v>0.25630999998065818</v>
      </c>
      <c r="P188" s="39"/>
      <c r="Q188" s="39">
        <f>SUM(Q189,Q193:Q200)</f>
        <v>2523654</v>
      </c>
      <c r="R188" s="39">
        <f t="shared" si="66"/>
        <v>36655</v>
      </c>
      <c r="S188" s="39"/>
      <c r="T188" s="39">
        <f>SUM(T189,T193:T200)</f>
        <v>2540654</v>
      </c>
      <c r="U188" s="39">
        <f t="shared" si="67"/>
        <v>17000</v>
      </c>
      <c r="V188" s="39"/>
      <c r="W188" s="39">
        <f>SUM(W189,W193:W200)</f>
        <v>2543558</v>
      </c>
      <c r="X188" s="39">
        <f t="shared" si="68"/>
        <v>2904</v>
      </c>
      <c r="Y188" s="39"/>
      <c r="Z188" s="39">
        <f>SUM(Z189,Z193:Z200)</f>
        <v>2575054</v>
      </c>
      <c r="AA188" s="39">
        <f t="shared" si="69"/>
        <v>31496</v>
      </c>
      <c r="AB188" s="39"/>
    </row>
    <row r="189" spans="2:28" ht="23.25" customHeight="1" x14ac:dyDescent="0.25">
      <c r="C189" s="148" t="s">
        <v>112</v>
      </c>
      <c r="D189" s="149" t="s">
        <v>488</v>
      </c>
      <c r="E189" s="56">
        <f t="shared" ref="E189:O189" si="95">SUM(E190:E192)</f>
        <v>0</v>
      </c>
      <c r="F189" s="56">
        <f t="shared" si="95"/>
        <v>13088</v>
      </c>
      <c r="G189" s="56">
        <f t="shared" si="95"/>
        <v>0</v>
      </c>
      <c r="H189" s="56">
        <f t="shared" si="95"/>
        <v>0</v>
      </c>
      <c r="I189" s="56">
        <f t="shared" si="95"/>
        <v>0</v>
      </c>
      <c r="J189" s="56">
        <f t="shared" si="95"/>
        <v>297862</v>
      </c>
      <c r="K189" s="56">
        <f t="shared" si="95"/>
        <v>876157.66266999999</v>
      </c>
      <c r="L189" s="56">
        <f t="shared" si="95"/>
        <v>1187107.66267</v>
      </c>
      <c r="M189" s="71">
        <v>1187107.66267</v>
      </c>
      <c r="N189" s="71">
        <f t="shared" si="95"/>
        <v>1187108</v>
      </c>
      <c r="O189" s="56">
        <f t="shared" si="95"/>
        <v>0.3373299999802839</v>
      </c>
      <c r="P189" s="56"/>
      <c r="Q189" s="56">
        <f>SUM(Q190:Q192)</f>
        <v>1189606</v>
      </c>
      <c r="R189" s="56">
        <f t="shared" si="66"/>
        <v>2498</v>
      </c>
      <c r="S189" s="56"/>
      <c r="T189" s="56">
        <f>SUM(T190:T192)</f>
        <v>1206606</v>
      </c>
      <c r="U189" s="56">
        <f t="shared" si="67"/>
        <v>17000</v>
      </c>
      <c r="V189" s="56"/>
      <c r="W189" s="56">
        <f>SUM(W190:W192)</f>
        <v>1206606</v>
      </c>
      <c r="X189" s="56">
        <f t="shared" si="68"/>
        <v>0</v>
      </c>
      <c r="Y189" s="56"/>
      <c r="Z189" s="56">
        <f>SUM(Z190:Z192)</f>
        <v>1225606</v>
      </c>
      <c r="AA189" s="56">
        <f t="shared" si="69"/>
        <v>19000</v>
      </c>
      <c r="AB189" s="56"/>
    </row>
    <row r="190" spans="2:28" ht="15" customHeight="1" x14ac:dyDescent="0.25">
      <c r="B190" s="66" t="s">
        <v>489</v>
      </c>
      <c r="C190" s="157" t="s">
        <v>490</v>
      </c>
      <c r="D190" s="158" t="s">
        <v>491</v>
      </c>
      <c r="E190" s="33"/>
      <c r="F190" s="33">
        <v>8329</v>
      </c>
      <c r="G190" s="33"/>
      <c r="H190" s="33"/>
      <c r="I190" s="33"/>
      <c r="J190" s="33">
        <f>[4]Pivot_invest_2023!E48+[4]Pivot_invest_2023!E67</f>
        <v>160362</v>
      </c>
      <c r="K190" s="33">
        <f>[4]PIVOT_2023!H154</f>
        <v>420416.49502000003</v>
      </c>
      <c r="L190" s="33">
        <f t="shared" ref="L190:L200" si="96">E190+F190+G190+H190+I190+J190+K190</f>
        <v>589107.49502000003</v>
      </c>
      <c r="M190" s="34">
        <v>589107.49502000003</v>
      </c>
      <c r="N190" s="34">
        <f>ROUND(M190,0)</f>
        <v>589107</v>
      </c>
      <c r="O190" s="33">
        <f t="shared" si="65"/>
        <v>-0.49502000003121793</v>
      </c>
      <c r="P190" s="165"/>
      <c r="Q190" s="33">
        <f>ROUND(N190,0)+2498</f>
        <v>591605</v>
      </c>
      <c r="R190" s="36">
        <f t="shared" si="66"/>
        <v>2498</v>
      </c>
      <c r="S190" s="190" t="s">
        <v>492</v>
      </c>
      <c r="T190" s="33">
        <f>ROUND(Q190,0)+17000</f>
        <v>608605</v>
      </c>
      <c r="U190" s="33">
        <f t="shared" si="67"/>
        <v>17000</v>
      </c>
      <c r="V190" s="191" t="s">
        <v>493</v>
      </c>
      <c r="W190" s="33">
        <f>ROUND(T190,0)</f>
        <v>608605</v>
      </c>
      <c r="X190" s="33">
        <f t="shared" si="68"/>
        <v>0</v>
      </c>
      <c r="Y190" s="191"/>
      <c r="Z190" s="33">
        <f>ROUND(W190,0)</f>
        <v>608605</v>
      </c>
      <c r="AA190" s="33">
        <f t="shared" si="69"/>
        <v>0</v>
      </c>
      <c r="AB190" s="191"/>
    </row>
    <row r="191" spans="2:28" ht="39" customHeight="1" x14ac:dyDescent="0.25">
      <c r="B191" s="66" t="s">
        <v>494</v>
      </c>
      <c r="C191" s="157" t="s">
        <v>495</v>
      </c>
      <c r="D191" s="158" t="s">
        <v>496</v>
      </c>
      <c r="E191" s="33"/>
      <c r="F191" s="33">
        <v>4759</v>
      </c>
      <c r="G191" s="33"/>
      <c r="H191" s="33"/>
      <c r="I191" s="33"/>
      <c r="J191" s="33">
        <f>[4]Pivot_invest_2023!E49+[4]Pivot_invest_2023!E68</f>
        <v>135000</v>
      </c>
      <c r="K191" s="33">
        <f>[4]PIVOT_2023!H162</f>
        <v>269874.66324999998</v>
      </c>
      <c r="L191" s="33">
        <f t="shared" si="96"/>
        <v>409633.66324999998</v>
      </c>
      <c r="M191" s="34">
        <v>409633.66324999998</v>
      </c>
      <c r="N191" s="34">
        <f>ROUND(M191,0)</f>
        <v>409634</v>
      </c>
      <c r="O191" s="33">
        <f t="shared" si="65"/>
        <v>0.33675000001676381</v>
      </c>
      <c r="P191" s="165"/>
      <c r="Q191" s="33">
        <f>ROUND(N191,0)</f>
        <v>409634</v>
      </c>
      <c r="R191" s="33">
        <f t="shared" si="66"/>
        <v>0</v>
      </c>
      <c r="S191" s="165"/>
      <c r="T191" s="33">
        <f t="shared" ref="T191:T200" si="97">ROUND(Q191,0)</f>
        <v>409634</v>
      </c>
      <c r="U191" s="33">
        <f t="shared" si="67"/>
        <v>0</v>
      </c>
      <c r="V191" s="165"/>
      <c r="W191" s="33">
        <f t="shared" ref="W191:W200" si="98">ROUND(T191,0)</f>
        <v>409634</v>
      </c>
      <c r="X191" s="33">
        <f t="shared" si="68"/>
        <v>0</v>
      </c>
      <c r="Y191" s="165"/>
      <c r="Z191" s="33">
        <f>ROUND(W191,0)+19000</f>
        <v>428634</v>
      </c>
      <c r="AA191" s="33">
        <f t="shared" si="69"/>
        <v>19000</v>
      </c>
      <c r="AB191" s="165" t="s">
        <v>497</v>
      </c>
    </row>
    <row r="192" spans="2:28" ht="13.2" customHeight="1" x14ac:dyDescent="0.25">
      <c r="B192" s="66" t="s">
        <v>498</v>
      </c>
      <c r="C192" s="157" t="s">
        <v>499</v>
      </c>
      <c r="D192" s="158" t="s">
        <v>500</v>
      </c>
      <c r="E192" s="33"/>
      <c r="F192" s="33"/>
      <c r="G192" s="33"/>
      <c r="H192" s="33"/>
      <c r="I192" s="33"/>
      <c r="J192" s="33">
        <f>[4]Pivot_invest_2023!E14</f>
        <v>2500</v>
      </c>
      <c r="K192" s="33">
        <f>[4]PIVOT_2023!H188</f>
        <v>185866.50440000001</v>
      </c>
      <c r="L192" s="33">
        <f t="shared" si="96"/>
        <v>188366.50440000001</v>
      </c>
      <c r="M192" s="34">
        <v>188366.50440000001</v>
      </c>
      <c r="N192" s="34">
        <f>ROUND(M192,0)</f>
        <v>188367</v>
      </c>
      <c r="O192" s="33">
        <f t="shared" si="65"/>
        <v>0.49559999999473803</v>
      </c>
      <c r="P192" s="51"/>
      <c r="Q192" s="33">
        <f>ROUND(N192,0)</f>
        <v>188367</v>
      </c>
      <c r="R192" s="33">
        <f t="shared" si="66"/>
        <v>0</v>
      </c>
      <c r="S192" s="51"/>
      <c r="T192" s="33">
        <f t="shared" si="97"/>
        <v>188367</v>
      </c>
      <c r="U192" s="33">
        <f t="shared" si="67"/>
        <v>0</v>
      </c>
      <c r="V192" s="51"/>
      <c r="W192" s="33">
        <f t="shared" si="98"/>
        <v>188367</v>
      </c>
      <c r="X192" s="33">
        <f t="shared" si="68"/>
        <v>0</v>
      </c>
      <c r="Y192" s="51"/>
      <c r="Z192" s="33">
        <f t="shared" ref="Z192:Z196" si="99">ROUND(W192,0)</f>
        <v>188367</v>
      </c>
      <c r="AA192" s="33">
        <f t="shared" si="69"/>
        <v>0</v>
      </c>
      <c r="AB192" s="51"/>
    </row>
    <row r="193" spans="2:28" ht="33.75" customHeight="1" x14ac:dyDescent="0.25">
      <c r="B193" s="66" t="s">
        <v>501</v>
      </c>
      <c r="C193" s="192" t="s">
        <v>114</v>
      </c>
      <c r="D193" s="149" t="s">
        <v>502</v>
      </c>
      <c r="E193" s="56"/>
      <c r="F193" s="56"/>
      <c r="G193" s="56"/>
      <c r="H193" s="56"/>
      <c r="I193" s="56"/>
      <c r="J193" s="56">
        <f>[4]Pivot_invest_2023!E50</f>
        <v>135145.60000000001</v>
      </c>
      <c r="K193" s="56"/>
      <c r="L193" s="56">
        <f>E193+F193+G193+H193+I193+J193+K193</f>
        <v>135145.60000000001</v>
      </c>
      <c r="M193" s="71">
        <v>135145.60000000001</v>
      </c>
      <c r="N193" s="71">
        <f>ROUND(M193,0)</f>
        <v>135146</v>
      </c>
      <c r="O193" s="56">
        <f>N193-M193</f>
        <v>0.39999999999417923</v>
      </c>
      <c r="P193" s="193"/>
      <c r="Q193" s="56">
        <f>ROUND(N193,0)+20000</f>
        <v>155146</v>
      </c>
      <c r="R193" s="150">
        <f t="shared" si="66"/>
        <v>20000</v>
      </c>
      <c r="S193" s="194" t="s">
        <v>503</v>
      </c>
      <c r="T193" s="56">
        <f t="shared" si="97"/>
        <v>155146</v>
      </c>
      <c r="U193" s="56">
        <f t="shared" si="67"/>
        <v>0</v>
      </c>
      <c r="V193" s="193"/>
      <c r="W193" s="56">
        <f t="shared" si="98"/>
        <v>155146</v>
      </c>
      <c r="X193" s="56">
        <f t="shared" si="68"/>
        <v>0</v>
      </c>
      <c r="Y193" s="193"/>
      <c r="Z193" s="56">
        <f>ROUND(W193,0)-19000</f>
        <v>136146</v>
      </c>
      <c r="AA193" s="56">
        <f t="shared" si="69"/>
        <v>-19000</v>
      </c>
      <c r="AB193" s="193" t="s">
        <v>497</v>
      </c>
    </row>
    <row r="194" spans="2:28" ht="29.4" customHeight="1" x14ac:dyDescent="0.25">
      <c r="B194" s="66" t="s">
        <v>504</v>
      </c>
      <c r="C194" s="192" t="s">
        <v>505</v>
      </c>
      <c r="D194" s="149" t="s">
        <v>506</v>
      </c>
      <c r="E194" s="56">
        <f>E80</f>
        <v>0</v>
      </c>
      <c r="F194" s="56"/>
      <c r="G194" s="56">
        <f>G80</f>
        <v>202410</v>
      </c>
      <c r="H194" s="56"/>
      <c r="I194" s="56"/>
      <c r="J194" s="56">
        <f>[4]Pivot_invest_2023!E15-SUM(E194:I194)</f>
        <v>10012.110000000015</v>
      </c>
      <c r="K194" s="56"/>
      <c r="L194" s="56">
        <f t="shared" si="96"/>
        <v>212422.11000000002</v>
      </c>
      <c r="M194" s="71">
        <v>212422.11000000002</v>
      </c>
      <c r="N194" s="71">
        <f t="shared" ref="N194:N200" si="100">ROUND(M194,0)</f>
        <v>212422</v>
      </c>
      <c r="O194" s="56">
        <f t="shared" si="65"/>
        <v>-0.11000000001513399</v>
      </c>
      <c r="P194" s="193"/>
      <c r="Q194" s="56">
        <f>ROUND(N194,0)</f>
        <v>212422</v>
      </c>
      <c r="R194" s="56">
        <f t="shared" si="66"/>
        <v>0</v>
      </c>
      <c r="S194" s="193"/>
      <c r="T194" s="56">
        <f t="shared" si="97"/>
        <v>212422</v>
      </c>
      <c r="U194" s="56">
        <f t="shared" si="67"/>
        <v>0</v>
      </c>
      <c r="V194" s="193"/>
      <c r="W194" s="56">
        <f t="shared" si="98"/>
        <v>212422</v>
      </c>
      <c r="X194" s="56">
        <f t="shared" si="68"/>
        <v>0</v>
      </c>
      <c r="Y194" s="193"/>
      <c r="Z194" s="56">
        <f t="shared" si="99"/>
        <v>212422</v>
      </c>
      <c r="AA194" s="56">
        <f t="shared" si="69"/>
        <v>0</v>
      </c>
      <c r="AB194" s="193"/>
    </row>
    <row r="195" spans="2:28" ht="27" customHeight="1" x14ac:dyDescent="0.25">
      <c r="B195" s="66" t="s">
        <v>507</v>
      </c>
      <c r="C195" s="192" t="s">
        <v>508</v>
      </c>
      <c r="D195" s="149" t="s">
        <v>239</v>
      </c>
      <c r="E195" s="56">
        <f>E81</f>
        <v>15704</v>
      </c>
      <c r="F195" s="56"/>
      <c r="G195" s="56"/>
      <c r="H195" s="56"/>
      <c r="I195" s="56"/>
      <c r="J195" s="56">
        <f>[4]Pivot_invest_2023!E16-SUM(E195:I195)</f>
        <v>3.0000000000654836E-2</v>
      </c>
      <c r="K195" s="56"/>
      <c r="L195" s="56">
        <f t="shared" si="96"/>
        <v>15704.03</v>
      </c>
      <c r="M195" s="71">
        <v>15704.03</v>
      </c>
      <c r="N195" s="71">
        <f t="shared" si="100"/>
        <v>15704</v>
      </c>
      <c r="O195" s="56">
        <f t="shared" si="65"/>
        <v>-3.0000000000654836E-2</v>
      </c>
      <c r="P195" s="72"/>
      <c r="Q195" s="56">
        <f>ROUND(N195,0)</f>
        <v>15704</v>
      </c>
      <c r="R195" s="56">
        <f t="shared" si="66"/>
        <v>0</v>
      </c>
      <c r="S195" s="72"/>
      <c r="T195" s="56">
        <f t="shared" si="97"/>
        <v>15704</v>
      </c>
      <c r="U195" s="56">
        <f t="shared" si="67"/>
        <v>0</v>
      </c>
      <c r="V195" s="72"/>
      <c r="W195" s="56">
        <f t="shared" si="98"/>
        <v>15704</v>
      </c>
      <c r="X195" s="56">
        <f t="shared" si="68"/>
        <v>0</v>
      </c>
      <c r="Y195" s="72"/>
      <c r="Z195" s="56">
        <f t="shared" si="99"/>
        <v>15704</v>
      </c>
      <c r="AA195" s="56">
        <f t="shared" si="69"/>
        <v>0</v>
      </c>
      <c r="AB195" s="72"/>
    </row>
    <row r="196" spans="2:28" ht="15" customHeight="1" x14ac:dyDescent="0.25">
      <c r="B196" s="66" t="s">
        <v>509</v>
      </c>
      <c r="C196" s="148" t="s">
        <v>510</v>
      </c>
      <c r="D196" s="149" t="s">
        <v>511</v>
      </c>
      <c r="E196" s="56"/>
      <c r="F196" s="56"/>
      <c r="G196" s="56"/>
      <c r="H196" s="56"/>
      <c r="I196" s="56"/>
      <c r="J196" s="56"/>
      <c r="K196" s="56">
        <f>[4]PIVOT_2023!H169</f>
        <v>121138.2865</v>
      </c>
      <c r="L196" s="56">
        <f t="shared" si="96"/>
        <v>121138.2865</v>
      </c>
      <c r="M196" s="71">
        <v>121138.2865</v>
      </c>
      <c r="N196" s="71">
        <f t="shared" si="100"/>
        <v>121138</v>
      </c>
      <c r="O196" s="56">
        <f t="shared" si="65"/>
        <v>-0.28650000000197906</v>
      </c>
      <c r="P196" s="193"/>
      <c r="Q196" s="56">
        <f>ROUND(N196,0)+13657+500</f>
        <v>135295</v>
      </c>
      <c r="R196" s="150">
        <f t="shared" si="66"/>
        <v>14157</v>
      </c>
      <c r="S196" s="194" t="s">
        <v>512</v>
      </c>
      <c r="T196" s="56">
        <f t="shared" si="97"/>
        <v>135295</v>
      </c>
      <c r="U196" s="56">
        <f t="shared" si="67"/>
        <v>0</v>
      </c>
      <c r="V196" s="193"/>
      <c r="W196" s="56">
        <f t="shared" si="98"/>
        <v>135295</v>
      </c>
      <c r="X196" s="56">
        <f t="shared" si="68"/>
        <v>0</v>
      </c>
      <c r="Y196" s="193"/>
      <c r="Z196" s="56">
        <f t="shared" si="99"/>
        <v>135295</v>
      </c>
      <c r="AA196" s="56">
        <f t="shared" si="69"/>
        <v>0</v>
      </c>
      <c r="AB196" s="193"/>
    </row>
    <row r="197" spans="2:28" ht="15.6" customHeight="1" x14ac:dyDescent="0.25">
      <c r="B197" s="66" t="s">
        <v>513</v>
      </c>
      <c r="C197" s="148" t="s">
        <v>514</v>
      </c>
      <c r="D197" s="149" t="s">
        <v>515</v>
      </c>
      <c r="E197" s="56"/>
      <c r="F197" s="56"/>
      <c r="G197" s="56"/>
      <c r="H197" s="56"/>
      <c r="I197" s="56"/>
      <c r="J197" s="56"/>
      <c r="K197" s="56">
        <f>[4]PIVOT_2023!H174</f>
        <v>62655.829250000003</v>
      </c>
      <c r="L197" s="56">
        <f t="shared" si="96"/>
        <v>62655.829250000003</v>
      </c>
      <c r="M197" s="71">
        <v>62655.829250000003</v>
      </c>
      <c r="N197" s="71">
        <f t="shared" si="100"/>
        <v>62656</v>
      </c>
      <c r="O197" s="56">
        <f t="shared" ref="O197:O260" si="101">N197-M197</f>
        <v>0.17074999999749707</v>
      </c>
      <c r="P197" s="193"/>
      <c r="Q197" s="56">
        <f>ROUND(N197,0)</f>
        <v>62656</v>
      </c>
      <c r="R197" s="56">
        <f t="shared" si="66"/>
        <v>0</v>
      </c>
      <c r="S197" s="193"/>
      <c r="T197" s="56">
        <f t="shared" si="97"/>
        <v>62656</v>
      </c>
      <c r="U197" s="56">
        <f t="shared" si="67"/>
        <v>0</v>
      </c>
      <c r="V197" s="193"/>
      <c r="W197" s="56">
        <f>ROUND(T197,0)+2904</f>
        <v>65560</v>
      </c>
      <c r="X197" s="56">
        <f t="shared" si="68"/>
        <v>2904</v>
      </c>
      <c r="Y197" s="193" t="s">
        <v>516</v>
      </c>
      <c r="Z197" s="56">
        <f>ROUND(W197,0)</f>
        <v>65560</v>
      </c>
      <c r="AA197" s="56">
        <f t="shared" si="69"/>
        <v>0</v>
      </c>
      <c r="AB197" s="193"/>
    </row>
    <row r="198" spans="2:28" ht="73.5" customHeight="1" x14ac:dyDescent="0.25">
      <c r="B198" s="66" t="s">
        <v>298</v>
      </c>
      <c r="C198" s="148" t="s">
        <v>517</v>
      </c>
      <c r="D198" s="149" t="s">
        <v>518</v>
      </c>
      <c r="E198" s="56"/>
      <c r="F198" s="56"/>
      <c r="G198" s="56"/>
      <c r="H198" s="56"/>
      <c r="I198" s="56"/>
      <c r="J198" s="56">
        <f>[4]Pivot_invest_2023!E47+[4]Pivot_invest_2023!E66</f>
        <v>150159.9</v>
      </c>
      <c r="K198" s="56">
        <f>[4]PIVOT_2023!H179</f>
        <v>579436.75136999995</v>
      </c>
      <c r="L198" s="56">
        <f t="shared" si="96"/>
        <v>729596.65136999998</v>
      </c>
      <c r="M198" s="71">
        <v>729596.65136999998</v>
      </c>
      <c r="N198" s="71">
        <f t="shared" si="100"/>
        <v>729597</v>
      </c>
      <c r="O198" s="56">
        <f t="shared" si="101"/>
        <v>0.34863000002223998</v>
      </c>
      <c r="P198" s="72"/>
      <c r="Q198" s="56">
        <f>ROUND(N198,0)</f>
        <v>729597</v>
      </c>
      <c r="R198" s="56">
        <f t="shared" ref="R198:R261" si="102">Q198-N198</f>
        <v>0</v>
      </c>
      <c r="S198" s="72"/>
      <c r="T198" s="56">
        <f t="shared" si="97"/>
        <v>729597</v>
      </c>
      <c r="U198" s="56">
        <f t="shared" ref="U198:U261" si="103">T198-Q198</f>
        <v>0</v>
      </c>
      <c r="V198" s="72"/>
      <c r="W198" s="56">
        <f>ROUND(T198,0)</f>
        <v>729597</v>
      </c>
      <c r="X198" s="56">
        <f t="shared" ref="X198:X261" si="104">W198-T198</f>
        <v>0</v>
      </c>
      <c r="Y198" s="72"/>
      <c r="Z198" s="56">
        <f>ROUND(W198,0)-3504+5000+30000</f>
        <v>761093</v>
      </c>
      <c r="AA198" s="56">
        <f t="shared" ref="AA198:AA261" si="105">Z198-W198</f>
        <v>31496</v>
      </c>
      <c r="AB198" s="72" t="s">
        <v>519</v>
      </c>
    </row>
    <row r="199" spans="2:28" ht="15.6" customHeight="1" x14ac:dyDescent="0.25">
      <c r="B199" s="66" t="s">
        <v>520</v>
      </c>
      <c r="C199" s="148" t="s">
        <v>521</v>
      </c>
      <c r="D199" s="149" t="s">
        <v>522</v>
      </c>
      <c r="E199" s="56"/>
      <c r="F199" s="56"/>
      <c r="G199" s="56"/>
      <c r="H199" s="56"/>
      <c r="I199" s="56"/>
      <c r="J199" s="56">
        <f>[4]Pivot_invest_2023!E69</f>
        <v>4000</v>
      </c>
      <c r="K199" s="56"/>
      <c r="L199" s="56">
        <f t="shared" si="96"/>
        <v>4000</v>
      </c>
      <c r="M199" s="71">
        <v>4000</v>
      </c>
      <c r="N199" s="71">
        <f t="shared" si="100"/>
        <v>4000</v>
      </c>
      <c r="O199" s="56">
        <f t="shared" si="101"/>
        <v>0</v>
      </c>
      <c r="P199" s="152"/>
      <c r="Q199" s="56">
        <f>ROUND(N199,0)</f>
        <v>4000</v>
      </c>
      <c r="R199" s="56">
        <f t="shared" si="102"/>
        <v>0</v>
      </c>
      <c r="S199" s="152"/>
      <c r="T199" s="56">
        <f t="shared" si="97"/>
        <v>4000</v>
      </c>
      <c r="U199" s="56">
        <f t="shared" si="103"/>
        <v>0</v>
      </c>
      <c r="V199" s="152"/>
      <c r="W199" s="56">
        <f t="shared" si="98"/>
        <v>4000</v>
      </c>
      <c r="X199" s="56">
        <f t="shared" si="104"/>
        <v>0</v>
      </c>
      <c r="Y199" s="152"/>
      <c r="Z199" s="56">
        <f>ROUND(W199,0)</f>
        <v>4000</v>
      </c>
      <c r="AA199" s="56">
        <f t="shared" si="105"/>
        <v>0</v>
      </c>
      <c r="AB199" s="152"/>
    </row>
    <row r="200" spans="2:28" ht="15.6" customHeight="1" x14ac:dyDescent="0.25">
      <c r="B200" s="66" t="s">
        <v>523</v>
      </c>
      <c r="C200" s="148" t="s">
        <v>524</v>
      </c>
      <c r="D200" s="149" t="s">
        <v>525</v>
      </c>
      <c r="E200" s="56"/>
      <c r="F200" s="56"/>
      <c r="G200" s="56"/>
      <c r="H200" s="56"/>
      <c r="I200" s="56"/>
      <c r="J200" s="56"/>
      <c r="K200" s="56">
        <f>[4]PIVOT_2023!H249</f>
        <v>19228.173900000002</v>
      </c>
      <c r="L200" s="56">
        <f t="shared" si="96"/>
        <v>19228.173900000002</v>
      </c>
      <c r="M200" s="71">
        <v>19228.173900000002</v>
      </c>
      <c r="N200" s="71">
        <f t="shared" si="100"/>
        <v>19228</v>
      </c>
      <c r="O200" s="56">
        <f t="shared" si="101"/>
        <v>-0.17390000000159489</v>
      </c>
      <c r="P200" s="152"/>
      <c r="Q200" s="56">
        <f>ROUND(N200,0)</f>
        <v>19228</v>
      </c>
      <c r="R200" s="56">
        <f t="shared" si="102"/>
        <v>0</v>
      </c>
      <c r="S200" s="152"/>
      <c r="T200" s="56">
        <f t="shared" si="97"/>
        <v>19228</v>
      </c>
      <c r="U200" s="56">
        <f t="shared" si="103"/>
        <v>0</v>
      </c>
      <c r="V200" s="152"/>
      <c r="W200" s="56">
        <f t="shared" si="98"/>
        <v>19228</v>
      </c>
      <c r="X200" s="56">
        <f t="shared" si="104"/>
        <v>0</v>
      </c>
      <c r="Y200" s="152"/>
      <c r="Z200" s="56">
        <f>ROUND(W200,0)</f>
        <v>19228</v>
      </c>
      <c r="AA200" s="56">
        <f t="shared" si="105"/>
        <v>0</v>
      </c>
      <c r="AB200" s="152"/>
    </row>
    <row r="201" spans="2:28" s="140" customFormat="1" ht="15.6" customHeight="1" x14ac:dyDescent="0.25">
      <c r="C201" s="153" t="s">
        <v>117</v>
      </c>
      <c r="D201" s="154" t="s">
        <v>526</v>
      </c>
      <c r="E201" s="39">
        <f>E202+E208+E211+E215+E216+E217+E218+E219</f>
        <v>384771.79</v>
      </c>
      <c r="F201" s="39">
        <f t="shared" ref="F201:N201" si="106">F202+F208+F211+F215+F216+F217+F218+F219</f>
        <v>1041263</v>
      </c>
      <c r="G201" s="39">
        <f t="shared" si="106"/>
        <v>409094</v>
      </c>
      <c r="H201" s="39">
        <f t="shared" si="106"/>
        <v>0</v>
      </c>
      <c r="I201" s="39">
        <f t="shared" si="106"/>
        <v>0</v>
      </c>
      <c r="J201" s="39">
        <f t="shared" si="106"/>
        <v>134489</v>
      </c>
      <c r="K201" s="39">
        <f t="shared" si="106"/>
        <v>2231559.0900725001</v>
      </c>
      <c r="L201" s="39">
        <f t="shared" si="106"/>
        <v>4201176.8800725006</v>
      </c>
      <c r="M201" s="40">
        <v>4201176.8811799996</v>
      </c>
      <c r="N201" s="40">
        <f t="shared" si="106"/>
        <v>4201177</v>
      </c>
      <c r="O201" s="39">
        <f>O202+O208+O211+O215+O216+O217</f>
        <v>0.11881999997422099</v>
      </c>
      <c r="P201" s="39"/>
      <c r="Q201" s="39">
        <f>Q202+Q208+Q211+Q215+Q216+Q217+Q218+Q219</f>
        <v>4179627</v>
      </c>
      <c r="R201" s="39">
        <f t="shared" si="102"/>
        <v>-21550</v>
      </c>
      <c r="S201" s="39"/>
      <c r="T201" s="39">
        <f>T202+T208+T211+T215+T216+T217+T218+T219</f>
        <v>4179627</v>
      </c>
      <c r="U201" s="39">
        <f t="shared" si="103"/>
        <v>0</v>
      </c>
      <c r="V201" s="39"/>
      <c r="W201" s="39">
        <f>W202+W208+W211+W215+W216+W217+W218+W219</f>
        <v>4219807</v>
      </c>
      <c r="X201" s="39">
        <f t="shared" si="104"/>
        <v>40180</v>
      </c>
      <c r="Y201" s="39"/>
      <c r="Z201" s="39">
        <f>Z202+Z208+Z211+Z215+Z216+Z217+Z218+Z219</f>
        <v>4249807</v>
      </c>
      <c r="AA201" s="39">
        <f t="shared" si="105"/>
        <v>30000</v>
      </c>
      <c r="AB201" s="39"/>
    </row>
    <row r="202" spans="2:28" s="140" customFormat="1" ht="15" customHeight="1" x14ac:dyDescent="0.25">
      <c r="C202" s="148" t="s">
        <v>120</v>
      </c>
      <c r="D202" s="149" t="s">
        <v>527</v>
      </c>
      <c r="E202" s="56">
        <f>E203+E204+E205+E206+E207</f>
        <v>0</v>
      </c>
      <c r="F202" s="56">
        <f t="shared" ref="F202:O202" si="107">F203+F204+F205+F206+F207</f>
        <v>583846</v>
      </c>
      <c r="G202" s="56">
        <f t="shared" si="107"/>
        <v>0</v>
      </c>
      <c r="H202" s="56">
        <f t="shared" si="107"/>
        <v>0</v>
      </c>
      <c r="I202" s="56">
        <f t="shared" si="107"/>
        <v>0</v>
      </c>
      <c r="J202" s="56">
        <f t="shared" si="107"/>
        <v>95000</v>
      </c>
      <c r="K202" s="56">
        <f t="shared" si="107"/>
        <v>1749809.2481999998</v>
      </c>
      <c r="L202" s="56">
        <f t="shared" si="107"/>
        <v>2428655.2481999998</v>
      </c>
      <c r="M202" s="71">
        <v>2428655</v>
      </c>
      <c r="N202" s="71">
        <f t="shared" si="107"/>
        <v>2428655</v>
      </c>
      <c r="O202" s="56">
        <f t="shared" si="107"/>
        <v>0</v>
      </c>
      <c r="P202" s="56"/>
      <c r="Q202" s="56">
        <f>Q203+Q204+Q205+Q206+Q207</f>
        <v>2415355</v>
      </c>
      <c r="R202" s="56">
        <f t="shared" si="102"/>
        <v>-13300</v>
      </c>
      <c r="S202" s="56"/>
      <c r="T202" s="56">
        <f>T203+T204+T205+T206+T207</f>
        <v>2415355</v>
      </c>
      <c r="U202" s="56">
        <f t="shared" si="103"/>
        <v>0</v>
      </c>
      <c r="V202" s="56"/>
      <c r="W202" s="56">
        <f>W203+W204+W205+W206+W207</f>
        <v>2405535</v>
      </c>
      <c r="X202" s="56">
        <f t="shared" si="104"/>
        <v>-9820</v>
      </c>
      <c r="Y202" s="56"/>
      <c r="Z202" s="56">
        <f>Z203+Z204+Z205+Z206+Z207</f>
        <v>2405535</v>
      </c>
      <c r="AA202" s="56">
        <f t="shared" si="105"/>
        <v>0</v>
      </c>
      <c r="AB202" s="56"/>
    </row>
    <row r="203" spans="2:28" s="195" customFormat="1" ht="43.95" customHeight="1" outlineLevel="1" x14ac:dyDescent="0.25">
      <c r="B203" s="195">
        <v>1010</v>
      </c>
      <c r="C203" s="196" t="s">
        <v>528</v>
      </c>
      <c r="D203" s="197" t="s">
        <v>529</v>
      </c>
      <c r="E203" s="188"/>
      <c r="F203" s="188">
        <v>13800</v>
      </c>
      <c r="G203" s="188"/>
      <c r="H203" s="188"/>
      <c r="I203" s="188"/>
      <c r="J203" s="188">
        <f>[4]Pivot_invest_2023!E53</f>
        <v>15000</v>
      </c>
      <c r="K203" s="188">
        <f>[4]PIVOT_2023!H202-K204</f>
        <v>573019.2481999998</v>
      </c>
      <c r="L203" s="188">
        <f>E203+F203+G203+H203+I203+J203+K203</f>
        <v>601819.2481999998</v>
      </c>
      <c r="M203" s="198">
        <v>601819</v>
      </c>
      <c r="N203" s="198">
        <f>ROUND(M203,0)</f>
        <v>601819</v>
      </c>
      <c r="O203" s="188">
        <f t="shared" si="101"/>
        <v>0</v>
      </c>
      <c r="P203" s="199"/>
      <c r="Q203" s="188">
        <f>ROUND(N203,0)-13300</f>
        <v>588519</v>
      </c>
      <c r="R203" s="200">
        <f t="shared" si="102"/>
        <v>-13300</v>
      </c>
      <c r="S203" s="166" t="s">
        <v>353</v>
      </c>
      <c r="T203" s="188">
        <f>ROUND(Q203,0)</f>
        <v>588519</v>
      </c>
      <c r="U203" s="188">
        <f t="shared" si="103"/>
        <v>0</v>
      </c>
      <c r="V203" s="165"/>
      <c r="W203" s="188">
        <f>ROUND(T203,0)-9820</f>
        <v>578699</v>
      </c>
      <c r="X203" s="188">
        <f t="shared" si="104"/>
        <v>-9820</v>
      </c>
      <c r="Y203" s="165" t="s">
        <v>530</v>
      </c>
      <c r="Z203" s="188">
        <f>ROUND(W203,0)</f>
        <v>578699</v>
      </c>
      <c r="AA203" s="188">
        <f t="shared" si="105"/>
        <v>0</v>
      </c>
      <c r="AB203" s="165"/>
    </row>
    <row r="204" spans="2:28" s="195" customFormat="1" ht="16.2" customHeight="1" outlineLevel="1" x14ac:dyDescent="0.25">
      <c r="B204" s="195">
        <v>1010</v>
      </c>
      <c r="C204" s="196" t="s">
        <v>531</v>
      </c>
      <c r="D204" s="197" t="s">
        <v>532</v>
      </c>
      <c r="E204" s="188"/>
      <c r="F204" s="188">
        <f>(50000+73000)</f>
        <v>123000</v>
      </c>
      <c r="G204" s="188"/>
      <c r="H204" s="188"/>
      <c r="I204" s="188"/>
      <c r="J204" s="188">
        <f>[4]Pivot_invest_2023!E56</f>
        <v>80000</v>
      </c>
      <c r="K204" s="188">
        <f>[4]PIVOT_2023!H205</f>
        <v>1170990</v>
      </c>
      <c r="L204" s="188">
        <f>E204+F204+G204+H204+I204+J204+K204</f>
        <v>1373990</v>
      </c>
      <c r="M204" s="198">
        <v>1373990</v>
      </c>
      <c r="N204" s="198">
        <f>ROUND(M204,0)</f>
        <v>1373990</v>
      </c>
      <c r="O204" s="188">
        <f t="shared" si="101"/>
        <v>0</v>
      </c>
      <c r="P204" s="72"/>
      <c r="Q204" s="188">
        <f>ROUND(N204,0)</f>
        <v>1373990</v>
      </c>
      <c r="R204" s="188">
        <f t="shared" si="102"/>
        <v>0</v>
      </c>
      <c r="S204" s="74"/>
      <c r="T204" s="188">
        <f>ROUND(Q204,0)</f>
        <v>1373990</v>
      </c>
      <c r="U204" s="188">
        <f t="shared" si="103"/>
        <v>0</v>
      </c>
      <c r="V204" s="74"/>
      <c r="W204" s="188">
        <f>ROUND(T204,0)</f>
        <v>1373990</v>
      </c>
      <c r="X204" s="188">
        <f t="shared" si="104"/>
        <v>0</v>
      </c>
      <c r="Y204" s="74"/>
      <c r="Z204" s="188">
        <f>ROUND(W204,0)</f>
        <v>1373990</v>
      </c>
      <c r="AA204" s="188">
        <f t="shared" si="105"/>
        <v>0</v>
      </c>
      <c r="AB204" s="74"/>
    </row>
    <row r="205" spans="2:28" s="195" customFormat="1" ht="17.399999999999999" customHeight="1" outlineLevel="1" x14ac:dyDescent="0.25">
      <c r="B205" s="195">
        <v>1010</v>
      </c>
      <c r="C205" s="196" t="s">
        <v>533</v>
      </c>
      <c r="D205" s="197" t="s">
        <v>534</v>
      </c>
      <c r="E205" s="188"/>
      <c r="F205" s="188">
        <f>F60</f>
        <v>25954</v>
      </c>
      <c r="G205" s="188"/>
      <c r="H205" s="188"/>
      <c r="I205" s="188"/>
      <c r="J205" s="188"/>
      <c r="K205" s="188"/>
      <c r="L205" s="188">
        <f>E205+F205+G205+H205+I205+J205+K205</f>
        <v>25954</v>
      </c>
      <c r="M205" s="198">
        <v>25954</v>
      </c>
      <c r="N205" s="198">
        <f>ROUND(M205,0)</f>
        <v>25954</v>
      </c>
      <c r="O205" s="188">
        <f t="shared" si="101"/>
        <v>0</v>
      </c>
      <c r="P205" s="74"/>
      <c r="Q205" s="188">
        <f>ROUND(N205,0)</f>
        <v>25954</v>
      </c>
      <c r="R205" s="188">
        <f t="shared" si="102"/>
        <v>0</v>
      </c>
      <c r="S205" s="74"/>
      <c r="T205" s="188">
        <f>ROUND(Q205,0)</f>
        <v>25954</v>
      </c>
      <c r="U205" s="188">
        <f t="shared" si="103"/>
        <v>0</v>
      </c>
      <c r="V205" s="74"/>
      <c r="W205" s="188">
        <f>ROUND(T205,0)</f>
        <v>25954</v>
      </c>
      <c r="X205" s="188">
        <f t="shared" si="104"/>
        <v>0</v>
      </c>
      <c r="Y205" s="74"/>
      <c r="Z205" s="188">
        <f>ROUND(W205,0)</f>
        <v>25954</v>
      </c>
      <c r="AA205" s="188">
        <f t="shared" si="105"/>
        <v>0</v>
      </c>
      <c r="AB205" s="74"/>
    </row>
    <row r="206" spans="2:28" s="195" customFormat="1" outlineLevel="1" x14ac:dyDescent="0.25">
      <c r="B206" s="195">
        <v>1012</v>
      </c>
      <c r="C206" s="196" t="s">
        <v>535</v>
      </c>
      <c r="D206" s="197" t="s">
        <v>536</v>
      </c>
      <c r="E206" s="188"/>
      <c r="F206" s="188">
        <f>F59</f>
        <v>421092</v>
      </c>
      <c r="G206" s="188"/>
      <c r="H206" s="188"/>
      <c r="I206" s="188"/>
      <c r="J206" s="188"/>
      <c r="K206" s="188"/>
      <c r="L206" s="188">
        <f>E206+F206+G206+H206+I206+J206+K206</f>
        <v>421092</v>
      </c>
      <c r="M206" s="198">
        <v>421092</v>
      </c>
      <c r="N206" s="198">
        <f>ROUND(M206,0)</f>
        <v>421092</v>
      </c>
      <c r="O206" s="188">
        <f t="shared" si="101"/>
        <v>0</v>
      </c>
      <c r="P206" s="199"/>
      <c r="Q206" s="188">
        <f>ROUND(N206,0)</f>
        <v>421092</v>
      </c>
      <c r="R206" s="188">
        <f t="shared" si="102"/>
        <v>0</v>
      </c>
      <c r="S206" s="199"/>
      <c r="T206" s="188">
        <f>ROUND(Q206,0)</f>
        <v>421092</v>
      </c>
      <c r="U206" s="188">
        <f t="shared" si="103"/>
        <v>0</v>
      </c>
      <c r="V206" s="199"/>
      <c r="W206" s="188">
        <f>ROUND(T206,0)</f>
        <v>421092</v>
      </c>
      <c r="X206" s="188">
        <f t="shared" si="104"/>
        <v>0</v>
      </c>
      <c r="Y206" s="199"/>
      <c r="Z206" s="188">
        <f>ROUND(W206,0)</f>
        <v>421092</v>
      </c>
      <c r="AA206" s="188">
        <f t="shared" si="105"/>
        <v>0</v>
      </c>
      <c r="AB206" s="199"/>
    </row>
    <row r="207" spans="2:28" s="195" customFormat="1" outlineLevel="1" x14ac:dyDescent="0.25">
      <c r="B207" s="195">
        <v>1015</v>
      </c>
      <c r="C207" s="196" t="s">
        <v>537</v>
      </c>
      <c r="D207" s="197" t="s">
        <v>538</v>
      </c>
      <c r="E207" s="188"/>
      <c r="F207" s="188"/>
      <c r="G207" s="188"/>
      <c r="H207" s="188"/>
      <c r="I207" s="188"/>
      <c r="J207" s="188"/>
      <c r="K207" s="188">
        <f>[4]PIVOT_2023!H223</f>
        <v>5800</v>
      </c>
      <c r="L207" s="188">
        <f>E207+F207+G207+H207+I207+J207+K207</f>
        <v>5800</v>
      </c>
      <c r="M207" s="198">
        <v>5800</v>
      </c>
      <c r="N207" s="198">
        <f>ROUND(M207,0)</f>
        <v>5800</v>
      </c>
      <c r="O207" s="188">
        <f t="shared" si="101"/>
        <v>0</v>
      </c>
      <c r="P207" s="199"/>
      <c r="Q207" s="188">
        <f>ROUND(N207,0)</f>
        <v>5800</v>
      </c>
      <c r="R207" s="188">
        <f t="shared" si="102"/>
        <v>0</v>
      </c>
      <c r="S207" s="199"/>
      <c r="T207" s="188">
        <f>ROUND(Q207,0)</f>
        <v>5800</v>
      </c>
      <c r="U207" s="188">
        <f t="shared" si="103"/>
        <v>0</v>
      </c>
      <c r="V207" s="199"/>
      <c r="W207" s="188">
        <f>ROUND(T207,0)</f>
        <v>5800</v>
      </c>
      <c r="X207" s="188">
        <f t="shared" si="104"/>
        <v>0</v>
      </c>
      <c r="Y207" s="199"/>
      <c r="Z207" s="188">
        <f>ROUND(W207,0)</f>
        <v>5800</v>
      </c>
      <c r="AA207" s="188">
        <f t="shared" si="105"/>
        <v>0</v>
      </c>
      <c r="AB207" s="199"/>
    </row>
    <row r="208" spans="2:28" s="140" customFormat="1" ht="19.5" customHeight="1" x14ac:dyDescent="0.25">
      <c r="C208" s="148" t="s">
        <v>125</v>
      </c>
      <c r="D208" s="149" t="s">
        <v>539</v>
      </c>
      <c r="E208" s="56">
        <f t="shared" ref="E208:L208" si="108">E209+E210</f>
        <v>1214</v>
      </c>
      <c r="F208" s="56">
        <f t="shared" si="108"/>
        <v>7417</v>
      </c>
      <c r="G208" s="56">
        <f t="shared" si="108"/>
        <v>0</v>
      </c>
      <c r="H208" s="56">
        <f t="shared" si="108"/>
        <v>0</v>
      </c>
      <c r="I208" s="56">
        <f>I209+I210</f>
        <v>0</v>
      </c>
      <c r="J208" s="56">
        <f t="shared" si="108"/>
        <v>0</v>
      </c>
      <c r="K208" s="56">
        <f t="shared" si="108"/>
        <v>1407</v>
      </c>
      <c r="L208" s="56">
        <f t="shared" si="108"/>
        <v>10038</v>
      </c>
      <c r="M208" s="71">
        <v>10038</v>
      </c>
      <c r="N208" s="71">
        <f>N209+N210</f>
        <v>10038</v>
      </c>
      <c r="O208" s="56">
        <f t="shared" si="101"/>
        <v>0</v>
      </c>
      <c r="P208" s="72"/>
      <c r="Q208" s="56">
        <f>Q209+Q210</f>
        <v>10038</v>
      </c>
      <c r="R208" s="56">
        <f t="shared" si="102"/>
        <v>0</v>
      </c>
      <c r="S208" s="72"/>
      <c r="T208" s="56">
        <f>T209+T210</f>
        <v>10038</v>
      </c>
      <c r="U208" s="56">
        <f t="shared" si="103"/>
        <v>0</v>
      </c>
      <c r="V208" s="72"/>
      <c r="W208" s="56">
        <f>W209+W210</f>
        <v>10038</v>
      </c>
      <c r="X208" s="56">
        <f t="shared" si="104"/>
        <v>0</v>
      </c>
      <c r="Y208" s="72"/>
      <c r="Z208" s="56">
        <f>Z209+Z210</f>
        <v>10038</v>
      </c>
      <c r="AA208" s="56">
        <f t="shared" si="105"/>
        <v>0</v>
      </c>
      <c r="AB208" s="72"/>
    </row>
    <row r="209" spans="2:28" s="195" customFormat="1" outlineLevel="1" x14ac:dyDescent="0.25">
      <c r="B209" s="195">
        <v>1011</v>
      </c>
      <c r="C209" s="196" t="s">
        <v>540</v>
      </c>
      <c r="D209" s="197" t="s">
        <v>541</v>
      </c>
      <c r="E209" s="188"/>
      <c r="F209" s="188"/>
      <c r="G209" s="188"/>
      <c r="H209" s="188"/>
      <c r="I209" s="188"/>
      <c r="J209" s="188"/>
      <c r="K209" s="188">
        <f>[4]PIVOT_2023!H227</f>
        <v>1407</v>
      </c>
      <c r="L209" s="188">
        <f>E209+F209+G209+H209+I209+J209+K209</f>
        <v>1407</v>
      </c>
      <c r="M209" s="198">
        <v>1407</v>
      </c>
      <c r="N209" s="198">
        <f>ROUND(M209,0)</f>
        <v>1407</v>
      </c>
      <c r="O209" s="188">
        <f t="shared" si="101"/>
        <v>0</v>
      </c>
      <c r="P209" s="199"/>
      <c r="Q209" s="188">
        <f>ROUND(N209,0)</f>
        <v>1407</v>
      </c>
      <c r="R209" s="188">
        <f t="shared" si="102"/>
        <v>0</v>
      </c>
      <c r="S209" s="199"/>
      <c r="T209" s="188">
        <f>ROUND(Q209,0)</f>
        <v>1407</v>
      </c>
      <c r="U209" s="188">
        <f t="shared" si="103"/>
        <v>0</v>
      </c>
      <c r="V209" s="199"/>
      <c r="W209" s="188">
        <f>ROUND(T209,0)</f>
        <v>1407</v>
      </c>
      <c r="X209" s="188">
        <f t="shared" si="104"/>
        <v>0</v>
      </c>
      <c r="Y209" s="199"/>
      <c r="Z209" s="188">
        <f>ROUND(W209,0)</f>
        <v>1407</v>
      </c>
      <c r="AA209" s="188">
        <f t="shared" si="105"/>
        <v>0</v>
      </c>
      <c r="AB209" s="199"/>
    </row>
    <row r="210" spans="2:28" s="195" customFormat="1" outlineLevel="1" x14ac:dyDescent="0.25">
      <c r="B210" s="195">
        <v>1011</v>
      </c>
      <c r="C210" s="196" t="s">
        <v>542</v>
      </c>
      <c r="D210" s="197" t="s">
        <v>543</v>
      </c>
      <c r="E210" s="188">
        <f>E68</f>
        <v>1214</v>
      </c>
      <c r="F210" s="188">
        <f>F68</f>
        <v>7417</v>
      </c>
      <c r="G210" s="188"/>
      <c r="H210" s="188"/>
      <c r="I210" s="188"/>
      <c r="J210" s="188"/>
      <c r="K210" s="188"/>
      <c r="L210" s="188">
        <f>E210+F210+G210+H210+I210+J210+K210</f>
        <v>8631</v>
      </c>
      <c r="M210" s="198">
        <v>8631</v>
      </c>
      <c r="N210" s="198">
        <f>ROUND(M210,0)</f>
        <v>8631</v>
      </c>
      <c r="O210" s="188">
        <f t="shared" si="101"/>
        <v>0</v>
      </c>
      <c r="P210" s="199"/>
      <c r="Q210" s="188">
        <f>ROUND(N210,0)</f>
        <v>8631</v>
      </c>
      <c r="R210" s="188">
        <f t="shared" si="102"/>
        <v>0</v>
      </c>
      <c r="S210" s="199"/>
      <c r="T210" s="188">
        <f>ROUND(Q210,0)</f>
        <v>8631</v>
      </c>
      <c r="U210" s="188">
        <f t="shared" si="103"/>
        <v>0</v>
      </c>
      <c r="V210" s="199"/>
      <c r="W210" s="188">
        <f>ROUND(T210,0)</f>
        <v>8631</v>
      </c>
      <c r="X210" s="188">
        <f t="shared" si="104"/>
        <v>0</v>
      </c>
      <c r="Y210" s="199"/>
      <c r="Z210" s="188">
        <f>ROUND(W210,0)</f>
        <v>8631</v>
      </c>
      <c r="AA210" s="188">
        <f t="shared" si="105"/>
        <v>0</v>
      </c>
      <c r="AB210" s="199"/>
    </row>
    <row r="211" spans="2:28" s="140" customFormat="1" ht="30.6" customHeight="1" x14ac:dyDescent="0.25">
      <c r="C211" s="148" t="s">
        <v>127</v>
      </c>
      <c r="D211" s="149" t="s">
        <v>544</v>
      </c>
      <c r="E211" s="201">
        <f t="shared" ref="E211:O211" si="109">SUM(E212:E214)</f>
        <v>43177</v>
      </c>
      <c r="F211" s="201">
        <f t="shared" si="109"/>
        <v>0</v>
      </c>
      <c r="G211" s="201">
        <f t="shared" si="109"/>
        <v>409094</v>
      </c>
      <c r="H211" s="201">
        <f t="shared" si="109"/>
        <v>0</v>
      </c>
      <c r="I211" s="201">
        <f t="shared" si="109"/>
        <v>0</v>
      </c>
      <c r="J211" s="201">
        <f t="shared" si="109"/>
        <v>39489</v>
      </c>
      <c r="K211" s="201">
        <f t="shared" si="109"/>
        <v>347837.75069250003</v>
      </c>
      <c r="L211" s="201">
        <f>SUM(L212:L214)</f>
        <v>839597.75069250003</v>
      </c>
      <c r="M211" s="202">
        <v>839598</v>
      </c>
      <c r="N211" s="202">
        <f t="shared" si="109"/>
        <v>839598</v>
      </c>
      <c r="O211" s="201">
        <f t="shared" si="109"/>
        <v>0</v>
      </c>
      <c r="P211" s="152"/>
      <c r="Q211" s="201">
        <f>SUM(Q212:Q214)</f>
        <v>818057</v>
      </c>
      <c r="R211" s="201">
        <f t="shared" si="102"/>
        <v>-21541</v>
      </c>
      <c r="S211" s="152"/>
      <c r="T211" s="201">
        <f>SUM(T212:T214)</f>
        <v>818057</v>
      </c>
      <c r="U211" s="201">
        <f t="shared" si="103"/>
        <v>0</v>
      </c>
      <c r="V211" s="152"/>
      <c r="W211" s="201">
        <f>SUM(W212:W214)</f>
        <v>818057</v>
      </c>
      <c r="X211" s="201">
        <f t="shared" si="104"/>
        <v>0</v>
      </c>
      <c r="Y211" s="152"/>
      <c r="Z211" s="201">
        <f>SUM(Z212:Z214)</f>
        <v>818057</v>
      </c>
      <c r="AA211" s="201">
        <f t="shared" si="105"/>
        <v>0</v>
      </c>
      <c r="AB211" s="152"/>
    </row>
    <row r="212" spans="2:28" s="140" customFormat="1" ht="15" customHeight="1" x14ac:dyDescent="0.25">
      <c r="B212" s="1" t="s">
        <v>545</v>
      </c>
      <c r="C212" s="203" t="s">
        <v>546</v>
      </c>
      <c r="D212" s="204" t="s">
        <v>547</v>
      </c>
      <c r="E212" s="33"/>
      <c r="F212" s="33"/>
      <c r="G212" s="33"/>
      <c r="H212" s="33"/>
      <c r="I212" s="33"/>
      <c r="J212" s="33"/>
      <c r="K212" s="33">
        <f>[4]PIVOT_2023!H210+20142</f>
        <v>347837.39069250005</v>
      </c>
      <c r="L212" s="33">
        <f t="shared" ref="L212:L219" si="110">E212+F212+G212+H212+I212+J212+K212</f>
        <v>347837.39069250005</v>
      </c>
      <c r="M212" s="34">
        <v>347838</v>
      </c>
      <c r="N212" s="34">
        <f t="shared" ref="N212:N217" si="111">ROUND(M212,0)</f>
        <v>347838</v>
      </c>
      <c r="O212" s="33">
        <f t="shared" si="101"/>
        <v>0</v>
      </c>
      <c r="P212" s="35"/>
      <c r="Q212" s="33">
        <f>ROUND(N212,0)-21541</f>
        <v>326297</v>
      </c>
      <c r="R212" s="36">
        <f t="shared" si="102"/>
        <v>-21541</v>
      </c>
      <c r="S212" s="166" t="s">
        <v>353</v>
      </c>
      <c r="T212" s="33">
        <f t="shared" ref="T212:T219" si="112">ROUND(Q212,0)</f>
        <v>326297</v>
      </c>
      <c r="U212" s="33">
        <f t="shared" si="103"/>
        <v>0</v>
      </c>
      <c r="V212" s="165"/>
      <c r="W212" s="33">
        <f t="shared" ref="W212:W219" si="113">ROUND(T212,0)</f>
        <v>326297</v>
      </c>
      <c r="X212" s="33">
        <f t="shared" si="104"/>
        <v>0</v>
      </c>
      <c r="Y212" s="165"/>
      <c r="Z212" s="33">
        <f t="shared" ref="Z212:Z219" si="114">ROUND(W212,0)</f>
        <v>326297</v>
      </c>
      <c r="AA212" s="33">
        <f t="shared" si="105"/>
        <v>0</v>
      </c>
      <c r="AB212" s="165"/>
    </row>
    <row r="213" spans="2:28" s="140" customFormat="1" ht="15.75" customHeight="1" x14ac:dyDescent="0.25">
      <c r="B213" s="1" t="s">
        <v>545</v>
      </c>
      <c r="C213" s="205" t="s">
        <v>548</v>
      </c>
      <c r="D213" s="204" t="s">
        <v>549</v>
      </c>
      <c r="E213" s="33">
        <f>E74</f>
        <v>4454</v>
      </c>
      <c r="F213" s="33"/>
      <c r="G213" s="33">
        <f>G74</f>
        <v>117147</v>
      </c>
      <c r="H213" s="33"/>
      <c r="I213" s="33">
        <f>I74</f>
        <v>0</v>
      </c>
      <c r="J213" s="33">
        <f>[4]Pivot_invest_2023!E29-SUM(E213:I213)</f>
        <v>39489</v>
      </c>
      <c r="K213" s="33"/>
      <c r="L213" s="33">
        <f t="shared" si="110"/>
        <v>161090</v>
      </c>
      <c r="M213" s="34">
        <v>161090</v>
      </c>
      <c r="N213" s="34">
        <f t="shared" si="111"/>
        <v>161090</v>
      </c>
      <c r="O213" s="33">
        <f t="shared" si="101"/>
        <v>0</v>
      </c>
      <c r="P213" s="35"/>
      <c r="Q213" s="33">
        <f t="shared" ref="Q213:Q219" si="115">ROUND(N213,0)</f>
        <v>161090</v>
      </c>
      <c r="R213" s="33">
        <f t="shared" si="102"/>
        <v>0</v>
      </c>
      <c r="S213" s="35"/>
      <c r="T213" s="33">
        <f t="shared" si="112"/>
        <v>161090</v>
      </c>
      <c r="U213" s="33">
        <f t="shared" si="103"/>
        <v>0</v>
      </c>
      <c r="V213" s="35"/>
      <c r="W213" s="33">
        <f t="shared" si="113"/>
        <v>161090</v>
      </c>
      <c r="X213" s="33">
        <f t="shared" si="104"/>
        <v>0</v>
      </c>
      <c r="Y213" s="35"/>
      <c r="Z213" s="33">
        <f t="shared" si="114"/>
        <v>161090</v>
      </c>
      <c r="AA213" s="33">
        <f t="shared" si="105"/>
        <v>0</v>
      </c>
      <c r="AB213" s="35"/>
    </row>
    <row r="214" spans="2:28" s="140" customFormat="1" ht="15.6" customHeight="1" x14ac:dyDescent="0.25">
      <c r="B214" s="1" t="s">
        <v>550</v>
      </c>
      <c r="C214" s="203" t="s">
        <v>551</v>
      </c>
      <c r="D214" s="204" t="s">
        <v>552</v>
      </c>
      <c r="E214" s="33">
        <f>E75</f>
        <v>38723</v>
      </c>
      <c r="F214" s="33"/>
      <c r="G214" s="33">
        <f>G75</f>
        <v>291947</v>
      </c>
      <c r="H214" s="33"/>
      <c r="I214" s="33">
        <f>I75</f>
        <v>0</v>
      </c>
      <c r="J214" s="33">
        <f>[4]Pivot_invest_2023!E30-SUM(E214:I214)</f>
        <v>0</v>
      </c>
      <c r="K214" s="33">
        <f>[4]PIVOT_2023!H216-SUM('2023.gada budzeta plans_apvieno'!E214:J214)-20142</f>
        <v>0.35999999998603016</v>
      </c>
      <c r="L214" s="33">
        <f t="shared" si="110"/>
        <v>330670.36</v>
      </c>
      <c r="M214" s="34">
        <v>330670</v>
      </c>
      <c r="N214" s="34">
        <f t="shared" si="111"/>
        <v>330670</v>
      </c>
      <c r="O214" s="33">
        <f t="shared" si="101"/>
        <v>0</v>
      </c>
      <c r="P214" s="35"/>
      <c r="Q214" s="33">
        <f t="shared" si="115"/>
        <v>330670</v>
      </c>
      <c r="R214" s="33">
        <f t="shared" si="102"/>
        <v>0</v>
      </c>
      <c r="S214" s="35"/>
      <c r="T214" s="33">
        <f t="shared" si="112"/>
        <v>330670</v>
      </c>
      <c r="U214" s="33">
        <f t="shared" si="103"/>
        <v>0</v>
      </c>
      <c r="V214" s="35"/>
      <c r="W214" s="33">
        <f t="shared" si="113"/>
        <v>330670</v>
      </c>
      <c r="X214" s="33">
        <f t="shared" si="104"/>
        <v>0</v>
      </c>
      <c r="Y214" s="35"/>
      <c r="Z214" s="33">
        <f t="shared" si="114"/>
        <v>330670</v>
      </c>
      <c r="AA214" s="33">
        <f t="shared" si="105"/>
        <v>0</v>
      </c>
      <c r="AB214" s="35"/>
    </row>
    <row r="215" spans="2:28" s="140" customFormat="1" ht="16.2" customHeight="1" x14ac:dyDescent="0.25">
      <c r="C215" s="148" t="s">
        <v>553</v>
      </c>
      <c r="D215" s="149" t="s">
        <v>554</v>
      </c>
      <c r="E215" s="56"/>
      <c r="F215" s="56"/>
      <c r="G215" s="56"/>
      <c r="H215" s="56"/>
      <c r="I215" s="56"/>
      <c r="J215" s="56"/>
      <c r="K215" s="56">
        <f>[4]PIVOT_2023!H230</f>
        <v>132505.09117999999</v>
      </c>
      <c r="L215" s="56">
        <f t="shared" si="110"/>
        <v>132505.09117999999</v>
      </c>
      <c r="M215" s="71">
        <v>132505.09117999999</v>
      </c>
      <c r="N215" s="71">
        <f t="shared" si="111"/>
        <v>132505</v>
      </c>
      <c r="O215" s="56">
        <f t="shared" si="101"/>
        <v>-9.1179999988526106E-2</v>
      </c>
      <c r="P215" s="152"/>
      <c r="Q215" s="56">
        <f>ROUND(N215,0)-6709</f>
        <v>125796</v>
      </c>
      <c r="R215" s="150">
        <f t="shared" si="102"/>
        <v>-6709</v>
      </c>
      <c r="S215" s="151" t="s">
        <v>353</v>
      </c>
      <c r="T215" s="56">
        <f t="shared" si="112"/>
        <v>125796</v>
      </c>
      <c r="U215" s="56">
        <f t="shared" si="103"/>
        <v>0</v>
      </c>
      <c r="V215" s="72"/>
      <c r="W215" s="56">
        <f t="shared" si="113"/>
        <v>125796</v>
      </c>
      <c r="X215" s="56">
        <f t="shared" si="104"/>
        <v>0</v>
      </c>
      <c r="Y215" s="72"/>
      <c r="Z215" s="56">
        <f t="shared" si="114"/>
        <v>125796</v>
      </c>
      <c r="AA215" s="56">
        <f t="shared" si="105"/>
        <v>0</v>
      </c>
      <c r="AB215" s="72"/>
    </row>
    <row r="216" spans="2:28" s="140" customFormat="1" ht="18.75" customHeight="1" x14ac:dyDescent="0.25">
      <c r="B216" s="1">
        <v>1016</v>
      </c>
      <c r="C216" s="148" t="s">
        <v>555</v>
      </c>
      <c r="D216" s="149" t="s">
        <v>190</v>
      </c>
      <c r="E216" s="56"/>
      <c r="F216" s="56">
        <f>F64</f>
        <v>50000</v>
      </c>
      <c r="G216" s="56"/>
      <c r="H216" s="56"/>
      <c r="I216" s="56"/>
      <c r="J216" s="56"/>
      <c r="K216" s="56"/>
      <c r="L216" s="56">
        <f t="shared" si="110"/>
        <v>50000</v>
      </c>
      <c r="M216" s="71">
        <v>50000</v>
      </c>
      <c r="N216" s="71">
        <f t="shared" si="111"/>
        <v>50000</v>
      </c>
      <c r="O216" s="56">
        <f t="shared" si="101"/>
        <v>0</v>
      </c>
      <c r="P216" s="152"/>
      <c r="Q216" s="56">
        <f>ROUND(N216,0)+20000</f>
        <v>70000</v>
      </c>
      <c r="R216" s="56">
        <f t="shared" si="102"/>
        <v>20000</v>
      </c>
      <c r="S216" s="152" t="s">
        <v>191</v>
      </c>
      <c r="T216" s="56">
        <f t="shared" si="112"/>
        <v>70000</v>
      </c>
      <c r="U216" s="56">
        <f t="shared" si="103"/>
        <v>0</v>
      </c>
      <c r="V216" s="152"/>
      <c r="W216" s="56">
        <f>ROUND(T216,0)+50000</f>
        <v>120000</v>
      </c>
      <c r="X216" s="56">
        <f t="shared" si="104"/>
        <v>50000</v>
      </c>
      <c r="Y216" s="206" t="s">
        <v>191</v>
      </c>
      <c r="Z216" s="56">
        <f>ROUND(W216,0)+30000</f>
        <v>150000</v>
      </c>
      <c r="AA216" s="56">
        <f t="shared" si="105"/>
        <v>30000</v>
      </c>
      <c r="AB216" s="152" t="s">
        <v>191</v>
      </c>
    </row>
    <row r="217" spans="2:28" s="140" customFormat="1" ht="18.75" customHeight="1" x14ac:dyDescent="0.25">
      <c r="B217" s="1">
        <v>1017</v>
      </c>
      <c r="C217" s="148" t="s">
        <v>556</v>
      </c>
      <c r="D217" s="149" t="s">
        <v>193</v>
      </c>
      <c r="E217" s="56">
        <f>E65</f>
        <v>298343.78999999998</v>
      </c>
      <c r="F217" s="56">
        <f>F65</f>
        <v>400000</v>
      </c>
      <c r="G217" s="56"/>
      <c r="H217" s="56"/>
      <c r="I217" s="56"/>
      <c r="J217" s="56"/>
      <c r="K217" s="56"/>
      <c r="L217" s="56">
        <f t="shared" si="110"/>
        <v>698343.79</v>
      </c>
      <c r="M217" s="71">
        <v>698343.79</v>
      </c>
      <c r="N217" s="71">
        <f t="shared" si="111"/>
        <v>698344</v>
      </c>
      <c r="O217" s="56">
        <f t="shared" si="101"/>
        <v>0.2099999999627471</v>
      </c>
      <c r="P217" s="152"/>
      <c r="Q217" s="56">
        <f t="shared" si="115"/>
        <v>698344</v>
      </c>
      <c r="R217" s="56">
        <f t="shared" si="102"/>
        <v>0</v>
      </c>
      <c r="S217" s="152"/>
      <c r="T217" s="56">
        <f t="shared" si="112"/>
        <v>698344</v>
      </c>
      <c r="U217" s="56">
        <f t="shared" si="103"/>
        <v>0</v>
      </c>
      <c r="V217" s="152"/>
      <c r="W217" s="56">
        <f t="shared" si="113"/>
        <v>698344</v>
      </c>
      <c r="X217" s="56">
        <f t="shared" si="104"/>
        <v>0</v>
      </c>
      <c r="Y217" s="152"/>
      <c r="Z217" s="56">
        <f t="shared" si="114"/>
        <v>698344</v>
      </c>
      <c r="AA217" s="56">
        <f t="shared" si="105"/>
        <v>0</v>
      </c>
      <c r="AB217" s="152"/>
    </row>
    <row r="218" spans="2:28" ht="40.950000000000003" customHeight="1" x14ac:dyDescent="0.25">
      <c r="B218" s="1" t="s">
        <v>557</v>
      </c>
      <c r="C218" s="148" t="s">
        <v>558</v>
      </c>
      <c r="D218" s="149" t="s">
        <v>559</v>
      </c>
      <c r="E218" s="56">
        <v>23597</v>
      </c>
      <c r="F218" s="56"/>
      <c r="G218" s="56"/>
      <c r="H218" s="56"/>
      <c r="I218" s="56"/>
      <c r="J218" s="56">
        <f>[4]Pivot_invest_2023!E27-SUM(E218:I218)</f>
        <v>0</v>
      </c>
      <c r="K218" s="56"/>
      <c r="L218" s="56">
        <f t="shared" si="110"/>
        <v>23597</v>
      </c>
      <c r="M218" s="34">
        <v>23597</v>
      </c>
      <c r="N218" s="34">
        <f>ROUND(M218,0)</f>
        <v>23597</v>
      </c>
      <c r="O218" s="33">
        <f>N218-M218</f>
        <v>0</v>
      </c>
      <c r="P218" s="165"/>
      <c r="Q218" s="33">
        <f t="shared" si="115"/>
        <v>23597</v>
      </c>
      <c r="R218" s="33">
        <f t="shared" si="102"/>
        <v>0</v>
      </c>
      <c r="S218" s="165"/>
      <c r="T218" s="33">
        <f t="shared" si="112"/>
        <v>23597</v>
      </c>
      <c r="U218" s="33">
        <f t="shared" si="103"/>
        <v>0</v>
      </c>
      <c r="V218" s="165"/>
      <c r="W218" s="33">
        <f t="shared" si="113"/>
        <v>23597</v>
      </c>
      <c r="X218" s="33">
        <f t="shared" si="104"/>
        <v>0</v>
      </c>
      <c r="Y218" s="165"/>
      <c r="Z218" s="33">
        <f t="shared" si="114"/>
        <v>23597</v>
      </c>
      <c r="AA218" s="33">
        <f t="shared" si="105"/>
        <v>0</v>
      </c>
      <c r="AB218" s="165"/>
    </row>
    <row r="219" spans="2:28" ht="44.4" customHeight="1" x14ac:dyDescent="0.25">
      <c r="B219" s="1" t="s">
        <v>560</v>
      </c>
      <c r="C219" s="148" t="s">
        <v>561</v>
      </c>
      <c r="D219" s="149" t="s">
        <v>562</v>
      </c>
      <c r="E219" s="56">
        <v>18440</v>
      </c>
      <c r="F219" s="56"/>
      <c r="G219" s="56"/>
      <c r="H219" s="56"/>
      <c r="I219" s="56"/>
      <c r="J219" s="56">
        <f>[4]Pivot_invest_2023!E28-SUM(E219:I219)</f>
        <v>0</v>
      </c>
      <c r="K219" s="56"/>
      <c r="L219" s="56">
        <f t="shared" si="110"/>
        <v>18440</v>
      </c>
      <c r="M219" s="34">
        <v>18440</v>
      </c>
      <c r="N219" s="34">
        <f>ROUND(M219,0)</f>
        <v>18440</v>
      </c>
      <c r="O219" s="33">
        <f>N219-M219</f>
        <v>0</v>
      </c>
      <c r="P219" s="165"/>
      <c r="Q219" s="33">
        <f t="shared" si="115"/>
        <v>18440</v>
      </c>
      <c r="R219" s="33">
        <f t="shared" si="102"/>
        <v>0</v>
      </c>
      <c r="S219" s="165"/>
      <c r="T219" s="33">
        <f t="shared" si="112"/>
        <v>18440</v>
      </c>
      <c r="U219" s="33">
        <f t="shared" si="103"/>
        <v>0</v>
      </c>
      <c r="V219" s="165"/>
      <c r="W219" s="33">
        <f t="shared" si="113"/>
        <v>18440</v>
      </c>
      <c r="X219" s="33">
        <f t="shared" si="104"/>
        <v>0</v>
      </c>
      <c r="Y219" s="165"/>
      <c r="Z219" s="33">
        <f t="shared" si="114"/>
        <v>18440</v>
      </c>
      <c r="AA219" s="33">
        <f t="shared" si="105"/>
        <v>0</v>
      </c>
      <c r="AB219" s="165"/>
    </row>
    <row r="220" spans="2:28" x14ac:dyDescent="0.25">
      <c r="C220" s="153" t="s">
        <v>130</v>
      </c>
      <c r="D220" s="154" t="s">
        <v>563</v>
      </c>
      <c r="E220" s="39">
        <f t="shared" ref="E220:K220" si="116">E221+E222+E225+E228+E232+E236+E240+E248+E249+E260+E263+E266+E267+E268+E269+E270+E271</f>
        <v>515317</v>
      </c>
      <c r="F220" s="39">
        <f t="shared" si="116"/>
        <v>6485502</v>
      </c>
      <c r="G220" s="39">
        <f t="shared" si="116"/>
        <v>84178</v>
      </c>
      <c r="H220" s="39">
        <f t="shared" si="116"/>
        <v>972946</v>
      </c>
      <c r="I220" s="39">
        <f t="shared" si="116"/>
        <v>560177</v>
      </c>
      <c r="J220" s="39">
        <f t="shared" si="116"/>
        <v>512964.39</v>
      </c>
      <c r="K220" s="39">
        <f t="shared" si="116"/>
        <v>12386769.775859235</v>
      </c>
      <c r="L220" s="39">
        <f>L221+L222+L225+L228+L232+L236+L240+L248+L249+L260+L263+L266+L267+L268+L269+L270+L271</f>
        <v>21517854.165859237</v>
      </c>
      <c r="M220" s="40">
        <v>21517854.165859237</v>
      </c>
      <c r="N220" s="40">
        <f>N221+N222+N225+N228+N232+N236+N240+N248+N249+N260+N263+N266+N267+N268+N269+N270+N271</f>
        <v>21576210</v>
      </c>
      <c r="O220" s="39">
        <f>O221+O222+O225+O228+O232+O236+O240+O249+O260+O263+O266+O267+O268+O269+O270+O271</f>
        <v>58356.224140764331</v>
      </c>
      <c r="P220" s="39"/>
      <c r="Q220" s="39">
        <f>Q221+Q222+Q225+Q228+Q232+Q236+Q240+Q248+Q249+Q260+Q263+Q266+Q267+Q268+Q269+Q270+Q271</f>
        <v>21675003</v>
      </c>
      <c r="R220" s="39">
        <f t="shared" si="102"/>
        <v>98793</v>
      </c>
      <c r="S220" s="39"/>
      <c r="T220" s="39">
        <f>T221+T222+T225+T228+T232+T236+T240+T248+T249+T260+T263+T266+T267+T268+T269+T270+T271</f>
        <v>21738469</v>
      </c>
      <c r="U220" s="39">
        <f t="shared" si="103"/>
        <v>63466</v>
      </c>
      <c r="V220" s="39"/>
      <c r="W220" s="39">
        <f>W221+W222+W225+W228+W232+W236+W240+W248+W249+W260+W263+W266+W267+W268+W269+W270+W271</f>
        <v>21751989</v>
      </c>
      <c r="X220" s="39">
        <f t="shared" si="104"/>
        <v>13520</v>
      </c>
      <c r="Y220" s="39"/>
      <c r="Z220" s="39">
        <f>Z221+Z222+Z225+Z228+Z232+Z236+Z240+Z248+Z249+Z260+Z263+Z266+Z267+Z268+Z269+Z270+Z271</f>
        <v>21903654</v>
      </c>
      <c r="AA220" s="39">
        <f t="shared" si="105"/>
        <v>151665</v>
      </c>
      <c r="AB220" s="39"/>
    </row>
    <row r="221" spans="2:28" ht="27.6" customHeight="1" x14ac:dyDescent="0.25">
      <c r="B221" s="207" t="s">
        <v>564</v>
      </c>
      <c r="C221" s="148" t="s">
        <v>565</v>
      </c>
      <c r="D221" s="159" t="s">
        <v>566</v>
      </c>
      <c r="E221" s="56"/>
      <c r="F221" s="56"/>
      <c r="G221" s="56"/>
      <c r="H221" s="56"/>
      <c r="I221" s="56"/>
      <c r="J221" s="56"/>
      <c r="K221" s="56">
        <f>[4]PIVOT_2023!H241</f>
        <v>1009440</v>
      </c>
      <c r="L221" s="56">
        <f>E221+F221+G221+H221+I221+J221+K221</f>
        <v>1009440</v>
      </c>
      <c r="M221" s="71">
        <v>1009440</v>
      </c>
      <c r="N221" s="71">
        <f>ROUND(M221,0)</f>
        <v>1009440</v>
      </c>
      <c r="O221" s="56">
        <f t="shared" si="101"/>
        <v>0</v>
      </c>
      <c r="P221" s="72"/>
      <c r="Q221" s="56">
        <f>ROUND(N221,0)</f>
        <v>1009440</v>
      </c>
      <c r="R221" s="56">
        <f t="shared" si="102"/>
        <v>0</v>
      </c>
      <c r="S221" s="72"/>
      <c r="T221" s="56">
        <f>ROUND(Q221,0)</f>
        <v>1009440</v>
      </c>
      <c r="U221" s="56">
        <f t="shared" si="103"/>
        <v>0</v>
      </c>
      <c r="V221" s="72"/>
      <c r="W221" s="56">
        <f>ROUND(T221,0)</f>
        <v>1009440</v>
      </c>
      <c r="X221" s="56">
        <f t="shared" si="104"/>
        <v>0</v>
      </c>
      <c r="Y221" s="72"/>
      <c r="Z221" s="56">
        <f>ROUND(W221,0)</f>
        <v>1009440</v>
      </c>
      <c r="AA221" s="56">
        <f t="shared" si="105"/>
        <v>0</v>
      </c>
      <c r="AB221" s="72"/>
    </row>
    <row r="222" spans="2:28" ht="18" customHeight="1" x14ac:dyDescent="0.25">
      <c r="C222" s="148" t="s">
        <v>567</v>
      </c>
      <c r="D222" s="159" t="s">
        <v>568</v>
      </c>
      <c r="E222" s="56">
        <f t="shared" ref="E222:N222" si="117">SUM(E223:E224)</f>
        <v>60</v>
      </c>
      <c r="F222" s="56">
        <f t="shared" si="117"/>
        <v>273701</v>
      </c>
      <c r="G222" s="56">
        <f t="shared" si="117"/>
        <v>0</v>
      </c>
      <c r="H222" s="56">
        <f t="shared" si="117"/>
        <v>0</v>
      </c>
      <c r="I222" s="56">
        <f t="shared" si="117"/>
        <v>0</v>
      </c>
      <c r="J222" s="56">
        <f t="shared" si="117"/>
        <v>73022</v>
      </c>
      <c r="K222" s="56">
        <f t="shared" si="117"/>
        <v>1597136.3519472245</v>
      </c>
      <c r="L222" s="56">
        <f t="shared" si="117"/>
        <v>1943919.3519472245</v>
      </c>
      <c r="M222" s="71">
        <v>1943919.3519472245</v>
      </c>
      <c r="N222" s="71">
        <f t="shared" si="117"/>
        <v>1943919</v>
      </c>
      <c r="O222" s="56">
        <f t="shared" si="101"/>
        <v>-0.35194722446613014</v>
      </c>
      <c r="P222" s="152"/>
      <c r="Q222" s="56">
        <f>SUM(Q223:Q224)</f>
        <v>1956009</v>
      </c>
      <c r="R222" s="56">
        <f t="shared" si="102"/>
        <v>12090</v>
      </c>
      <c r="S222" s="152"/>
      <c r="T222" s="56">
        <f>SUM(T223:T224)</f>
        <v>1960502</v>
      </c>
      <c r="U222" s="56">
        <f t="shared" si="103"/>
        <v>4493</v>
      </c>
      <c r="V222" s="152"/>
      <c r="W222" s="56">
        <f>SUM(W223:W224)</f>
        <v>1960502</v>
      </c>
      <c r="X222" s="56">
        <f t="shared" si="104"/>
        <v>0</v>
      </c>
      <c r="Y222" s="152"/>
      <c r="Z222" s="56">
        <f>SUM(Z223:Z224)</f>
        <v>1981391</v>
      </c>
      <c r="AA222" s="56">
        <f t="shared" si="105"/>
        <v>20889</v>
      </c>
      <c r="AB222" s="152"/>
    </row>
    <row r="223" spans="2:28" ht="16.2" customHeight="1" x14ac:dyDescent="0.25">
      <c r="B223" s="66" t="s">
        <v>569</v>
      </c>
      <c r="C223" s="157" t="s">
        <v>570</v>
      </c>
      <c r="D223" s="112" t="s">
        <v>571</v>
      </c>
      <c r="E223" s="208">
        <f>60</f>
        <v>60</v>
      </c>
      <c r="F223" s="208">
        <f>273701</f>
        <v>273701</v>
      </c>
      <c r="G223" s="209"/>
      <c r="H223" s="209"/>
      <c r="I223" s="209"/>
      <c r="J223" s="209"/>
      <c r="K223" s="209"/>
      <c r="L223" s="209">
        <f>E223+F223+G223+H223+I223+J223+K223</f>
        <v>273761</v>
      </c>
      <c r="M223" s="210">
        <v>273761</v>
      </c>
      <c r="N223" s="210">
        <f>ROUND(M223,0)</f>
        <v>273761</v>
      </c>
      <c r="O223" s="209">
        <f t="shared" si="101"/>
        <v>0</v>
      </c>
      <c r="P223" s="51"/>
      <c r="Q223" s="209">
        <f>ROUND(N223,0)</f>
        <v>273761</v>
      </c>
      <c r="R223" s="209">
        <f t="shared" si="102"/>
        <v>0</v>
      </c>
      <c r="S223" s="51"/>
      <c r="T223" s="209">
        <f>ROUND(Q223,0)+4493</f>
        <v>278254</v>
      </c>
      <c r="U223" s="209">
        <f t="shared" si="103"/>
        <v>4493</v>
      </c>
      <c r="V223" s="51" t="s">
        <v>154</v>
      </c>
      <c r="W223" s="209">
        <f>ROUND(T223,0)</f>
        <v>278254</v>
      </c>
      <c r="X223" s="209">
        <f t="shared" si="104"/>
        <v>0</v>
      </c>
      <c r="Y223" s="51"/>
      <c r="Z223" s="209">
        <f>ROUND(W223,0)+19049+1840</f>
        <v>299143</v>
      </c>
      <c r="AA223" s="209">
        <f t="shared" si="105"/>
        <v>20889</v>
      </c>
      <c r="AB223" s="51" t="s">
        <v>141</v>
      </c>
    </row>
    <row r="224" spans="2:28" ht="15" customHeight="1" x14ac:dyDescent="0.25">
      <c r="B224" s="66" t="s">
        <v>572</v>
      </c>
      <c r="C224" s="157" t="s">
        <v>573</v>
      </c>
      <c r="D224" s="112" t="s">
        <v>574</v>
      </c>
      <c r="E224" s="209"/>
      <c r="F224" s="209"/>
      <c r="G224" s="209"/>
      <c r="H224" s="209"/>
      <c r="I224" s="209"/>
      <c r="J224" s="209">
        <f>[4]Pivot_invest_2023!E72</f>
        <v>73022</v>
      </c>
      <c r="K224" s="209">
        <f>[4]PIVOT_2023!H242</f>
        <v>1597136.3519472245</v>
      </c>
      <c r="L224" s="209">
        <f>E224+F224+G224+H224+I224+J224+K224</f>
        <v>1670158.3519472245</v>
      </c>
      <c r="M224" s="210">
        <v>1670158.3519472245</v>
      </c>
      <c r="N224" s="210">
        <f>ROUND(M224,0)</f>
        <v>1670158</v>
      </c>
      <c r="O224" s="209">
        <f t="shared" si="101"/>
        <v>-0.35194722446613014</v>
      </c>
      <c r="P224" s="212"/>
      <c r="Q224" s="209">
        <f>ROUND(N224,0)-7910+20000</f>
        <v>1682248</v>
      </c>
      <c r="R224" s="211">
        <f t="shared" si="102"/>
        <v>12090</v>
      </c>
      <c r="S224" s="52" t="s">
        <v>575</v>
      </c>
      <c r="T224" s="209">
        <f>ROUND(Q224,0)</f>
        <v>1682248</v>
      </c>
      <c r="U224" s="209">
        <f t="shared" si="103"/>
        <v>0</v>
      </c>
      <c r="V224" s="51"/>
      <c r="W224" s="209">
        <f>ROUND(T224,0)</f>
        <v>1682248</v>
      </c>
      <c r="X224" s="209">
        <f t="shared" si="104"/>
        <v>0</v>
      </c>
      <c r="Y224" s="51"/>
      <c r="Z224" s="209">
        <f>ROUND(W224,0)</f>
        <v>1682248</v>
      </c>
      <c r="AA224" s="209">
        <f t="shared" si="105"/>
        <v>0</v>
      </c>
      <c r="AB224" s="51"/>
    </row>
    <row r="225" spans="2:28" ht="18" customHeight="1" x14ac:dyDescent="0.25">
      <c r="C225" s="148" t="s">
        <v>576</v>
      </c>
      <c r="D225" s="159" t="s">
        <v>577</v>
      </c>
      <c r="E225" s="56">
        <f t="shared" ref="E225:L225" si="118">E226+E227</f>
        <v>4</v>
      </c>
      <c r="F225" s="56">
        <f t="shared" si="118"/>
        <v>113939</v>
      </c>
      <c r="G225" s="56">
        <f t="shared" si="118"/>
        <v>0</v>
      </c>
      <c r="H225" s="56">
        <f t="shared" si="118"/>
        <v>0</v>
      </c>
      <c r="I225" s="56">
        <f>I226+I227</f>
        <v>0</v>
      </c>
      <c r="J225" s="56">
        <f t="shared" si="118"/>
        <v>0</v>
      </c>
      <c r="K225" s="56">
        <f t="shared" si="118"/>
        <v>1123630.6494368</v>
      </c>
      <c r="L225" s="56">
        <f t="shared" si="118"/>
        <v>1237573.6494368</v>
      </c>
      <c r="M225" s="71">
        <v>1237573.6494368</v>
      </c>
      <c r="N225" s="71">
        <f>N226+N227</f>
        <v>1237574</v>
      </c>
      <c r="O225" s="56">
        <f t="shared" si="101"/>
        <v>0.35056319995783269</v>
      </c>
      <c r="P225" s="152"/>
      <c r="Q225" s="56">
        <f>Q226+Q227</f>
        <v>1230777</v>
      </c>
      <c r="R225" s="56">
        <f t="shared" si="102"/>
        <v>-6797</v>
      </c>
      <c r="S225" s="152"/>
      <c r="T225" s="56">
        <f>T226+T227</f>
        <v>1232647</v>
      </c>
      <c r="U225" s="56">
        <f t="shared" si="103"/>
        <v>1870</v>
      </c>
      <c r="V225" s="152"/>
      <c r="W225" s="56">
        <f>W226+W227</f>
        <v>1232647</v>
      </c>
      <c r="X225" s="56">
        <f t="shared" si="104"/>
        <v>0</v>
      </c>
      <c r="Y225" s="152"/>
      <c r="Z225" s="56">
        <f>Z226+Z227</f>
        <v>1237648</v>
      </c>
      <c r="AA225" s="56">
        <f t="shared" si="105"/>
        <v>5001</v>
      </c>
      <c r="AB225" s="152"/>
    </row>
    <row r="226" spans="2:28" ht="16.5" customHeight="1" x14ac:dyDescent="0.25">
      <c r="B226" s="66" t="s">
        <v>578</v>
      </c>
      <c r="C226" s="157" t="s">
        <v>579</v>
      </c>
      <c r="D226" s="112" t="s">
        <v>571</v>
      </c>
      <c r="E226" s="208">
        <v>4</v>
      </c>
      <c r="F226" s="208">
        <f>113939</f>
        <v>113939</v>
      </c>
      <c r="G226" s="33"/>
      <c r="H226" s="33"/>
      <c r="I226" s="33"/>
      <c r="J226" s="33"/>
      <c r="K226" s="33"/>
      <c r="L226" s="33">
        <f>E226+F226+G226+H226+I226+J226+K226</f>
        <v>113943</v>
      </c>
      <c r="M226" s="34">
        <v>113943</v>
      </c>
      <c r="N226" s="34">
        <f>ROUND(M226,0)</f>
        <v>113943</v>
      </c>
      <c r="O226" s="33">
        <f t="shared" si="101"/>
        <v>0</v>
      </c>
      <c r="P226" s="51"/>
      <c r="Q226" s="33">
        <f>ROUND(N226,0)</f>
        <v>113943</v>
      </c>
      <c r="R226" s="33">
        <f t="shared" si="102"/>
        <v>0</v>
      </c>
      <c r="S226" s="51"/>
      <c r="T226" s="33">
        <f>ROUND(Q226,0)+1870</f>
        <v>115813</v>
      </c>
      <c r="U226" s="33">
        <f t="shared" si="103"/>
        <v>1870</v>
      </c>
      <c r="V226" s="51" t="s">
        <v>154</v>
      </c>
      <c r="W226" s="33">
        <f>ROUND(T226,0)</f>
        <v>115813</v>
      </c>
      <c r="X226" s="33">
        <f t="shared" si="104"/>
        <v>0</v>
      </c>
      <c r="Y226" s="51"/>
      <c r="Z226" s="33">
        <f>ROUND(W226,0)+5001</f>
        <v>120814</v>
      </c>
      <c r="AA226" s="33">
        <f t="shared" si="105"/>
        <v>5001</v>
      </c>
      <c r="AB226" s="51" t="s">
        <v>141</v>
      </c>
    </row>
    <row r="227" spans="2:28" ht="13.2" customHeight="1" x14ac:dyDescent="0.25">
      <c r="B227" s="66" t="s">
        <v>580</v>
      </c>
      <c r="C227" s="157" t="s">
        <v>581</v>
      </c>
      <c r="D227" s="112" t="s">
        <v>574</v>
      </c>
      <c r="E227" s="33"/>
      <c r="F227" s="33"/>
      <c r="G227" s="33"/>
      <c r="H227" s="33"/>
      <c r="I227" s="33"/>
      <c r="J227" s="33"/>
      <c r="K227" s="33">
        <f>[4]PIVOT_2023!H253</f>
        <v>1123630.6494368</v>
      </c>
      <c r="L227" s="33">
        <f>E227+F227+G227+H227+I227+J227+K227</f>
        <v>1123630.6494368</v>
      </c>
      <c r="M227" s="34">
        <v>1123630.6494368</v>
      </c>
      <c r="N227" s="34">
        <f>ROUND(M227,0)</f>
        <v>1123631</v>
      </c>
      <c r="O227" s="33">
        <f t="shared" si="101"/>
        <v>0.35056319995783269</v>
      </c>
      <c r="P227" s="51"/>
      <c r="Q227" s="33">
        <f>ROUND(N227,0)-6797</f>
        <v>1116834</v>
      </c>
      <c r="R227" s="36">
        <f t="shared" si="102"/>
        <v>-6797</v>
      </c>
      <c r="S227" s="52" t="s">
        <v>353</v>
      </c>
      <c r="T227" s="33">
        <f>ROUND(Q227,0)</f>
        <v>1116834</v>
      </c>
      <c r="U227" s="33">
        <f t="shared" si="103"/>
        <v>0</v>
      </c>
      <c r="V227" s="51"/>
      <c r="W227" s="33">
        <f>ROUND(T227,0)</f>
        <v>1116834</v>
      </c>
      <c r="X227" s="33">
        <f t="shared" si="104"/>
        <v>0</v>
      </c>
      <c r="Y227" s="51"/>
      <c r="Z227" s="33">
        <f>ROUND(W227,0)</f>
        <v>1116834</v>
      </c>
      <c r="AA227" s="33">
        <f t="shared" si="105"/>
        <v>0</v>
      </c>
      <c r="AB227" s="51"/>
    </row>
    <row r="228" spans="2:28" ht="18" customHeight="1" x14ac:dyDescent="0.25">
      <c r="C228" s="213" t="s">
        <v>582</v>
      </c>
      <c r="D228" s="159" t="s">
        <v>583</v>
      </c>
      <c r="E228" s="56">
        <f>E229+E230+E231</f>
        <v>1843</v>
      </c>
      <c r="F228" s="56">
        <f t="shared" ref="F228:K228" si="119">F229+F230+F231</f>
        <v>190168</v>
      </c>
      <c r="G228" s="56">
        <f t="shared" si="119"/>
        <v>0</v>
      </c>
      <c r="H228" s="56">
        <f t="shared" si="119"/>
        <v>0</v>
      </c>
      <c r="I228" s="56">
        <f t="shared" si="119"/>
        <v>160349</v>
      </c>
      <c r="J228" s="56">
        <f t="shared" si="119"/>
        <v>1000</v>
      </c>
      <c r="K228" s="56">
        <f t="shared" si="119"/>
        <v>967536.30678672018</v>
      </c>
      <c r="L228" s="56">
        <f>L229+L230+L231</f>
        <v>1320896.3067867202</v>
      </c>
      <c r="M228" s="71">
        <v>1320896.3067867202</v>
      </c>
      <c r="N228" s="71">
        <f>N229+N230+N231</f>
        <v>1320896</v>
      </c>
      <c r="O228" s="56">
        <f t="shared" si="101"/>
        <v>-0.30678672017529607</v>
      </c>
      <c r="P228" s="152"/>
      <c r="Q228" s="56">
        <f>Q229+Q230+Q231</f>
        <v>1320896</v>
      </c>
      <c r="R228" s="56">
        <f t="shared" si="102"/>
        <v>0</v>
      </c>
      <c r="S228" s="152"/>
      <c r="T228" s="56">
        <f>T229+T230+T231</f>
        <v>1323864</v>
      </c>
      <c r="U228" s="56">
        <f t="shared" si="103"/>
        <v>2968</v>
      </c>
      <c r="V228" s="152"/>
      <c r="W228" s="56">
        <f>W229+W230+W231</f>
        <v>1323864</v>
      </c>
      <c r="X228" s="56">
        <f t="shared" si="104"/>
        <v>0</v>
      </c>
      <c r="Y228" s="152"/>
      <c r="Z228" s="56">
        <f>Z229+Z230+Z231</f>
        <v>1324966</v>
      </c>
      <c r="AA228" s="56">
        <f t="shared" si="105"/>
        <v>1102</v>
      </c>
      <c r="AB228" s="152"/>
    </row>
    <row r="229" spans="2:28" ht="13.5" customHeight="1" x14ac:dyDescent="0.25">
      <c r="B229" s="1" t="s">
        <v>584</v>
      </c>
      <c r="C229" s="157" t="s">
        <v>585</v>
      </c>
      <c r="D229" s="112" t="s">
        <v>571</v>
      </c>
      <c r="E229" s="208">
        <v>1843</v>
      </c>
      <c r="F229" s="208">
        <v>190168</v>
      </c>
      <c r="G229" s="33"/>
      <c r="H229" s="33"/>
      <c r="I229" s="33"/>
      <c r="J229" s="33"/>
      <c r="K229" s="33"/>
      <c r="L229" s="33">
        <f>E229+F229+G229+H229+I229+J229+K229</f>
        <v>192011</v>
      </c>
      <c r="M229" s="34">
        <v>192011</v>
      </c>
      <c r="N229" s="34">
        <f>ROUND(M229,0)</f>
        <v>192011</v>
      </c>
      <c r="O229" s="33">
        <f t="shared" si="101"/>
        <v>0</v>
      </c>
      <c r="P229" s="51"/>
      <c r="Q229" s="33">
        <f>ROUND(N229,0)</f>
        <v>192011</v>
      </c>
      <c r="R229" s="33">
        <f t="shared" si="102"/>
        <v>0</v>
      </c>
      <c r="S229" s="51"/>
      <c r="T229" s="33">
        <f>ROUND(Q229,0)+2968</f>
        <v>194979</v>
      </c>
      <c r="U229" s="33">
        <f t="shared" si="103"/>
        <v>2968</v>
      </c>
      <c r="V229" s="51" t="s">
        <v>154</v>
      </c>
      <c r="W229" s="33">
        <f>ROUND(T229,0)</f>
        <v>194979</v>
      </c>
      <c r="X229" s="33">
        <f t="shared" si="104"/>
        <v>0</v>
      </c>
      <c r="Y229" s="51"/>
      <c r="Z229" s="33">
        <f>ROUND(W229,0)+1102</f>
        <v>196081</v>
      </c>
      <c r="AA229" s="33">
        <f t="shared" si="105"/>
        <v>1102</v>
      </c>
      <c r="AB229" s="51" t="s">
        <v>141</v>
      </c>
    </row>
    <row r="230" spans="2:28" ht="17.399999999999999" customHeight="1" x14ac:dyDescent="0.25">
      <c r="B230" s="1" t="s">
        <v>586</v>
      </c>
      <c r="C230" s="157" t="s">
        <v>587</v>
      </c>
      <c r="D230" s="112" t="s">
        <v>574</v>
      </c>
      <c r="E230" s="33"/>
      <c r="F230" s="33"/>
      <c r="G230" s="33"/>
      <c r="H230" s="33"/>
      <c r="I230" s="33"/>
      <c r="J230" s="33">
        <f>[4]Pivot_invest_2023!E70</f>
        <v>1000</v>
      </c>
      <c r="K230" s="33">
        <f>[4]PIVOT_2023!H259-I231</f>
        <v>967536.30678672018</v>
      </c>
      <c r="L230" s="33">
        <f>E230+F230+G230+H230+I230+J230+K230</f>
        <v>968536.30678672018</v>
      </c>
      <c r="M230" s="34">
        <v>968536.30678672018</v>
      </c>
      <c r="N230" s="34">
        <f>ROUND(M230,0)</f>
        <v>968536</v>
      </c>
      <c r="O230" s="33">
        <f t="shared" si="101"/>
        <v>-0.30678672017529607</v>
      </c>
      <c r="P230" s="51"/>
      <c r="Q230" s="33">
        <f>ROUND(N230,0)</f>
        <v>968536</v>
      </c>
      <c r="R230" s="33">
        <f t="shared" si="102"/>
        <v>0</v>
      </c>
      <c r="S230" s="51"/>
      <c r="T230" s="33">
        <f>ROUND(Q230,0)</f>
        <v>968536</v>
      </c>
      <c r="U230" s="33">
        <f t="shared" si="103"/>
        <v>0</v>
      </c>
      <c r="V230" s="51"/>
      <c r="W230" s="33">
        <f>ROUND(T230,0)</f>
        <v>968536</v>
      </c>
      <c r="X230" s="33">
        <f t="shared" si="104"/>
        <v>0</v>
      </c>
      <c r="Y230" s="51"/>
      <c r="Z230" s="33">
        <f>ROUND(W230,0)</f>
        <v>968536</v>
      </c>
      <c r="AA230" s="33">
        <f t="shared" si="105"/>
        <v>0</v>
      </c>
      <c r="AB230" s="51"/>
    </row>
    <row r="231" spans="2:28" ht="17.399999999999999" customHeight="1" x14ac:dyDescent="0.25">
      <c r="C231" s="157" t="s">
        <v>588</v>
      </c>
      <c r="D231" s="112" t="s">
        <v>589</v>
      </c>
      <c r="E231" s="33"/>
      <c r="F231" s="33"/>
      <c r="G231" s="33"/>
      <c r="H231" s="33"/>
      <c r="I231" s="70">
        <f>[4]PIVOT_2023!H262</f>
        <v>160349</v>
      </c>
      <c r="J231" s="33"/>
      <c r="K231" s="33"/>
      <c r="L231" s="33">
        <f>E231+F231+G231+H231+I231+J231+K231</f>
        <v>160349</v>
      </c>
      <c r="M231" s="34">
        <v>160349</v>
      </c>
      <c r="N231" s="34">
        <f>ROUND(M231,0)</f>
        <v>160349</v>
      </c>
      <c r="O231" s="33">
        <f>N231-M231</f>
        <v>0</v>
      </c>
      <c r="P231" s="51"/>
      <c r="Q231" s="33">
        <f>ROUND(N231,0)</f>
        <v>160349</v>
      </c>
      <c r="R231" s="33">
        <f t="shared" si="102"/>
        <v>0</v>
      </c>
      <c r="S231" s="51"/>
      <c r="T231" s="33">
        <f>ROUND(Q231,0)</f>
        <v>160349</v>
      </c>
      <c r="U231" s="33">
        <f t="shared" si="103"/>
        <v>0</v>
      </c>
      <c r="V231" s="51"/>
      <c r="W231" s="33">
        <f>ROUND(T231,0)</f>
        <v>160349</v>
      </c>
      <c r="X231" s="33">
        <f t="shared" si="104"/>
        <v>0</v>
      </c>
      <c r="Y231" s="51"/>
      <c r="Z231" s="33">
        <f>ROUND(W231,0)</f>
        <v>160349</v>
      </c>
      <c r="AA231" s="33">
        <f t="shared" si="105"/>
        <v>0</v>
      </c>
      <c r="AB231" s="51"/>
    </row>
    <row r="232" spans="2:28" x14ac:dyDescent="0.25">
      <c r="B232" s="1" t="s">
        <v>590</v>
      </c>
      <c r="C232" s="213" t="s">
        <v>591</v>
      </c>
      <c r="D232" s="159" t="s">
        <v>592</v>
      </c>
      <c r="E232" s="56">
        <f>SUM(E233:E235)</f>
        <v>540</v>
      </c>
      <c r="F232" s="56">
        <f t="shared" ref="F232:N232" si="120">SUM(F233:F235)</f>
        <v>70593</v>
      </c>
      <c r="G232" s="56">
        <f t="shared" si="120"/>
        <v>0</v>
      </c>
      <c r="H232" s="56">
        <f t="shared" si="120"/>
        <v>0</v>
      </c>
      <c r="I232" s="56">
        <f t="shared" si="120"/>
        <v>158747</v>
      </c>
      <c r="J232" s="56">
        <f t="shared" si="120"/>
        <v>13500</v>
      </c>
      <c r="K232" s="56">
        <f t="shared" si="120"/>
        <v>988268.29365084018</v>
      </c>
      <c r="L232" s="56">
        <f t="shared" si="120"/>
        <v>1231648.2936508402</v>
      </c>
      <c r="M232" s="71">
        <v>1231648.2936508402</v>
      </c>
      <c r="N232" s="71">
        <f t="shared" si="120"/>
        <v>1231648</v>
      </c>
      <c r="O232" s="56">
        <f t="shared" si="101"/>
        <v>-0.29365084017626941</v>
      </c>
      <c r="P232" s="152"/>
      <c r="Q232" s="56">
        <f>SUM(Q233:Q235)</f>
        <v>1233648</v>
      </c>
      <c r="R232" s="56">
        <f t="shared" si="102"/>
        <v>2000</v>
      </c>
      <c r="S232" s="152"/>
      <c r="T232" s="56">
        <f>SUM(T233:T235)</f>
        <v>1234807</v>
      </c>
      <c r="U232" s="56">
        <f t="shared" si="103"/>
        <v>1159</v>
      </c>
      <c r="V232" s="152"/>
      <c r="W232" s="56">
        <f>SUM(W233:W235)</f>
        <v>1234807</v>
      </c>
      <c r="X232" s="56">
        <f t="shared" si="104"/>
        <v>0</v>
      </c>
      <c r="Y232" s="152"/>
      <c r="Z232" s="56">
        <f>SUM(Z233:Z235)</f>
        <v>1252512</v>
      </c>
      <c r="AA232" s="56">
        <f t="shared" si="105"/>
        <v>17705</v>
      </c>
      <c r="AB232" s="152"/>
    </row>
    <row r="233" spans="2:28" s="215" customFormat="1" ht="17.25" customHeight="1" x14ac:dyDescent="0.25">
      <c r="B233" s="214" t="s">
        <v>593</v>
      </c>
      <c r="C233" s="157" t="s">
        <v>594</v>
      </c>
      <c r="D233" s="112" t="s">
        <v>571</v>
      </c>
      <c r="E233" s="208">
        <v>540</v>
      </c>
      <c r="F233" s="208">
        <v>70593</v>
      </c>
      <c r="G233" s="209"/>
      <c r="H233" s="209"/>
      <c r="I233" s="209"/>
      <c r="J233" s="209"/>
      <c r="K233" s="209"/>
      <c r="L233" s="33">
        <f>E233+F233+G233+H233+I233+J233+K233</f>
        <v>71133</v>
      </c>
      <c r="M233" s="34">
        <v>71133</v>
      </c>
      <c r="N233" s="34">
        <f>ROUND(M233,0)</f>
        <v>71133</v>
      </c>
      <c r="O233" s="209">
        <f t="shared" si="101"/>
        <v>0</v>
      </c>
      <c r="P233" s="35"/>
      <c r="Q233" s="33">
        <f>ROUND(N233,0)</f>
        <v>71133</v>
      </c>
      <c r="R233" s="209">
        <f t="shared" si="102"/>
        <v>0</v>
      </c>
      <c r="S233" s="35"/>
      <c r="T233" s="33">
        <f>ROUND(Q233,0)+1159</f>
        <v>72292</v>
      </c>
      <c r="U233" s="209">
        <f t="shared" si="103"/>
        <v>1159</v>
      </c>
      <c r="V233" s="35" t="s">
        <v>154</v>
      </c>
      <c r="W233" s="33">
        <f>ROUND(T233,0)</f>
        <v>72292</v>
      </c>
      <c r="X233" s="209">
        <f t="shared" si="104"/>
        <v>0</v>
      </c>
      <c r="Y233" s="35"/>
      <c r="Z233" s="33">
        <f>ROUND(W233,0)+17705</f>
        <v>89997</v>
      </c>
      <c r="AA233" s="209">
        <f t="shared" si="105"/>
        <v>17705</v>
      </c>
      <c r="AB233" s="35" t="s">
        <v>141</v>
      </c>
    </row>
    <row r="234" spans="2:28" s="215" customFormat="1" ht="15.6" customHeight="1" x14ac:dyDescent="0.25">
      <c r="C234" s="157" t="s">
        <v>595</v>
      </c>
      <c r="D234" s="112" t="s">
        <v>574</v>
      </c>
      <c r="E234" s="209"/>
      <c r="F234" s="209"/>
      <c r="G234" s="209"/>
      <c r="H234" s="209"/>
      <c r="I234" s="209"/>
      <c r="J234" s="209">
        <f>[4]Pivot_invest_2023!E71</f>
        <v>13500</v>
      </c>
      <c r="K234" s="209">
        <f>[4]PIVOT_2023!H266-I235</f>
        <v>988268.29365084018</v>
      </c>
      <c r="L234" s="33">
        <f>E234+F234+G234+H234+I234+J234+K234</f>
        <v>1001768.2936508402</v>
      </c>
      <c r="M234" s="34">
        <v>1001768.2936508402</v>
      </c>
      <c r="N234" s="34">
        <f>ROUND(M234,0)</f>
        <v>1001768</v>
      </c>
      <c r="O234" s="209">
        <f t="shared" si="101"/>
        <v>-0.29365084017626941</v>
      </c>
      <c r="P234" s="51"/>
      <c r="Q234" s="33">
        <f>ROUND(N234,0)+2000</f>
        <v>1003768</v>
      </c>
      <c r="R234" s="209">
        <f t="shared" si="102"/>
        <v>2000</v>
      </c>
      <c r="S234" s="35" t="s">
        <v>596</v>
      </c>
      <c r="T234" s="33">
        <f>ROUND(Q234,0)</f>
        <v>1003768</v>
      </c>
      <c r="U234" s="209">
        <f t="shared" si="103"/>
        <v>0</v>
      </c>
      <c r="V234" s="35"/>
      <c r="W234" s="33">
        <f>ROUND(T234,0)</f>
        <v>1003768</v>
      </c>
      <c r="X234" s="209">
        <f t="shared" si="104"/>
        <v>0</v>
      </c>
      <c r="Y234" s="35"/>
      <c r="Z234" s="33">
        <f>ROUND(W234,0)</f>
        <v>1003768</v>
      </c>
      <c r="AA234" s="209">
        <f t="shared" si="105"/>
        <v>0</v>
      </c>
      <c r="AB234" s="35"/>
    </row>
    <row r="235" spans="2:28" s="215" customFormat="1" ht="13.95" customHeight="1" x14ac:dyDescent="0.25">
      <c r="C235" s="157" t="s">
        <v>597</v>
      </c>
      <c r="D235" s="112" t="s">
        <v>589</v>
      </c>
      <c r="E235" s="209"/>
      <c r="F235" s="209"/>
      <c r="G235" s="209"/>
      <c r="H235" s="209"/>
      <c r="I235" s="70">
        <f>[4]PIVOT_2023!H269</f>
        <v>158747</v>
      </c>
      <c r="J235" s="209"/>
      <c r="K235" s="209"/>
      <c r="L235" s="33">
        <f>E235+F235+G235+H235+I235+J235+K235</f>
        <v>158747</v>
      </c>
      <c r="M235" s="34">
        <v>158747</v>
      </c>
      <c r="N235" s="34">
        <f>ROUND(M235,0)</f>
        <v>158747</v>
      </c>
      <c r="O235" s="209">
        <f>N235-M235</f>
        <v>0</v>
      </c>
      <c r="P235" s="51"/>
      <c r="Q235" s="33">
        <f>ROUND(N235,0)</f>
        <v>158747</v>
      </c>
      <c r="R235" s="209">
        <f t="shared" si="102"/>
        <v>0</v>
      </c>
      <c r="S235" s="51"/>
      <c r="T235" s="33">
        <f>ROUND(Q235,0)</f>
        <v>158747</v>
      </c>
      <c r="U235" s="209">
        <f t="shared" si="103"/>
        <v>0</v>
      </c>
      <c r="V235" s="51"/>
      <c r="W235" s="33">
        <f>ROUND(T235,0)</f>
        <v>158747</v>
      </c>
      <c r="X235" s="209">
        <f t="shared" si="104"/>
        <v>0</v>
      </c>
      <c r="Y235" s="51"/>
      <c r="Z235" s="33">
        <f>ROUND(W235,0)</f>
        <v>158747</v>
      </c>
      <c r="AA235" s="209">
        <f t="shared" si="105"/>
        <v>0</v>
      </c>
      <c r="AB235" s="51"/>
    </row>
    <row r="236" spans="2:28" x14ac:dyDescent="0.25">
      <c r="C236" s="213" t="s">
        <v>598</v>
      </c>
      <c r="D236" s="159" t="s">
        <v>599</v>
      </c>
      <c r="E236" s="56">
        <f t="shared" ref="E236:J236" si="121">(E237+E238+E239)</f>
        <v>4009</v>
      </c>
      <c r="F236" s="56">
        <f t="shared" si="121"/>
        <v>77879</v>
      </c>
      <c r="G236" s="56">
        <f t="shared" si="121"/>
        <v>0</v>
      </c>
      <c r="H236" s="56">
        <f t="shared" si="121"/>
        <v>0</v>
      </c>
      <c r="I236" s="56">
        <f>(I237+I238+I239)</f>
        <v>0</v>
      </c>
      <c r="J236" s="56">
        <f t="shared" si="121"/>
        <v>0</v>
      </c>
      <c r="K236" s="56">
        <f>(K237+K238+K239)</f>
        <v>2056111</v>
      </c>
      <c r="L236" s="56">
        <f>L237+L238+L239</f>
        <v>2137999</v>
      </c>
      <c r="M236" s="71">
        <v>2137999</v>
      </c>
      <c r="N236" s="71">
        <f>N237+N238+N239</f>
        <v>2137999</v>
      </c>
      <c r="O236" s="56">
        <f t="shared" si="101"/>
        <v>0</v>
      </c>
      <c r="P236" s="152"/>
      <c r="Q236" s="56">
        <f>Q237+Q238+Q239</f>
        <v>2137999</v>
      </c>
      <c r="R236" s="56">
        <f t="shared" si="102"/>
        <v>0</v>
      </c>
      <c r="S236" s="152"/>
      <c r="T236" s="56">
        <f>T237+T238+T239</f>
        <v>2137999</v>
      </c>
      <c r="U236" s="56">
        <f t="shared" si="103"/>
        <v>0</v>
      </c>
      <c r="V236" s="152"/>
      <c r="W236" s="56">
        <f>W237+W238+W239</f>
        <v>2137999</v>
      </c>
      <c r="X236" s="56">
        <f t="shared" si="104"/>
        <v>0</v>
      </c>
      <c r="Y236" s="152"/>
      <c r="Z236" s="56">
        <f>Z237+Z238+Z239</f>
        <v>2135229</v>
      </c>
      <c r="AA236" s="56">
        <f t="shared" si="105"/>
        <v>-2770</v>
      </c>
      <c r="AB236" s="152"/>
    </row>
    <row r="237" spans="2:28" s="215" customFormat="1" x14ac:dyDescent="0.25">
      <c r="B237" s="214" t="s">
        <v>600</v>
      </c>
      <c r="C237" s="216" t="s">
        <v>601</v>
      </c>
      <c r="D237" s="217" t="s">
        <v>602</v>
      </c>
      <c r="E237" s="33">
        <f>4009</f>
        <v>4009</v>
      </c>
      <c r="F237" s="209">
        <f>44403+33476</f>
        <v>77879</v>
      </c>
      <c r="G237" s="209"/>
      <c r="H237" s="209"/>
      <c r="I237" s="209"/>
      <c r="J237" s="209"/>
      <c r="K237" s="209">
        <f>[4]PIVOT_2023!H280</f>
        <v>543319</v>
      </c>
      <c r="L237" s="33">
        <f>E237+F237+G237+H237+I237+J237+K237</f>
        <v>625207</v>
      </c>
      <c r="M237" s="34">
        <v>625207</v>
      </c>
      <c r="N237" s="34">
        <f>ROUND(M237,0)</f>
        <v>625207</v>
      </c>
      <c r="O237" s="209">
        <f t="shared" si="101"/>
        <v>0</v>
      </c>
      <c r="P237" s="35"/>
      <c r="Q237" s="33">
        <f>ROUND(N237,0)</f>
        <v>625207</v>
      </c>
      <c r="R237" s="209">
        <f t="shared" si="102"/>
        <v>0</v>
      </c>
      <c r="S237" s="35"/>
      <c r="T237" s="33">
        <f>ROUND(Q237,0)</f>
        <v>625207</v>
      </c>
      <c r="U237" s="209">
        <f t="shared" si="103"/>
        <v>0</v>
      </c>
      <c r="V237" s="35"/>
      <c r="W237" s="33">
        <f>ROUND(T237,0)</f>
        <v>625207</v>
      </c>
      <c r="X237" s="209">
        <f t="shared" si="104"/>
        <v>0</v>
      </c>
      <c r="Y237" s="35"/>
      <c r="Z237" s="33">
        <f>ROUND(W237,0)-2770</f>
        <v>622437</v>
      </c>
      <c r="AA237" s="209">
        <f t="shared" si="105"/>
        <v>-2770</v>
      </c>
      <c r="AB237" s="51" t="s">
        <v>141</v>
      </c>
    </row>
    <row r="238" spans="2:28" s="215" customFormat="1" ht="16.2" customHeight="1" x14ac:dyDescent="0.25">
      <c r="B238" s="214" t="s">
        <v>603</v>
      </c>
      <c r="C238" s="216" t="s">
        <v>604</v>
      </c>
      <c r="D238" s="217" t="s">
        <v>605</v>
      </c>
      <c r="E238" s="209"/>
      <c r="F238" s="209"/>
      <c r="G238" s="209"/>
      <c r="H238" s="209"/>
      <c r="I238" s="209"/>
      <c r="J238" s="209"/>
      <c r="K238" s="209">
        <f>[4]PIVOT_2023!H283</f>
        <v>135000</v>
      </c>
      <c r="L238" s="33">
        <f>E238+F238+G238+H238+I238+J238+K238</f>
        <v>135000</v>
      </c>
      <c r="M238" s="34">
        <v>135000</v>
      </c>
      <c r="N238" s="34">
        <f>ROUND(M238,0)</f>
        <v>135000</v>
      </c>
      <c r="O238" s="209">
        <f t="shared" si="101"/>
        <v>0</v>
      </c>
      <c r="P238" s="35"/>
      <c r="Q238" s="33">
        <f>ROUND(N238,0)</f>
        <v>135000</v>
      </c>
      <c r="R238" s="209">
        <f t="shared" si="102"/>
        <v>0</v>
      </c>
      <c r="S238" s="35"/>
      <c r="T238" s="33">
        <f>ROUND(Q238,0)</f>
        <v>135000</v>
      </c>
      <c r="U238" s="209">
        <f t="shared" si="103"/>
        <v>0</v>
      </c>
      <c r="V238" s="35"/>
      <c r="W238" s="33">
        <f>ROUND(T238,0)</f>
        <v>135000</v>
      </c>
      <c r="X238" s="209">
        <f t="shared" si="104"/>
        <v>0</v>
      </c>
      <c r="Y238" s="35"/>
      <c r="Z238" s="33">
        <f>ROUND(W238,0)</f>
        <v>135000</v>
      </c>
      <c r="AA238" s="209">
        <f t="shared" si="105"/>
        <v>0</v>
      </c>
      <c r="AB238" s="35"/>
    </row>
    <row r="239" spans="2:28" x14ac:dyDescent="0.25">
      <c r="B239" s="66" t="s">
        <v>603</v>
      </c>
      <c r="C239" s="157" t="s">
        <v>606</v>
      </c>
      <c r="D239" s="112" t="s">
        <v>607</v>
      </c>
      <c r="E239" s="209"/>
      <c r="F239" s="209"/>
      <c r="G239" s="209"/>
      <c r="H239" s="209"/>
      <c r="I239" s="209"/>
      <c r="J239" s="209"/>
      <c r="K239" s="209">
        <f>[4]PIVOT_2023!H284</f>
        <v>1377792</v>
      </c>
      <c r="L239" s="33">
        <f>E239+F239+G239+H239+I239+J239+K239</f>
        <v>1377792</v>
      </c>
      <c r="M239" s="34">
        <v>1377792</v>
      </c>
      <c r="N239" s="34">
        <f>ROUND(M239,0)</f>
        <v>1377792</v>
      </c>
      <c r="O239" s="209">
        <f t="shared" si="101"/>
        <v>0</v>
      </c>
      <c r="P239" s="35"/>
      <c r="Q239" s="33">
        <f>ROUND(N239,0)</f>
        <v>1377792</v>
      </c>
      <c r="R239" s="209">
        <f t="shared" si="102"/>
        <v>0</v>
      </c>
      <c r="S239" s="35"/>
      <c r="T239" s="33">
        <f>ROUND(Q239,0)</f>
        <v>1377792</v>
      </c>
      <c r="U239" s="209">
        <f t="shared" si="103"/>
        <v>0</v>
      </c>
      <c r="V239" s="35"/>
      <c r="W239" s="33">
        <f>ROUND(T239,0)</f>
        <v>1377792</v>
      </c>
      <c r="X239" s="209">
        <f t="shared" si="104"/>
        <v>0</v>
      </c>
      <c r="Y239" s="35"/>
      <c r="Z239" s="33">
        <f>ROUND(W239,0)</f>
        <v>1377792</v>
      </c>
      <c r="AA239" s="209">
        <f t="shared" si="105"/>
        <v>0</v>
      </c>
      <c r="AB239" s="35"/>
    </row>
    <row r="240" spans="2:28" s="140" customFormat="1" ht="15.75" customHeight="1" x14ac:dyDescent="0.25">
      <c r="C240" s="213" t="s">
        <v>608</v>
      </c>
      <c r="D240" s="159" t="s">
        <v>609</v>
      </c>
      <c r="E240" s="160">
        <f>E241+E242+E243+E244+E245+E246+E247</f>
        <v>85092</v>
      </c>
      <c r="F240" s="160">
        <f t="shared" ref="F240:N240" si="122">F241+F242+F243+F244+F245+F246+F247</f>
        <v>966547</v>
      </c>
      <c r="G240" s="160">
        <f t="shared" si="122"/>
        <v>2464</v>
      </c>
      <c r="H240" s="160">
        <f t="shared" si="122"/>
        <v>0</v>
      </c>
      <c r="I240" s="160">
        <f t="shared" si="122"/>
        <v>241081</v>
      </c>
      <c r="J240" s="160">
        <f t="shared" si="122"/>
        <v>0</v>
      </c>
      <c r="K240" s="160">
        <f t="shared" si="122"/>
        <v>682154.59305699996</v>
      </c>
      <c r="L240" s="160">
        <f t="shared" si="122"/>
        <v>1977338.5930570001</v>
      </c>
      <c r="M240" s="161">
        <v>1977338.5930570001</v>
      </c>
      <c r="N240" s="161">
        <f t="shared" si="122"/>
        <v>1974553</v>
      </c>
      <c r="O240" s="160">
        <f t="shared" si="101"/>
        <v>-2785.5930570000783</v>
      </c>
      <c r="P240" s="174"/>
      <c r="Q240" s="160">
        <f>Q241+Q242+Q243+Q244+Q245+Q246+Q247</f>
        <v>1979553</v>
      </c>
      <c r="R240" s="160">
        <f t="shared" si="102"/>
        <v>5000</v>
      </c>
      <c r="S240" s="174"/>
      <c r="T240" s="160">
        <f>T241+T242+T243+T244+T245+T246+T247</f>
        <v>1990205</v>
      </c>
      <c r="U240" s="160">
        <f t="shared" si="103"/>
        <v>10652</v>
      </c>
      <c r="V240" s="174"/>
      <c r="W240" s="160">
        <f>W241+W242+W243+W244+W245+W246+W247</f>
        <v>1993905</v>
      </c>
      <c r="X240" s="160">
        <f t="shared" si="104"/>
        <v>3700</v>
      </c>
      <c r="Y240" s="174"/>
      <c r="Z240" s="160">
        <f>Z241+Z242+Z243+Z244+Z245+Z246+Z247</f>
        <v>2044278</v>
      </c>
      <c r="AA240" s="160">
        <f t="shared" si="105"/>
        <v>50373</v>
      </c>
      <c r="AB240" s="174"/>
    </row>
    <row r="241" spans="2:28" s="30" customFormat="1" ht="17.25" customHeight="1" x14ac:dyDescent="0.25">
      <c r="B241" s="48" t="s">
        <v>610</v>
      </c>
      <c r="C241" s="157" t="s">
        <v>611</v>
      </c>
      <c r="D241" s="112" t="s">
        <v>571</v>
      </c>
      <c r="E241" s="33">
        <f>15567</f>
        <v>15567</v>
      </c>
      <c r="F241" s="33">
        <f>56200+854400</f>
        <v>910600</v>
      </c>
      <c r="G241" s="33"/>
      <c r="H241" s="33"/>
      <c r="I241" s="33"/>
      <c r="J241" s="33"/>
      <c r="K241" s="33"/>
      <c r="L241" s="33">
        <f t="shared" ref="L241:L256" si="123">E241+F241+G241+H241+I241+J241+K241</f>
        <v>926167</v>
      </c>
      <c r="M241" s="34">
        <v>926167</v>
      </c>
      <c r="N241" s="34">
        <f>ROUND(M241,0)</f>
        <v>926167</v>
      </c>
      <c r="O241" s="33">
        <f t="shared" si="101"/>
        <v>0</v>
      </c>
      <c r="P241" s="51"/>
      <c r="Q241" s="33">
        <f>ROUND(N241,0)</f>
        <v>926167</v>
      </c>
      <c r="R241" s="33">
        <f t="shared" si="102"/>
        <v>0</v>
      </c>
      <c r="S241" s="51"/>
      <c r="T241" s="33">
        <f>ROUND(Q241,0)+10652</f>
        <v>936819</v>
      </c>
      <c r="U241" s="33">
        <f t="shared" si="103"/>
        <v>10652</v>
      </c>
      <c r="V241" s="51" t="s">
        <v>154</v>
      </c>
      <c r="W241" s="33">
        <f>ROUND(T241,0)</f>
        <v>936819</v>
      </c>
      <c r="X241" s="33">
        <f t="shared" si="104"/>
        <v>0</v>
      </c>
      <c r="Y241" s="51"/>
      <c r="Z241" s="33">
        <f>ROUND(W241,0)+13121+33255</f>
        <v>983195</v>
      </c>
      <c r="AA241" s="33">
        <f t="shared" si="105"/>
        <v>46376</v>
      </c>
      <c r="AB241" s="51" t="s">
        <v>141</v>
      </c>
    </row>
    <row r="242" spans="2:28" s="30" customFormat="1" x14ac:dyDescent="0.25">
      <c r="B242" s="30" t="s">
        <v>610</v>
      </c>
      <c r="C242" s="157" t="s">
        <v>612</v>
      </c>
      <c r="D242" s="112" t="s">
        <v>613</v>
      </c>
      <c r="E242" s="33">
        <v>25376</v>
      </c>
      <c r="F242" s="33">
        <v>49493</v>
      </c>
      <c r="G242" s="33"/>
      <c r="H242" s="33"/>
      <c r="I242" s="33"/>
      <c r="J242" s="33"/>
      <c r="K242" s="33"/>
      <c r="L242" s="33">
        <f t="shared" si="123"/>
        <v>74869</v>
      </c>
      <c r="M242" s="34">
        <v>74869</v>
      </c>
      <c r="N242" s="34">
        <f>ROUND(M242,0)</f>
        <v>74869</v>
      </c>
      <c r="O242" s="33">
        <f t="shared" si="101"/>
        <v>0</v>
      </c>
      <c r="P242" s="51"/>
      <c r="Q242" s="33">
        <f>ROUND(N242,0)</f>
        <v>74869</v>
      </c>
      <c r="R242" s="33">
        <f t="shared" si="102"/>
        <v>0</v>
      </c>
      <c r="S242" s="51"/>
      <c r="T242" s="33">
        <f t="shared" ref="T242:T248" si="124">ROUND(Q242,0)</f>
        <v>74869</v>
      </c>
      <c r="U242" s="33">
        <f t="shared" si="103"/>
        <v>0</v>
      </c>
      <c r="V242" s="51"/>
      <c r="W242" s="33">
        <f t="shared" ref="W242:W247" si="125">ROUND(T242,0)</f>
        <v>74869</v>
      </c>
      <c r="X242" s="33">
        <f t="shared" si="104"/>
        <v>0</v>
      </c>
      <c r="Y242" s="51"/>
      <c r="Z242" s="33">
        <f t="shared" ref="Z242:Z247" si="126">ROUND(W242,0)</f>
        <v>74869</v>
      </c>
      <c r="AA242" s="33">
        <f t="shared" si="105"/>
        <v>0</v>
      </c>
      <c r="AB242" s="51"/>
    </row>
    <row r="243" spans="2:28" s="30" customFormat="1" ht="17.25" customHeight="1" x14ac:dyDescent="0.25">
      <c r="B243" s="48" t="s">
        <v>614</v>
      </c>
      <c r="C243" s="157" t="s">
        <v>615</v>
      </c>
      <c r="D243" s="112" t="s">
        <v>574</v>
      </c>
      <c r="E243" s="33"/>
      <c r="F243" s="33"/>
      <c r="G243" s="33"/>
      <c r="H243" s="33"/>
      <c r="I243" s="33"/>
      <c r="J243" s="33">
        <f>[4]Pivot_invest_2023!E77</f>
        <v>0</v>
      </c>
      <c r="K243" s="33">
        <f>[4]PIVOT_2023!H293-I244</f>
        <v>682154.59305699996</v>
      </c>
      <c r="L243" s="33">
        <f t="shared" si="123"/>
        <v>682154.59305699996</v>
      </c>
      <c r="M243" s="34">
        <v>682154.59305699996</v>
      </c>
      <c r="N243" s="34">
        <f t="shared" ref="N243:N248" si="127">ROUND(M243,0)</f>
        <v>682155</v>
      </c>
      <c r="O243" s="33">
        <f t="shared" si="101"/>
        <v>0.40694300003815442</v>
      </c>
      <c r="P243" s="51"/>
      <c r="Q243" s="33">
        <f>ROUND(N243,0)</f>
        <v>682155</v>
      </c>
      <c r="R243" s="33">
        <f t="shared" si="102"/>
        <v>0</v>
      </c>
      <c r="S243" s="51"/>
      <c r="T243" s="33">
        <f t="shared" si="124"/>
        <v>682155</v>
      </c>
      <c r="U243" s="33">
        <f t="shared" si="103"/>
        <v>0</v>
      </c>
      <c r="V243" s="51"/>
      <c r="W243" s="33">
        <f t="shared" si="125"/>
        <v>682155</v>
      </c>
      <c r="X243" s="33">
        <f t="shared" si="104"/>
        <v>0</v>
      </c>
      <c r="Y243" s="51"/>
      <c r="Z243" s="33">
        <f t="shared" si="126"/>
        <v>682155</v>
      </c>
      <c r="AA243" s="33">
        <f t="shared" si="105"/>
        <v>0</v>
      </c>
      <c r="AB243" s="51"/>
    </row>
    <row r="244" spans="2:28" s="30" customFormat="1" ht="39.6" customHeight="1" x14ac:dyDescent="0.25">
      <c r="B244" s="48"/>
      <c r="C244" s="157" t="s">
        <v>616</v>
      </c>
      <c r="D244" s="112" t="s">
        <v>589</v>
      </c>
      <c r="E244" s="33"/>
      <c r="F244" s="33"/>
      <c r="G244" s="33"/>
      <c r="H244" s="33"/>
      <c r="I244" s="70">
        <f>[4]PIVOT_2023!H296</f>
        <v>241081</v>
      </c>
      <c r="J244" s="33"/>
      <c r="K244" s="33"/>
      <c r="L244" s="33">
        <f t="shared" si="123"/>
        <v>241081</v>
      </c>
      <c r="M244" s="34">
        <v>241081</v>
      </c>
      <c r="N244" s="34">
        <f t="shared" si="127"/>
        <v>241081</v>
      </c>
      <c r="O244" s="33">
        <f t="shared" si="101"/>
        <v>0</v>
      </c>
      <c r="P244" s="51"/>
      <c r="Q244" s="33">
        <f>ROUND(N244,0)</f>
        <v>241081</v>
      </c>
      <c r="R244" s="33">
        <f t="shared" si="102"/>
        <v>0</v>
      </c>
      <c r="S244" s="51"/>
      <c r="T244" s="33">
        <f t="shared" si="124"/>
        <v>241081</v>
      </c>
      <c r="U244" s="33">
        <f t="shared" si="103"/>
        <v>0</v>
      </c>
      <c r="V244" s="51"/>
      <c r="W244" s="33">
        <f>ROUND(T244,0)+3700</f>
        <v>244781</v>
      </c>
      <c r="X244" s="33">
        <f t="shared" si="104"/>
        <v>3700</v>
      </c>
      <c r="Y244" s="69" t="s">
        <v>617</v>
      </c>
      <c r="Z244" s="33">
        <f t="shared" si="126"/>
        <v>244781</v>
      </c>
      <c r="AA244" s="33">
        <f t="shared" si="105"/>
        <v>0</v>
      </c>
      <c r="AB244" s="69"/>
    </row>
    <row r="245" spans="2:28" s="30" customFormat="1" ht="32.25" customHeight="1" x14ac:dyDescent="0.25">
      <c r="B245" s="48" t="s">
        <v>618</v>
      </c>
      <c r="C245" s="157" t="s">
        <v>619</v>
      </c>
      <c r="D245" s="112" t="s">
        <v>620</v>
      </c>
      <c r="E245" s="33">
        <f>E58</f>
        <v>0</v>
      </c>
      <c r="F245" s="33">
        <f>F58</f>
        <v>6454</v>
      </c>
      <c r="G245" s="33"/>
      <c r="H245" s="33"/>
      <c r="I245" s="33"/>
      <c r="J245" s="33">
        <f>[4]Pivot_invest_2023!E24-SUM(E245:I245)</f>
        <v>0</v>
      </c>
      <c r="K245" s="33"/>
      <c r="L245" s="33">
        <f t="shared" si="123"/>
        <v>6454</v>
      </c>
      <c r="M245" s="34">
        <v>6454</v>
      </c>
      <c r="N245" s="34">
        <f>ROUND(M245,0)-2786</f>
        <v>3668</v>
      </c>
      <c r="O245" s="33">
        <f t="shared" si="101"/>
        <v>-2786</v>
      </c>
      <c r="P245" s="35" t="s">
        <v>174</v>
      </c>
      <c r="Q245" s="33">
        <f>ROUND(N245,0)</f>
        <v>3668</v>
      </c>
      <c r="R245" s="33">
        <f t="shared" si="102"/>
        <v>0</v>
      </c>
      <c r="S245" s="35"/>
      <c r="T245" s="33">
        <f t="shared" si="124"/>
        <v>3668</v>
      </c>
      <c r="U245" s="33">
        <f t="shared" si="103"/>
        <v>0</v>
      </c>
      <c r="V245" s="35"/>
      <c r="W245" s="33">
        <f t="shared" si="125"/>
        <v>3668</v>
      </c>
      <c r="X245" s="33">
        <f t="shared" si="104"/>
        <v>0</v>
      </c>
      <c r="Y245" s="35"/>
      <c r="Z245" s="33">
        <f>ROUND(W245,0)+3997</f>
        <v>7665</v>
      </c>
      <c r="AA245" s="33">
        <f t="shared" si="105"/>
        <v>3997</v>
      </c>
      <c r="AB245" s="51" t="s">
        <v>175</v>
      </c>
    </row>
    <row r="246" spans="2:28" s="140" customFormat="1" ht="13.95" customHeight="1" x14ac:dyDescent="0.25">
      <c r="B246" s="66" t="s">
        <v>621</v>
      </c>
      <c r="C246" s="157" t="s">
        <v>622</v>
      </c>
      <c r="D246" s="112" t="s">
        <v>623</v>
      </c>
      <c r="E246" s="33">
        <f>9859+34290</f>
        <v>44149</v>
      </c>
      <c r="F246" s="33"/>
      <c r="G246" s="33">
        <v>2464</v>
      </c>
      <c r="H246" s="33"/>
      <c r="I246" s="33"/>
      <c r="J246" s="33">
        <f>[4]Pivot_invest_2023!E26-SUM(E246:I246)</f>
        <v>0</v>
      </c>
      <c r="K246" s="33"/>
      <c r="L246" s="33">
        <f t="shared" si="123"/>
        <v>46613</v>
      </c>
      <c r="M246" s="34">
        <v>46613</v>
      </c>
      <c r="N246" s="34">
        <f t="shared" si="127"/>
        <v>46613</v>
      </c>
      <c r="O246" s="33">
        <f t="shared" si="101"/>
        <v>0</v>
      </c>
      <c r="P246" s="35"/>
      <c r="Q246" s="33">
        <f>ROUND(N246,0)+5000</f>
        <v>51613</v>
      </c>
      <c r="R246" s="33">
        <f t="shared" si="102"/>
        <v>5000</v>
      </c>
      <c r="S246" s="76" t="s">
        <v>242</v>
      </c>
      <c r="T246" s="33">
        <f t="shared" si="124"/>
        <v>51613</v>
      </c>
      <c r="U246" s="33">
        <f t="shared" si="103"/>
        <v>0</v>
      </c>
      <c r="V246" s="76"/>
      <c r="W246" s="33">
        <f t="shared" si="125"/>
        <v>51613</v>
      </c>
      <c r="X246" s="33">
        <f t="shared" si="104"/>
        <v>0</v>
      </c>
      <c r="Y246" s="76"/>
      <c r="Z246" s="33">
        <f t="shared" si="126"/>
        <v>51613</v>
      </c>
      <c r="AA246" s="33">
        <f t="shared" si="105"/>
        <v>0</v>
      </c>
      <c r="AB246" s="76"/>
    </row>
    <row r="247" spans="2:28" s="140" customFormat="1" ht="15" customHeight="1" x14ac:dyDescent="0.25">
      <c r="B247" s="66" t="s">
        <v>624</v>
      </c>
      <c r="C247" s="157" t="s">
        <v>625</v>
      </c>
      <c r="D247" s="112" t="s">
        <v>626</v>
      </c>
      <c r="E247" s="33"/>
      <c r="F247" s="33"/>
      <c r="G247" s="33"/>
      <c r="H247" s="33"/>
      <c r="I247" s="33"/>
      <c r="J247" s="33"/>
      <c r="K247" s="33"/>
      <c r="L247" s="33">
        <f t="shared" si="123"/>
        <v>0</v>
      </c>
      <c r="M247" s="34">
        <v>0</v>
      </c>
      <c r="N247" s="34">
        <f t="shared" si="127"/>
        <v>0</v>
      </c>
      <c r="O247" s="33">
        <f t="shared" si="101"/>
        <v>0</v>
      </c>
      <c r="P247" s="35"/>
      <c r="Q247" s="33">
        <f>ROUND(N247,0)</f>
        <v>0</v>
      </c>
      <c r="R247" s="33">
        <f t="shared" si="102"/>
        <v>0</v>
      </c>
      <c r="S247" s="35"/>
      <c r="T247" s="33">
        <f t="shared" si="124"/>
        <v>0</v>
      </c>
      <c r="U247" s="33">
        <f t="shared" si="103"/>
        <v>0</v>
      </c>
      <c r="V247" s="35"/>
      <c r="W247" s="33">
        <f t="shared" si="125"/>
        <v>0</v>
      </c>
      <c r="X247" s="33">
        <f t="shared" si="104"/>
        <v>0</v>
      </c>
      <c r="Y247" s="35"/>
      <c r="Z247" s="33">
        <f t="shared" si="126"/>
        <v>0</v>
      </c>
      <c r="AA247" s="33">
        <f t="shared" si="105"/>
        <v>0</v>
      </c>
      <c r="AB247" s="35"/>
    </row>
    <row r="248" spans="2:28" s="30" customFormat="1" ht="47.25" customHeight="1" x14ac:dyDescent="0.25">
      <c r="B248" s="66" t="s">
        <v>627</v>
      </c>
      <c r="C248" s="213" t="s">
        <v>628</v>
      </c>
      <c r="D248" s="159" t="s">
        <v>326</v>
      </c>
      <c r="E248" s="160"/>
      <c r="F248" s="160"/>
      <c r="G248" s="160"/>
      <c r="H248" s="160">
        <f>H118</f>
        <v>582946</v>
      </c>
      <c r="I248" s="160"/>
      <c r="J248" s="160">
        <f>[4]Pivot_invest_2023!E34-SUM(E248:I248)</f>
        <v>253687.39</v>
      </c>
      <c r="K248" s="160"/>
      <c r="L248" s="160">
        <f t="shared" si="123"/>
        <v>836633.39</v>
      </c>
      <c r="M248" s="161">
        <v>836633.39</v>
      </c>
      <c r="N248" s="161">
        <f t="shared" si="127"/>
        <v>836633</v>
      </c>
      <c r="O248" s="160">
        <f>N248-M248</f>
        <v>-0.39000000001396984</v>
      </c>
      <c r="P248" s="72"/>
      <c r="Q248" s="160">
        <f>ROUND(N248,0)</f>
        <v>836633</v>
      </c>
      <c r="R248" s="160">
        <f t="shared" si="102"/>
        <v>0</v>
      </c>
      <c r="S248" s="72"/>
      <c r="T248" s="160">
        <f t="shared" si="124"/>
        <v>836633</v>
      </c>
      <c r="U248" s="160">
        <f t="shared" si="103"/>
        <v>0</v>
      </c>
      <c r="V248" s="72"/>
      <c r="W248" s="160">
        <f>ROUND(T248,0)</f>
        <v>836633</v>
      </c>
      <c r="X248" s="160">
        <f t="shared" si="104"/>
        <v>0</v>
      </c>
      <c r="Y248" s="72"/>
      <c r="Z248" s="160">
        <f>ROUND(W248,0)-30000</f>
        <v>806633</v>
      </c>
      <c r="AA248" s="160">
        <f t="shared" si="105"/>
        <v>-30000</v>
      </c>
      <c r="AB248" s="72" t="s">
        <v>629</v>
      </c>
    </row>
    <row r="249" spans="2:28" s="30" customFormat="1" ht="15.75" customHeight="1" x14ac:dyDescent="0.25">
      <c r="B249" s="48"/>
      <c r="C249" s="213" t="s">
        <v>630</v>
      </c>
      <c r="D249" s="159" t="s">
        <v>631</v>
      </c>
      <c r="E249" s="160">
        <f>E250+E251+E252+E253+E254+E255+E256+E257</f>
        <v>374973</v>
      </c>
      <c r="F249" s="160">
        <f t="shared" ref="F249:L249" si="128">F250+F251+F252+F253+F254+F255+F256+F257</f>
        <v>3899747</v>
      </c>
      <c r="G249" s="160">
        <f t="shared" si="128"/>
        <v>0</v>
      </c>
      <c r="H249" s="160">
        <f t="shared" si="128"/>
        <v>390000</v>
      </c>
      <c r="I249" s="160">
        <f t="shared" si="128"/>
        <v>0</v>
      </c>
      <c r="J249" s="160">
        <f t="shared" si="128"/>
        <v>72120</v>
      </c>
      <c r="K249" s="160">
        <f t="shared" si="128"/>
        <v>2503606.2743386501</v>
      </c>
      <c r="L249" s="160">
        <f t="shared" si="128"/>
        <v>7240446.2743386505</v>
      </c>
      <c r="M249" s="161">
        <v>7240446.2743386505</v>
      </c>
      <c r="N249" s="161">
        <f>N250+N251+N252+N253+N254+N255+N256+N257</f>
        <v>7249299</v>
      </c>
      <c r="O249" s="160">
        <f t="shared" si="101"/>
        <v>8852.7256613494828</v>
      </c>
      <c r="P249" s="72"/>
      <c r="Q249" s="160">
        <f>Q250+Q251+Q252+Q253+Q254+Q255+Q256+Q257</f>
        <v>7335799</v>
      </c>
      <c r="R249" s="160">
        <f t="shared" si="102"/>
        <v>86500</v>
      </c>
      <c r="S249" s="72"/>
      <c r="T249" s="160">
        <f>T250+T251+T252+T253+T254+T255+T256+T257</f>
        <v>7378123</v>
      </c>
      <c r="U249" s="160">
        <f t="shared" si="103"/>
        <v>42324</v>
      </c>
      <c r="V249" s="72"/>
      <c r="W249" s="160">
        <f>W250+W251+W252+W253+W254+W255+W256+W257</f>
        <v>7378123</v>
      </c>
      <c r="X249" s="160">
        <f t="shared" si="104"/>
        <v>0</v>
      </c>
      <c r="Y249" s="72"/>
      <c r="Z249" s="160">
        <f>Z250+Z251+Z252+Z253+Z254+Z255+Z256+Z257</f>
        <v>7424608</v>
      </c>
      <c r="AA249" s="160">
        <f t="shared" si="105"/>
        <v>46485</v>
      </c>
      <c r="AB249" s="72"/>
    </row>
    <row r="250" spans="2:28" s="30" customFormat="1" ht="17.25" customHeight="1" x14ac:dyDescent="0.25">
      <c r="B250" s="48" t="s">
        <v>632</v>
      </c>
      <c r="C250" s="157" t="s">
        <v>633</v>
      </c>
      <c r="D250" s="112" t="s">
        <v>571</v>
      </c>
      <c r="E250" s="33">
        <f>65816+43038</f>
        <v>108854</v>
      </c>
      <c r="F250" s="33">
        <f>216761+3425028</f>
        <v>3641789</v>
      </c>
      <c r="G250" s="33"/>
      <c r="H250" s="33"/>
      <c r="I250" s="33"/>
      <c r="J250" s="33"/>
      <c r="K250" s="33"/>
      <c r="L250" s="33">
        <f t="shared" si="123"/>
        <v>3750643</v>
      </c>
      <c r="M250" s="34">
        <v>3750643</v>
      </c>
      <c r="N250" s="34">
        <f>ROUND(M250,0)</f>
        <v>3750643</v>
      </c>
      <c r="O250" s="33">
        <f t="shared" si="101"/>
        <v>0</v>
      </c>
      <c r="P250" s="51"/>
      <c r="Q250" s="33">
        <f t="shared" ref="Q250:Q256" si="129">ROUND(N250,0)</f>
        <v>3750643</v>
      </c>
      <c r="R250" s="33">
        <f t="shared" si="102"/>
        <v>0</v>
      </c>
      <c r="S250" s="51"/>
      <c r="T250" s="33">
        <f>ROUND(Q250,0)+41084</f>
        <v>3791727</v>
      </c>
      <c r="U250" s="33">
        <f t="shared" si="103"/>
        <v>41084</v>
      </c>
      <c r="V250" s="51" t="s">
        <v>154</v>
      </c>
      <c r="W250" s="33">
        <f>ROUND(T250,0)</f>
        <v>3791727</v>
      </c>
      <c r="X250" s="33">
        <f t="shared" si="104"/>
        <v>0</v>
      </c>
      <c r="Y250" s="51"/>
      <c r="Z250" s="33">
        <f>ROUND(W250,0)-16862+34285+5175</f>
        <v>3814325</v>
      </c>
      <c r="AA250" s="33">
        <f t="shared" si="105"/>
        <v>22598</v>
      </c>
      <c r="AB250" s="51" t="s">
        <v>141</v>
      </c>
    </row>
    <row r="251" spans="2:28" s="30" customFormat="1" ht="63.75" customHeight="1" x14ac:dyDescent="0.25">
      <c r="B251" s="48" t="s">
        <v>634</v>
      </c>
      <c r="C251" s="157" t="s">
        <v>635</v>
      </c>
      <c r="D251" s="112" t="s">
        <v>574</v>
      </c>
      <c r="E251" s="33"/>
      <c r="F251" s="33"/>
      <c r="G251" s="33"/>
      <c r="H251" s="33"/>
      <c r="I251" s="33"/>
      <c r="J251" s="33">
        <f>[4]Pivot_invest_2023!E52+[4]Pivot_invest_2023!E74</f>
        <v>69120</v>
      </c>
      <c r="K251" s="33">
        <f>[4]PIVOT_2023!H304</f>
        <v>1356697.7494320502</v>
      </c>
      <c r="L251" s="33">
        <f t="shared" si="123"/>
        <v>1425817.7494320502</v>
      </c>
      <c r="M251" s="34">
        <v>1425817.7494320502</v>
      </c>
      <c r="N251" s="34">
        <f>ROUND(M251,0)+10864</f>
        <v>1436682</v>
      </c>
      <c r="O251" s="33">
        <f t="shared" si="101"/>
        <v>10864.250567949843</v>
      </c>
      <c r="P251" s="51" t="s">
        <v>636</v>
      </c>
      <c r="Q251" s="33">
        <f>ROUND(N251,0)+43000</f>
        <v>1479682</v>
      </c>
      <c r="R251" s="36">
        <f t="shared" si="102"/>
        <v>43000</v>
      </c>
      <c r="S251" s="52" t="s">
        <v>637</v>
      </c>
      <c r="T251" s="33">
        <f t="shared" ref="T251:T256" si="130">ROUND(Q251,0)</f>
        <v>1479682</v>
      </c>
      <c r="U251" s="33">
        <f t="shared" si="103"/>
        <v>0</v>
      </c>
      <c r="V251" s="51"/>
      <c r="W251" s="33">
        <f t="shared" ref="W251:W256" si="131">ROUND(T251,0)</f>
        <v>1479682</v>
      </c>
      <c r="X251" s="33">
        <f t="shared" si="104"/>
        <v>0</v>
      </c>
      <c r="Y251" s="51"/>
      <c r="Z251" s="33">
        <f>ROUND(W251,0)-9300-3500</f>
        <v>1466882</v>
      </c>
      <c r="AA251" s="33">
        <f t="shared" si="105"/>
        <v>-12800</v>
      </c>
      <c r="AB251" s="51" t="s">
        <v>638</v>
      </c>
    </row>
    <row r="252" spans="2:28" s="30" customFormat="1" ht="17.399999999999999" customHeight="1" x14ac:dyDescent="0.25">
      <c r="B252" s="30" t="s">
        <v>639</v>
      </c>
      <c r="C252" s="157" t="s">
        <v>640</v>
      </c>
      <c r="D252" s="112" t="s">
        <v>623</v>
      </c>
      <c r="E252" s="33">
        <f>239964+10409</f>
        <v>250373</v>
      </c>
      <c r="F252" s="33"/>
      <c r="G252" s="33"/>
      <c r="H252" s="33"/>
      <c r="I252" s="33"/>
      <c r="J252" s="33">
        <f>[4]Pivot_invest_2023!E23-SUM(E252:I252)</f>
        <v>0</v>
      </c>
      <c r="K252" s="33"/>
      <c r="L252" s="33">
        <f t="shared" si="123"/>
        <v>250373</v>
      </c>
      <c r="M252" s="34">
        <v>250373</v>
      </c>
      <c r="N252" s="34">
        <f>ROUND(M252,0)</f>
        <v>250373</v>
      </c>
      <c r="O252" s="33">
        <f t="shared" si="101"/>
        <v>0</v>
      </c>
      <c r="P252" s="35"/>
      <c r="Q252" s="33">
        <f t="shared" si="129"/>
        <v>250373</v>
      </c>
      <c r="R252" s="33">
        <f t="shared" si="102"/>
        <v>0</v>
      </c>
      <c r="S252" s="35"/>
      <c r="T252" s="33">
        <f t="shared" si="130"/>
        <v>250373</v>
      </c>
      <c r="U252" s="33">
        <f t="shared" si="103"/>
        <v>0</v>
      </c>
      <c r="V252" s="35"/>
      <c r="W252" s="33">
        <f t="shared" si="131"/>
        <v>250373</v>
      </c>
      <c r="X252" s="33">
        <f t="shared" si="104"/>
        <v>0</v>
      </c>
      <c r="Y252" s="35"/>
      <c r="Z252" s="33">
        <f t="shared" ref="Z252:Z256" si="132">ROUND(W252,0)</f>
        <v>250373</v>
      </c>
      <c r="AA252" s="33">
        <f t="shared" si="105"/>
        <v>0</v>
      </c>
      <c r="AB252" s="35"/>
    </row>
    <row r="253" spans="2:28" s="30" customFormat="1" ht="30" customHeight="1" x14ac:dyDescent="0.25">
      <c r="B253" s="48" t="s">
        <v>641</v>
      </c>
      <c r="C253" s="157" t="s">
        <v>642</v>
      </c>
      <c r="D253" s="112" t="s">
        <v>620</v>
      </c>
      <c r="E253" s="33">
        <f>E57</f>
        <v>54</v>
      </c>
      <c r="F253" s="33">
        <f>F57</f>
        <v>16104</v>
      </c>
      <c r="G253" s="33"/>
      <c r="H253" s="33"/>
      <c r="I253" s="33"/>
      <c r="J253" s="33">
        <f>[4]Pivot_invest_2023!E21-SUM(E253:I253)</f>
        <v>0</v>
      </c>
      <c r="K253" s="33"/>
      <c r="L253" s="33">
        <f t="shared" si="123"/>
        <v>16158</v>
      </c>
      <c r="M253" s="34">
        <v>16158</v>
      </c>
      <c r="N253" s="34">
        <f>ROUND(M253,0)-2011</f>
        <v>14147</v>
      </c>
      <c r="O253" s="33">
        <f t="shared" si="101"/>
        <v>-2011</v>
      </c>
      <c r="P253" s="35" t="s">
        <v>174</v>
      </c>
      <c r="Q253" s="33">
        <f t="shared" si="129"/>
        <v>14147</v>
      </c>
      <c r="R253" s="33">
        <f t="shared" si="102"/>
        <v>0</v>
      </c>
      <c r="S253" s="35"/>
      <c r="T253" s="33">
        <f t="shared" si="130"/>
        <v>14147</v>
      </c>
      <c r="U253" s="33">
        <f t="shared" si="103"/>
        <v>0</v>
      </c>
      <c r="V253" s="35"/>
      <c r="W253" s="33">
        <f t="shared" si="131"/>
        <v>14147</v>
      </c>
      <c r="X253" s="33">
        <f t="shared" si="104"/>
        <v>0</v>
      </c>
      <c r="Y253" s="35"/>
      <c r="Z253" s="33">
        <f>ROUND(W253,0)+14485</f>
        <v>28632</v>
      </c>
      <c r="AA253" s="33">
        <f t="shared" si="105"/>
        <v>14485</v>
      </c>
      <c r="AB253" s="51" t="s">
        <v>175</v>
      </c>
    </row>
    <row r="254" spans="2:28" s="218" customFormat="1" ht="42.6" customHeight="1" x14ac:dyDescent="0.25">
      <c r="B254" s="48" t="s">
        <v>634</v>
      </c>
      <c r="C254" s="157" t="s">
        <v>643</v>
      </c>
      <c r="D254" s="112" t="s">
        <v>328</v>
      </c>
      <c r="E254" s="33"/>
      <c r="F254" s="33"/>
      <c r="G254" s="33"/>
      <c r="H254" s="33">
        <f>H119</f>
        <v>390000</v>
      </c>
      <c r="I254" s="33"/>
      <c r="J254" s="33">
        <f>[4]Pivot_invest_2023!E20-SUM(E254:I254)</f>
        <v>0</v>
      </c>
      <c r="K254" s="33"/>
      <c r="L254" s="33">
        <f t="shared" si="123"/>
        <v>390000</v>
      </c>
      <c r="M254" s="34">
        <v>390000</v>
      </c>
      <c r="N254" s="34">
        <f>ROUND(M254,0)</f>
        <v>390000</v>
      </c>
      <c r="O254" s="33">
        <f t="shared" si="101"/>
        <v>0</v>
      </c>
      <c r="P254" s="51"/>
      <c r="Q254" s="33">
        <f>ROUND(N254,0)+43500</f>
        <v>433500</v>
      </c>
      <c r="R254" s="36">
        <f t="shared" si="102"/>
        <v>43500</v>
      </c>
      <c r="S254" s="52" t="s">
        <v>644</v>
      </c>
      <c r="T254" s="33">
        <f t="shared" si="130"/>
        <v>433500</v>
      </c>
      <c r="U254" s="33">
        <f t="shared" si="103"/>
        <v>0</v>
      </c>
      <c r="V254" s="51"/>
      <c r="W254" s="33">
        <f t="shared" si="131"/>
        <v>433500</v>
      </c>
      <c r="X254" s="33">
        <f t="shared" si="104"/>
        <v>0</v>
      </c>
      <c r="Y254" s="51"/>
      <c r="Z254" s="33">
        <f t="shared" si="132"/>
        <v>433500</v>
      </c>
      <c r="AA254" s="33">
        <f t="shared" si="105"/>
        <v>0</v>
      </c>
      <c r="AB254" s="51"/>
    </row>
    <row r="255" spans="2:28" s="218" customFormat="1" ht="62.25" customHeight="1" x14ac:dyDescent="0.25">
      <c r="B255" s="219" t="s">
        <v>645</v>
      </c>
      <c r="C255" s="157" t="s">
        <v>646</v>
      </c>
      <c r="D255" s="112" t="s">
        <v>647</v>
      </c>
      <c r="E255" s="33"/>
      <c r="F255" s="33"/>
      <c r="G255" s="33"/>
      <c r="H255" s="33"/>
      <c r="I255" s="33"/>
      <c r="J255" s="33">
        <f>[4]Pivot_invest_2023!E76</f>
        <v>3000</v>
      </c>
      <c r="K255" s="33">
        <f>[4]PIVOT_2023!H286</f>
        <v>835367.24456400005</v>
      </c>
      <c r="L255" s="33">
        <f t="shared" si="123"/>
        <v>838367.24456400005</v>
      </c>
      <c r="M255" s="34">
        <v>838367.24456400005</v>
      </c>
      <c r="N255" s="34">
        <f>ROUND(M255,0)</f>
        <v>838367</v>
      </c>
      <c r="O255" s="33">
        <f t="shared" si="101"/>
        <v>-0.24456400005146861</v>
      </c>
      <c r="P255" s="51" t="s">
        <v>648</v>
      </c>
      <c r="Q255" s="33">
        <f t="shared" si="129"/>
        <v>838367</v>
      </c>
      <c r="R255" s="33">
        <f t="shared" si="102"/>
        <v>0</v>
      </c>
      <c r="S255" s="51"/>
      <c r="T255" s="33">
        <f t="shared" si="130"/>
        <v>838367</v>
      </c>
      <c r="U255" s="33">
        <f t="shared" si="103"/>
        <v>0</v>
      </c>
      <c r="V255" s="51"/>
      <c r="W255" s="33">
        <f t="shared" si="131"/>
        <v>838367</v>
      </c>
      <c r="X255" s="33">
        <f t="shared" si="104"/>
        <v>0</v>
      </c>
      <c r="Y255" s="51"/>
      <c r="Z255" s="33">
        <f>ROUND(W255,0)+9300+3500</f>
        <v>851167</v>
      </c>
      <c r="AA255" s="33">
        <f t="shared" si="105"/>
        <v>12800</v>
      </c>
      <c r="AB255" s="51" t="s">
        <v>638</v>
      </c>
    </row>
    <row r="256" spans="2:28" s="218" customFormat="1" ht="15" customHeight="1" x14ac:dyDescent="0.25">
      <c r="B256" s="48" t="s">
        <v>632</v>
      </c>
      <c r="C256" s="157" t="s">
        <v>649</v>
      </c>
      <c r="D256" s="112" t="s">
        <v>650</v>
      </c>
      <c r="E256" s="33">
        <f>36836-E237-E242</f>
        <v>7451</v>
      </c>
      <c r="F256" s="33">
        <v>166307</v>
      </c>
      <c r="G256" s="33"/>
      <c r="H256" s="33"/>
      <c r="I256" s="33"/>
      <c r="J256" s="33"/>
      <c r="K256" s="33"/>
      <c r="L256" s="33">
        <f t="shared" si="123"/>
        <v>173758</v>
      </c>
      <c r="M256" s="34">
        <v>173758</v>
      </c>
      <c r="N256" s="34">
        <f>ROUND(M256,0)</f>
        <v>173758</v>
      </c>
      <c r="O256" s="33">
        <f t="shared" si="101"/>
        <v>0</v>
      </c>
      <c r="P256" s="35"/>
      <c r="Q256" s="33">
        <f t="shared" si="129"/>
        <v>173758</v>
      </c>
      <c r="R256" s="33">
        <f t="shared" si="102"/>
        <v>0</v>
      </c>
      <c r="S256" s="35"/>
      <c r="T256" s="33">
        <f t="shared" si="130"/>
        <v>173758</v>
      </c>
      <c r="U256" s="33">
        <f t="shared" si="103"/>
        <v>0</v>
      </c>
      <c r="V256" s="35"/>
      <c r="W256" s="33">
        <f t="shared" si="131"/>
        <v>173758</v>
      </c>
      <c r="X256" s="33">
        <f t="shared" si="104"/>
        <v>0</v>
      </c>
      <c r="Y256" s="35"/>
      <c r="Z256" s="33">
        <f t="shared" si="132"/>
        <v>173758</v>
      </c>
      <c r="AA256" s="33">
        <f t="shared" si="105"/>
        <v>0</v>
      </c>
      <c r="AB256" s="35"/>
    </row>
    <row r="257" spans="2:28" s="224" customFormat="1" ht="13.95" customHeight="1" x14ac:dyDescent="0.25">
      <c r="B257" s="219"/>
      <c r="C257" s="220" t="s">
        <v>651</v>
      </c>
      <c r="D257" s="221" t="s">
        <v>652</v>
      </c>
      <c r="E257" s="222">
        <f>E258+E259</f>
        <v>8241</v>
      </c>
      <c r="F257" s="222">
        <f t="shared" ref="F257:O257" si="133">F258+F259</f>
        <v>75547</v>
      </c>
      <c r="G257" s="222">
        <f t="shared" si="133"/>
        <v>0</v>
      </c>
      <c r="H257" s="222">
        <f t="shared" si="133"/>
        <v>0</v>
      </c>
      <c r="I257" s="222">
        <f t="shared" si="133"/>
        <v>0</v>
      </c>
      <c r="J257" s="222">
        <f t="shared" si="133"/>
        <v>0</v>
      </c>
      <c r="K257" s="222">
        <f t="shared" si="133"/>
        <v>311541.28034260002</v>
      </c>
      <c r="L257" s="222">
        <f t="shared" si="133"/>
        <v>395329.28034260002</v>
      </c>
      <c r="M257" s="223">
        <v>395329.28034260002</v>
      </c>
      <c r="N257" s="223">
        <f t="shared" si="133"/>
        <v>395329</v>
      </c>
      <c r="O257" s="222">
        <f t="shared" si="133"/>
        <v>-0.28034260001732036</v>
      </c>
      <c r="P257" s="222"/>
      <c r="Q257" s="222">
        <f>Q258+Q259</f>
        <v>395329</v>
      </c>
      <c r="R257" s="222">
        <f t="shared" si="102"/>
        <v>0</v>
      </c>
      <c r="S257" s="222"/>
      <c r="T257" s="222">
        <f>T258+T259</f>
        <v>396569</v>
      </c>
      <c r="U257" s="222">
        <f t="shared" si="103"/>
        <v>1240</v>
      </c>
      <c r="V257" s="222"/>
      <c r="W257" s="222">
        <f>W258+W259</f>
        <v>396569</v>
      </c>
      <c r="X257" s="222">
        <f t="shared" si="104"/>
        <v>0</v>
      </c>
      <c r="Y257" s="222"/>
      <c r="Z257" s="222">
        <f>Z258+Z259</f>
        <v>405971</v>
      </c>
      <c r="AA257" s="222">
        <f t="shared" si="105"/>
        <v>9402</v>
      </c>
      <c r="AB257" s="222"/>
    </row>
    <row r="258" spans="2:28" s="218" customFormat="1" ht="12" customHeight="1" x14ac:dyDescent="0.25">
      <c r="B258" s="66" t="s">
        <v>653</v>
      </c>
      <c r="C258" s="225" t="s">
        <v>654</v>
      </c>
      <c r="D258" s="112" t="s">
        <v>655</v>
      </c>
      <c r="E258" s="33">
        <v>8241</v>
      </c>
      <c r="F258" s="33">
        <f>75547</f>
        <v>75547</v>
      </c>
      <c r="G258" s="33"/>
      <c r="H258" s="33"/>
      <c r="I258" s="33"/>
      <c r="J258" s="33"/>
      <c r="K258" s="33"/>
      <c r="L258" s="33">
        <f>E258+F258+G258+H258+I258+J258+K258</f>
        <v>83788</v>
      </c>
      <c r="M258" s="34">
        <v>83788</v>
      </c>
      <c r="N258" s="34">
        <f>ROUND(M258,0)</f>
        <v>83788</v>
      </c>
      <c r="O258" s="33">
        <f t="shared" si="101"/>
        <v>0</v>
      </c>
      <c r="P258" s="51"/>
      <c r="Q258" s="33">
        <f>ROUND(N258,0)</f>
        <v>83788</v>
      </c>
      <c r="R258" s="33">
        <f t="shared" si="102"/>
        <v>0</v>
      </c>
      <c r="S258" s="51"/>
      <c r="T258" s="33">
        <f>ROUND(Q258,0)+1240</f>
        <v>85028</v>
      </c>
      <c r="U258" s="33">
        <f t="shared" si="103"/>
        <v>1240</v>
      </c>
      <c r="V258" s="51" t="s">
        <v>154</v>
      </c>
      <c r="W258" s="33">
        <f>ROUND(T258,0)</f>
        <v>85028</v>
      </c>
      <c r="X258" s="33">
        <f t="shared" si="104"/>
        <v>0</v>
      </c>
      <c r="Y258" s="51"/>
      <c r="Z258" s="33">
        <f>ROUND(W258,0)+9402</f>
        <v>94430</v>
      </c>
      <c r="AA258" s="33">
        <f t="shared" si="105"/>
        <v>9402</v>
      </c>
      <c r="AB258" s="51" t="s">
        <v>141</v>
      </c>
    </row>
    <row r="259" spans="2:28" s="140" customFormat="1" ht="12.6" customHeight="1" x14ac:dyDescent="0.25">
      <c r="B259" s="219" t="s">
        <v>656</v>
      </c>
      <c r="C259" s="225" t="s">
        <v>657</v>
      </c>
      <c r="D259" s="112" t="s">
        <v>658</v>
      </c>
      <c r="E259" s="33"/>
      <c r="F259" s="33"/>
      <c r="G259" s="33"/>
      <c r="H259" s="33"/>
      <c r="I259" s="33"/>
      <c r="J259" s="33"/>
      <c r="K259" s="33">
        <f>[4]PIVOT_2023!H273</f>
        <v>311541.28034260002</v>
      </c>
      <c r="L259" s="33">
        <f>E259+F259+G259+H259+I259+J259+K259</f>
        <v>311541.28034260002</v>
      </c>
      <c r="M259" s="34">
        <v>311541.28034260002</v>
      </c>
      <c r="N259" s="34">
        <f>ROUND(M259,0)</f>
        <v>311541</v>
      </c>
      <c r="O259" s="33">
        <f t="shared" si="101"/>
        <v>-0.28034260001732036</v>
      </c>
      <c r="P259" s="35"/>
      <c r="Q259" s="33">
        <f>ROUND(N259,0)</f>
        <v>311541</v>
      </c>
      <c r="R259" s="33">
        <f t="shared" si="102"/>
        <v>0</v>
      </c>
      <c r="S259" s="35"/>
      <c r="T259" s="33">
        <f>ROUND(Q259,0)</f>
        <v>311541</v>
      </c>
      <c r="U259" s="33">
        <f t="shared" si="103"/>
        <v>0</v>
      </c>
      <c r="V259" s="35"/>
      <c r="W259" s="33">
        <f>ROUND(T259,0)</f>
        <v>311541</v>
      </c>
      <c r="X259" s="33">
        <f t="shared" si="104"/>
        <v>0</v>
      </c>
      <c r="Y259" s="35"/>
      <c r="Z259" s="33">
        <f>ROUND(W259,0)</f>
        <v>311541</v>
      </c>
      <c r="AA259" s="33">
        <f t="shared" si="105"/>
        <v>0</v>
      </c>
      <c r="AB259" s="35"/>
    </row>
    <row r="260" spans="2:28" ht="18" customHeight="1" x14ac:dyDescent="0.25">
      <c r="C260" s="213" t="s">
        <v>659</v>
      </c>
      <c r="D260" s="159" t="s">
        <v>660</v>
      </c>
      <c r="E260" s="160">
        <f>E261+E262</f>
        <v>0</v>
      </c>
      <c r="F260" s="160">
        <f t="shared" ref="F260:N260" si="134">F261+F262</f>
        <v>593640</v>
      </c>
      <c r="G260" s="160">
        <f t="shared" si="134"/>
        <v>0</v>
      </c>
      <c r="H260" s="160">
        <f t="shared" si="134"/>
        <v>0</v>
      </c>
      <c r="I260" s="160">
        <f t="shared" si="134"/>
        <v>0</v>
      </c>
      <c r="J260" s="160">
        <f t="shared" si="134"/>
        <v>6000</v>
      </c>
      <c r="K260" s="160">
        <f t="shared" si="134"/>
        <v>889452.98177700012</v>
      </c>
      <c r="L260" s="160">
        <f t="shared" si="134"/>
        <v>1489092.9817770002</v>
      </c>
      <c r="M260" s="161">
        <v>1489092.9817770002</v>
      </c>
      <c r="N260" s="161">
        <f t="shared" si="134"/>
        <v>1541382</v>
      </c>
      <c r="O260" s="160">
        <f t="shared" si="101"/>
        <v>52289.018222999759</v>
      </c>
      <c r="P260" s="160"/>
      <c r="Q260" s="160">
        <f>Q261+Q262</f>
        <v>1541382</v>
      </c>
      <c r="R260" s="160">
        <f t="shared" si="102"/>
        <v>0</v>
      </c>
      <c r="S260" s="160"/>
      <c r="T260" s="160">
        <f>T261+T262</f>
        <v>1541382</v>
      </c>
      <c r="U260" s="160">
        <f t="shared" si="103"/>
        <v>0</v>
      </c>
      <c r="V260" s="160"/>
      <c r="W260" s="160">
        <f>W261+W262</f>
        <v>1541382</v>
      </c>
      <c r="X260" s="160">
        <f t="shared" si="104"/>
        <v>0</v>
      </c>
      <c r="Y260" s="160"/>
      <c r="Z260" s="160">
        <f>Z261+Z262</f>
        <v>1570960</v>
      </c>
      <c r="AA260" s="160">
        <f t="shared" si="105"/>
        <v>29578</v>
      </c>
      <c r="AB260" s="160"/>
    </row>
    <row r="261" spans="2:28" ht="13.5" customHeight="1" x14ac:dyDescent="0.25">
      <c r="C261" s="157" t="s">
        <v>661</v>
      </c>
      <c r="D261" s="112" t="s">
        <v>662</v>
      </c>
      <c r="E261" s="33">
        <f>E46</f>
        <v>0</v>
      </c>
      <c r="F261" s="208">
        <f>F46</f>
        <v>593640</v>
      </c>
      <c r="G261" s="33"/>
      <c r="H261" s="33"/>
      <c r="I261" s="33"/>
      <c r="J261" s="33"/>
      <c r="K261" s="33"/>
      <c r="L261" s="33">
        <f>E261+F261+G261+H261+I261+J261+K261</f>
        <v>593640</v>
      </c>
      <c r="M261" s="34">
        <v>593640</v>
      </c>
      <c r="N261" s="34">
        <f>ROUND(M261,0)+52289</f>
        <v>645929</v>
      </c>
      <c r="O261" s="33">
        <f t="shared" ref="O261:O280" si="135">N261-M261</f>
        <v>52289</v>
      </c>
      <c r="P261" s="51" t="s">
        <v>140</v>
      </c>
      <c r="Q261" s="33">
        <f>ROUND(N261,0)</f>
        <v>645929</v>
      </c>
      <c r="R261" s="33">
        <f t="shared" si="102"/>
        <v>0</v>
      </c>
      <c r="S261" s="51"/>
      <c r="T261" s="33">
        <f>ROUND(Q261,0)</f>
        <v>645929</v>
      </c>
      <c r="U261" s="33">
        <f t="shared" si="103"/>
        <v>0</v>
      </c>
      <c r="V261" s="51"/>
      <c r="W261" s="33">
        <f>ROUND(T261,0)</f>
        <v>645929</v>
      </c>
      <c r="X261" s="33">
        <f t="shared" si="104"/>
        <v>0</v>
      </c>
      <c r="Y261" s="51"/>
      <c r="Z261" s="33">
        <f>ROUND(W261,0)+29578</f>
        <v>675507</v>
      </c>
      <c r="AA261" s="33">
        <f t="shared" si="105"/>
        <v>29578</v>
      </c>
      <c r="AB261" s="51" t="s">
        <v>141</v>
      </c>
    </row>
    <row r="262" spans="2:28" ht="28.95" customHeight="1" x14ac:dyDescent="0.25">
      <c r="C262" s="157" t="s">
        <v>663</v>
      </c>
      <c r="D262" s="112" t="s">
        <v>574</v>
      </c>
      <c r="E262" s="33"/>
      <c r="F262" s="33"/>
      <c r="G262" s="33"/>
      <c r="H262" s="33"/>
      <c r="I262" s="33"/>
      <c r="J262" s="33">
        <f>[4]Pivot_invest_2023!E75</f>
        <v>6000</v>
      </c>
      <c r="K262" s="33">
        <f>[4]PIVOT_2023!H313</f>
        <v>889452.98177700012</v>
      </c>
      <c r="L262" s="33">
        <f>E262+F262+G262+H262+I262+J262+K262</f>
        <v>895452.98177700012</v>
      </c>
      <c r="M262" s="34">
        <v>895452.98177700012</v>
      </c>
      <c r="N262" s="34">
        <f>ROUND(M262,0)</f>
        <v>895453</v>
      </c>
      <c r="O262" s="33">
        <f t="shared" si="135"/>
        <v>1.8222999875433743E-2</v>
      </c>
      <c r="P262" s="226"/>
      <c r="Q262" s="33">
        <f>ROUND(N262,0)</f>
        <v>895453</v>
      </c>
      <c r="R262" s="33">
        <f t="shared" ref="R262:R280" si="136">Q262-N262</f>
        <v>0</v>
      </c>
      <c r="S262" s="226"/>
      <c r="T262" s="33">
        <f>ROUND(Q262,0)</f>
        <v>895453</v>
      </c>
      <c r="U262" s="33">
        <f t="shared" ref="U262:U280" si="137">T262-Q262</f>
        <v>0</v>
      </c>
      <c r="V262" s="226"/>
      <c r="W262" s="33">
        <f>ROUND(T262,0)</f>
        <v>895453</v>
      </c>
      <c r="X262" s="33">
        <f t="shared" ref="X262:X280" si="138">W262-T262</f>
        <v>0</v>
      </c>
      <c r="Y262" s="226"/>
      <c r="Z262" s="33">
        <f>ROUND(W262,0)</f>
        <v>895453</v>
      </c>
      <c r="AA262" s="33">
        <f t="shared" ref="AA262:AA280" si="139">Z262-W262</f>
        <v>0</v>
      </c>
      <c r="AB262" s="226"/>
    </row>
    <row r="263" spans="2:28" ht="16.2" customHeight="1" x14ac:dyDescent="0.25">
      <c r="C263" s="227" t="s">
        <v>664</v>
      </c>
      <c r="D263" s="159" t="s">
        <v>665</v>
      </c>
      <c r="E263" s="160">
        <f t="shared" ref="E263:L263" si="140">E264+E265</f>
        <v>20</v>
      </c>
      <c r="F263" s="160">
        <f t="shared" si="140"/>
        <v>299288</v>
      </c>
      <c r="G263" s="160">
        <f t="shared" si="140"/>
        <v>0</v>
      </c>
      <c r="H263" s="160">
        <f t="shared" si="140"/>
        <v>0</v>
      </c>
      <c r="I263" s="160">
        <f>I264+I265</f>
        <v>0</v>
      </c>
      <c r="J263" s="160">
        <f t="shared" si="140"/>
        <v>0</v>
      </c>
      <c r="K263" s="160">
        <f t="shared" si="140"/>
        <v>343948.80554049998</v>
      </c>
      <c r="L263" s="160">
        <f t="shared" si="140"/>
        <v>643256.80554049998</v>
      </c>
      <c r="M263" s="161">
        <v>643256.80554049998</v>
      </c>
      <c r="N263" s="161">
        <f>N264+N265</f>
        <v>643257</v>
      </c>
      <c r="O263" s="160">
        <f t="shared" si="135"/>
        <v>0.19445950002409518</v>
      </c>
      <c r="P263" s="174"/>
      <c r="Q263" s="160">
        <f>Q264+Q265</f>
        <v>643257</v>
      </c>
      <c r="R263" s="160">
        <f t="shared" si="136"/>
        <v>0</v>
      </c>
      <c r="S263" s="174"/>
      <c r="T263" s="160">
        <f>T264+T265</f>
        <v>643257</v>
      </c>
      <c r="U263" s="160">
        <f t="shared" si="137"/>
        <v>0</v>
      </c>
      <c r="V263" s="174"/>
      <c r="W263" s="160">
        <f>W264+W265</f>
        <v>643257</v>
      </c>
      <c r="X263" s="160">
        <f t="shared" si="138"/>
        <v>0</v>
      </c>
      <c r="Y263" s="174"/>
      <c r="Z263" s="160">
        <f>Z264+Z265</f>
        <v>656559</v>
      </c>
      <c r="AA263" s="160">
        <f t="shared" si="139"/>
        <v>13302</v>
      </c>
      <c r="AB263" s="174"/>
    </row>
    <row r="264" spans="2:28" ht="33" customHeight="1" x14ac:dyDescent="0.25">
      <c r="B264" s="66" t="s">
        <v>666</v>
      </c>
      <c r="C264" s="157" t="s">
        <v>667</v>
      </c>
      <c r="D264" s="112" t="s">
        <v>662</v>
      </c>
      <c r="E264" s="208">
        <f>E47</f>
        <v>20</v>
      </c>
      <c r="F264" s="208">
        <f>F47</f>
        <v>299288</v>
      </c>
      <c r="G264" s="33"/>
      <c r="H264" s="33"/>
      <c r="I264" s="33"/>
      <c r="J264" s="33"/>
      <c r="K264" s="33"/>
      <c r="L264" s="33">
        <f t="shared" ref="L264:L270" si="141">E264+F264+G264+H264+I264+J264+K264</f>
        <v>299308</v>
      </c>
      <c r="M264" s="34">
        <v>299308</v>
      </c>
      <c r="N264" s="34">
        <f t="shared" ref="N264:N270" si="142">ROUND(M264,0)</f>
        <v>299308</v>
      </c>
      <c r="O264" s="33">
        <f t="shared" si="135"/>
        <v>0</v>
      </c>
      <c r="P264" s="35"/>
      <c r="Q264" s="33">
        <f t="shared" ref="Q264:Q270" si="143">ROUND(N264,0)</f>
        <v>299308</v>
      </c>
      <c r="R264" s="33">
        <f t="shared" si="136"/>
        <v>0</v>
      </c>
      <c r="S264" s="35"/>
      <c r="T264" s="33">
        <f t="shared" ref="T264:T270" si="144">ROUND(Q264,0)</f>
        <v>299308</v>
      </c>
      <c r="U264" s="33">
        <f t="shared" si="137"/>
        <v>0</v>
      </c>
      <c r="V264" s="35"/>
      <c r="W264" s="33">
        <f t="shared" ref="W264:W270" si="145">ROUND(T264,0)</f>
        <v>299308</v>
      </c>
      <c r="X264" s="33">
        <f t="shared" si="138"/>
        <v>0</v>
      </c>
      <c r="Y264" s="35"/>
      <c r="Z264" s="33">
        <f>ROUND(W264,0)+13302</f>
        <v>312610</v>
      </c>
      <c r="AA264" s="33">
        <f t="shared" si="139"/>
        <v>13302</v>
      </c>
      <c r="AB264" s="51" t="s">
        <v>145</v>
      </c>
    </row>
    <row r="265" spans="2:28" ht="16.5" customHeight="1" x14ac:dyDescent="0.25">
      <c r="B265" s="66" t="s">
        <v>668</v>
      </c>
      <c r="C265" s="157" t="s">
        <v>669</v>
      </c>
      <c r="D265" s="112" t="s">
        <v>670</v>
      </c>
      <c r="E265" s="33"/>
      <c r="F265" s="33"/>
      <c r="G265" s="33"/>
      <c r="H265" s="33"/>
      <c r="I265" s="33"/>
      <c r="J265" s="33"/>
      <c r="K265" s="33">
        <f>[4]PIVOT_2023!H320</f>
        <v>343948.80554049998</v>
      </c>
      <c r="L265" s="33">
        <f t="shared" si="141"/>
        <v>343948.80554049998</v>
      </c>
      <c r="M265" s="34">
        <v>343948.80554049998</v>
      </c>
      <c r="N265" s="34">
        <f t="shared" si="142"/>
        <v>343949</v>
      </c>
      <c r="O265" s="33">
        <f t="shared" si="135"/>
        <v>0.19445950002409518</v>
      </c>
      <c r="P265" s="51"/>
      <c r="Q265" s="33">
        <f t="shared" si="143"/>
        <v>343949</v>
      </c>
      <c r="R265" s="33">
        <f t="shared" si="136"/>
        <v>0</v>
      </c>
      <c r="S265" s="51"/>
      <c r="T265" s="33">
        <f t="shared" si="144"/>
        <v>343949</v>
      </c>
      <c r="U265" s="33">
        <f t="shared" si="137"/>
        <v>0</v>
      </c>
      <c r="V265" s="51"/>
      <c r="W265" s="33">
        <f t="shared" si="145"/>
        <v>343949</v>
      </c>
      <c r="X265" s="33">
        <f t="shared" si="138"/>
        <v>0</v>
      </c>
      <c r="Y265" s="51"/>
      <c r="Z265" s="33">
        <f t="shared" ref="Z265:Z270" si="146">ROUND(W265,0)</f>
        <v>343949</v>
      </c>
      <c r="AA265" s="33">
        <f t="shared" si="139"/>
        <v>0</v>
      </c>
      <c r="AB265" s="51"/>
    </row>
    <row r="266" spans="2:28" ht="46.2" customHeight="1" x14ac:dyDescent="0.25">
      <c r="B266" s="66" t="s">
        <v>671</v>
      </c>
      <c r="C266" s="227" t="s">
        <v>672</v>
      </c>
      <c r="D266" s="159" t="s">
        <v>673</v>
      </c>
      <c r="E266" s="201">
        <f>606</f>
        <v>606</v>
      </c>
      <c r="F266" s="201"/>
      <c r="G266" s="201"/>
      <c r="H266" s="201"/>
      <c r="I266" s="201"/>
      <c r="J266" s="201">
        <f>[4]Pivot_invest_2023!E51+[4]Pivot_invest_2023!E73-J267</f>
        <v>89935</v>
      </c>
      <c r="K266" s="56">
        <f>[4]PIVOT_2023!H326</f>
        <v>225484.5193245</v>
      </c>
      <c r="L266" s="56">
        <f t="shared" si="141"/>
        <v>316025.5193245</v>
      </c>
      <c r="M266" s="71">
        <v>316025.5193245</v>
      </c>
      <c r="N266" s="71">
        <f t="shared" si="142"/>
        <v>316026</v>
      </c>
      <c r="O266" s="56">
        <f t="shared" si="135"/>
        <v>0.48067550000268966</v>
      </c>
      <c r="P266" s="72"/>
      <c r="Q266" s="56">
        <f t="shared" si="143"/>
        <v>316026</v>
      </c>
      <c r="R266" s="56">
        <f t="shared" si="136"/>
        <v>0</v>
      </c>
      <c r="S266" s="72"/>
      <c r="T266" s="56">
        <f t="shared" si="144"/>
        <v>316026</v>
      </c>
      <c r="U266" s="56">
        <f t="shared" si="137"/>
        <v>0</v>
      </c>
      <c r="V266" s="72"/>
      <c r="W266" s="56">
        <f>ROUND(T266,0)+9820</f>
        <v>325846</v>
      </c>
      <c r="X266" s="56">
        <f t="shared" si="138"/>
        <v>9820</v>
      </c>
      <c r="Y266" s="72" t="s">
        <v>530</v>
      </c>
      <c r="Z266" s="56">
        <f t="shared" si="146"/>
        <v>325846</v>
      </c>
      <c r="AA266" s="56">
        <f t="shared" si="139"/>
        <v>0</v>
      </c>
      <c r="AB266" s="72"/>
    </row>
    <row r="267" spans="2:28" ht="32.4" customHeight="1" x14ac:dyDescent="0.25">
      <c r="B267" s="66"/>
      <c r="C267" s="227" t="s">
        <v>674</v>
      </c>
      <c r="D267" s="159" t="s">
        <v>675</v>
      </c>
      <c r="E267" s="201"/>
      <c r="F267" s="201"/>
      <c r="G267" s="201"/>
      <c r="H267" s="201"/>
      <c r="I267" s="201"/>
      <c r="J267" s="201">
        <v>3000</v>
      </c>
      <c r="K267" s="56"/>
      <c r="L267" s="56">
        <f t="shared" si="141"/>
        <v>3000</v>
      </c>
      <c r="M267" s="71">
        <v>3000</v>
      </c>
      <c r="N267" s="71">
        <f t="shared" si="142"/>
        <v>3000</v>
      </c>
      <c r="O267" s="56"/>
      <c r="P267" s="72"/>
      <c r="Q267" s="56">
        <f t="shared" si="143"/>
        <v>3000</v>
      </c>
      <c r="R267" s="56">
        <f t="shared" si="136"/>
        <v>0</v>
      </c>
      <c r="S267" s="72"/>
      <c r="T267" s="56">
        <f t="shared" si="144"/>
        <v>3000</v>
      </c>
      <c r="U267" s="56">
        <f t="shared" si="137"/>
        <v>0</v>
      </c>
      <c r="V267" s="72"/>
      <c r="W267" s="56">
        <f t="shared" si="145"/>
        <v>3000</v>
      </c>
      <c r="X267" s="56">
        <f t="shared" si="138"/>
        <v>0</v>
      </c>
      <c r="Y267" s="72"/>
      <c r="Z267" s="56">
        <f t="shared" si="146"/>
        <v>3000</v>
      </c>
      <c r="AA267" s="56">
        <f t="shared" si="139"/>
        <v>0</v>
      </c>
      <c r="AB267" s="72"/>
    </row>
    <row r="268" spans="2:28" ht="31.95" customHeight="1" x14ac:dyDescent="0.25">
      <c r="B268" s="66" t="s">
        <v>676</v>
      </c>
      <c r="C268" s="227" t="s">
        <v>677</v>
      </c>
      <c r="D268" s="159" t="s">
        <v>678</v>
      </c>
      <c r="E268" s="201">
        <f>E79</f>
        <v>16292</v>
      </c>
      <c r="F268" s="201"/>
      <c r="G268" s="201"/>
      <c r="H268" s="201"/>
      <c r="I268" s="201"/>
      <c r="J268" s="201">
        <f>[4]Pivot_invest_2023!E17-SUM(E268:I268)</f>
        <v>0</v>
      </c>
      <c r="K268" s="201"/>
      <c r="L268" s="56">
        <f t="shared" si="141"/>
        <v>16292</v>
      </c>
      <c r="M268" s="71">
        <v>16292</v>
      </c>
      <c r="N268" s="71">
        <f t="shared" si="142"/>
        <v>16292</v>
      </c>
      <c r="O268" s="56">
        <f t="shared" si="135"/>
        <v>0</v>
      </c>
      <c r="P268" s="72"/>
      <c r="Q268" s="56">
        <f t="shared" si="143"/>
        <v>16292</v>
      </c>
      <c r="R268" s="56">
        <f t="shared" si="136"/>
        <v>0</v>
      </c>
      <c r="S268" s="72"/>
      <c r="T268" s="56">
        <f t="shared" si="144"/>
        <v>16292</v>
      </c>
      <c r="U268" s="56">
        <f t="shared" si="137"/>
        <v>0</v>
      </c>
      <c r="V268" s="72"/>
      <c r="W268" s="56">
        <f t="shared" si="145"/>
        <v>16292</v>
      </c>
      <c r="X268" s="56">
        <f t="shared" si="138"/>
        <v>0</v>
      </c>
      <c r="Y268" s="72"/>
      <c r="Z268" s="56">
        <f t="shared" si="146"/>
        <v>16292</v>
      </c>
      <c r="AA268" s="56">
        <f t="shared" si="139"/>
        <v>0</v>
      </c>
      <c r="AB268" s="72"/>
    </row>
    <row r="269" spans="2:28" ht="27" customHeight="1" x14ac:dyDescent="0.25">
      <c r="B269" s="66" t="s">
        <v>679</v>
      </c>
      <c r="C269" s="227" t="s">
        <v>680</v>
      </c>
      <c r="D269" s="159" t="s">
        <v>232</v>
      </c>
      <c r="E269" s="201">
        <f>E78</f>
        <v>1049</v>
      </c>
      <c r="F269" s="201"/>
      <c r="G269" s="201"/>
      <c r="H269" s="201"/>
      <c r="I269" s="201"/>
      <c r="J269" s="201">
        <f>[4]Pivot_invest_2023!E18-SUM(E269:I269)</f>
        <v>0</v>
      </c>
      <c r="K269" s="201"/>
      <c r="L269" s="56">
        <f t="shared" si="141"/>
        <v>1049</v>
      </c>
      <c r="M269" s="71">
        <v>1049</v>
      </c>
      <c r="N269" s="71">
        <f t="shared" si="142"/>
        <v>1049</v>
      </c>
      <c r="O269" s="56">
        <f t="shared" si="135"/>
        <v>0</v>
      </c>
      <c r="P269" s="72"/>
      <c r="Q269" s="56">
        <f t="shared" si="143"/>
        <v>1049</v>
      </c>
      <c r="R269" s="56">
        <f t="shared" si="136"/>
        <v>0</v>
      </c>
      <c r="S269" s="72"/>
      <c r="T269" s="56">
        <f t="shared" si="144"/>
        <v>1049</v>
      </c>
      <c r="U269" s="56">
        <f t="shared" si="137"/>
        <v>0</v>
      </c>
      <c r="V269" s="72"/>
      <c r="W269" s="56">
        <f t="shared" si="145"/>
        <v>1049</v>
      </c>
      <c r="X269" s="56">
        <f t="shared" si="138"/>
        <v>0</v>
      </c>
      <c r="Y269" s="72"/>
      <c r="Z269" s="56">
        <f t="shared" si="146"/>
        <v>1049</v>
      </c>
      <c r="AA269" s="56">
        <f t="shared" si="139"/>
        <v>0</v>
      </c>
      <c r="AB269" s="72"/>
    </row>
    <row r="270" spans="2:28" ht="57.6" customHeight="1" x14ac:dyDescent="0.25">
      <c r="B270" s="66" t="s">
        <v>681</v>
      </c>
      <c r="C270" s="227" t="s">
        <v>682</v>
      </c>
      <c r="D270" s="159" t="s">
        <v>683</v>
      </c>
      <c r="E270" s="201">
        <f>E63</f>
        <v>6300</v>
      </c>
      <c r="F270" s="201"/>
      <c r="G270" s="201"/>
      <c r="H270" s="201"/>
      <c r="I270" s="201"/>
      <c r="J270" s="201">
        <f>[4]Pivot_invest_2023!E19-SUM(E270:I270)</f>
        <v>700</v>
      </c>
      <c r="K270" s="201"/>
      <c r="L270" s="56">
        <f t="shared" si="141"/>
        <v>7000</v>
      </c>
      <c r="M270" s="71">
        <v>7000</v>
      </c>
      <c r="N270" s="71">
        <f t="shared" si="142"/>
        <v>7000</v>
      </c>
      <c r="O270" s="56">
        <f t="shared" si="135"/>
        <v>0</v>
      </c>
      <c r="P270" s="72"/>
      <c r="Q270" s="56">
        <f t="shared" si="143"/>
        <v>7000</v>
      </c>
      <c r="R270" s="56">
        <f t="shared" si="136"/>
        <v>0</v>
      </c>
      <c r="S270" s="72"/>
      <c r="T270" s="56">
        <f t="shared" si="144"/>
        <v>7000</v>
      </c>
      <c r="U270" s="56">
        <f t="shared" si="137"/>
        <v>0</v>
      </c>
      <c r="V270" s="72"/>
      <c r="W270" s="56">
        <f t="shared" si="145"/>
        <v>7000</v>
      </c>
      <c r="X270" s="56">
        <f t="shared" si="138"/>
        <v>0</v>
      </c>
      <c r="Y270" s="72"/>
      <c r="Z270" s="56">
        <f t="shared" si="146"/>
        <v>7000</v>
      </c>
      <c r="AA270" s="56">
        <f t="shared" si="139"/>
        <v>0</v>
      </c>
      <c r="AB270" s="72"/>
    </row>
    <row r="271" spans="2:28" ht="27" customHeight="1" x14ac:dyDescent="0.25">
      <c r="C271" s="213" t="s">
        <v>684</v>
      </c>
      <c r="D271" s="159" t="s">
        <v>220</v>
      </c>
      <c r="E271" s="201">
        <f>E272+E273</f>
        <v>24529</v>
      </c>
      <c r="F271" s="201">
        <f t="shared" ref="F271:L271" si="147">F272+F273</f>
        <v>0</v>
      </c>
      <c r="G271" s="201">
        <f t="shared" si="147"/>
        <v>81714</v>
      </c>
      <c r="H271" s="201">
        <f t="shared" si="147"/>
        <v>0</v>
      </c>
      <c r="I271" s="201">
        <f>I272+I273</f>
        <v>0</v>
      </c>
      <c r="J271" s="201">
        <f t="shared" si="147"/>
        <v>0</v>
      </c>
      <c r="K271" s="201">
        <f t="shared" si="147"/>
        <v>0</v>
      </c>
      <c r="L271" s="201">
        <f t="shared" si="147"/>
        <v>106243</v>
      </c>
      <c r="M271" s="202">
        <v>106243</v>
      </c>
      <c r="N271" s="202">
        <f>N272+N273</f>
        <v>106243</v>
      </c>
      <c r="O271" s="56">
        <f t="shared" si="135"/>
        <v>0</v>
      </c>
      <c r="P271" s="72"/>
      <c r="Q271" s="201">
        <f>Q272+Q273</f>
        <v>106243</v>
      </c>
      <c r="R271" s="56">
        <f t="shared" si="136"/>
        <v>0</v>
      </c>
      <c r="S271" s="72"/>
      <c r="T271" s="201">
        <f>T272+T273</f>
        <v>106243</v>
      </c>
      <c r="U271" s="56">
        <f t="shared" si="137"/>
        <v>0</v>
      </c>
      <c r="V271" s="72"/>
      <c r="W271" s="201">
        <f>W272+W273</f>
        <v>106243</v>
      </c>
      <c r="X271" s="56">
        <f t="shared" si="138"/>
        <v>0</v>
      </c>
      <c r="Y271" s="72"/>
      <c r="Z271" s="201">
        <f>Z272+Z273</f>
        <v>106243</v>
      </c>
      <c r="AA271" s="56">
        <f t="shared" si="139"/>
        <v>0</v>
      </c>
      <c r="AB271" s="72"/>
    </row>
    <row r="272" spans="2:28" ht="14.4" customHeight="1" x14ac:dyDescent="0.25">
      <c r="B272" s="66" t="s">
        <v>685</v>
      </c>
      <c r="C272" s="157" t="s">
        <v>686</v>
      </c>
      <c r="D272" s="112" t="s">
        <v>687</v>
      </c>
      <c r="E272" s="33">
        <f>E73</f>
        <v>24529</v>
      </c>
      <c r="F272" s="33"/>
      <c r="G272" s="33">
        <f>70943-E272</f>
        <v>46414</v>
      </c>
      <c r="H272" s="33"/>
      <c r="I272" s="33"/>
      <c r="J272" s="33">
        <f>[4]Pivot_invest_2023!E22-SUM(E272:I272)</f>
        <v>0</v>
      </c>
      <c r="K272" s="33"/>
      <c r="L272" s="33">
        <f>E272+F272+G272+H272+I272+J272+K272</f>
        <v>70943</v>
      </c>
      <c r="M272" s="34">
        <v>70943</v>
      </c>
      <c r="N272" s="34">
        <f>ROUND(M272,0)</f>
        <v>70943</v>
      </c>
      <c r="O272" s="33">
        <f t="shared" si="135"/>
        <v>0</v>
      </c>
      <c r="P272" s="51"/>
      <c r="Q272" s="33">
        <f>ROUND(N272,0)</f>
        <v>70943</v>
      </c>
      <c r="R272" s="33">
        <f t="shared" si="136"/>
        <v>0</v>
      </c>
      <c r="S272" s="51"/>
      <c r="T272" s="33">
        <f>ROUND(Q272,0)</f>
        <v>70943</v>
      </c>
      <c r="U272" s="33">
        <f t="shared" si="137"/>
        <v>0</v>
      </c>
      <c r="V272" s="51"/>
      <c r="W272" s="33">
        <f>ROUND(T272,0)</f>
        <v>70943</v>
      </c>
      <c r="X272" s="33">
        <f t="shared" si="138"/>
        <v>0</v>
      </c>
      <c r="Y272" s="51"/>
      <c r="Z272" s="33">
        <f>ROUND(W272,0)</f>
        <v>70943</v>
      </c>
      <c r="AA272" s="33">
        <f t="shared" si="139"/>
        <v>0</v>
      </c>
      <c r="AB272" s="51"/>
    </row>
    <row r="273" spans="2:28" s="140" customFormat="1" ht="15" customHeight="1" thickBot="1" x14ac:dyDescent="0.3">
      <c r="B273" s="66" t="s">
        <v>688</v>
      </c>
      <c r="C273" s="157" t="s">
        <v>689</v>
      </c>
      <c r="D273" s="112" t="s">
        <v>690</v>
      </c>
      <c r="E273" s="33"/>
      <c r="F273" s="33"/>
      <c r="G273" s="33">
        <f>35300-E273</f>
        <v>35300</v>
      </c>
      <c r="H273" s="33"/>
      <c r="I273" s="33"/>
      <c r="J273" s="33">
        <f>[4]Pivot_invest_2023!E25-SUM(E273:I273)</f>
        <v>0</v>
      </c>
      <c r="K273" s="33"/>
      <c r="L273" s="33">
        <f>E273+F273+G273+H273+I273+J273+K273</f>
        <v>35300</v>
      </c>
      <c r="M273" s="34">
        <v>35300</v>
      </c>
      <c r="N273" s="34">
        <f>ROUND(M273,0)</f>
        <v>35300</v>
      </c>
      <c r="O273" s="33">
        <f t="shared" si="135"/>
        <v>0</v>
      </c>
      <c r="P273" s="51"/>
      <c r="Q273" s="33">
        <f>ROUND(N273,0)</f>
        <v>35300</v>
      </c>
      <c r="R273" s="33">
        <f t="shared" si="136"/>
        <v>0</v>
      </c>
      <c r="S273" s="51"/>
      <c r="T273" s="33">
        <f>ROUND(Q273,0)</f>
        <v>35300</v>
      </c>
      <c r="U273" s="33">
        <f t="shared" si="137"/>
        <v>0</v>
      </c>
      <c r="V273" s="51"/>
      <c r="W273" s="33">
        <f>ROUND(T273,0)</f>
        <v>35300</v>
      </c>
      <c r="X273" s="33">
        <f t="shared" si="138"/>
        <v>0</v>
      </c>
      <c r="Y273" s="51"/>
      <c r="Z273" s="33">
        <f>ROUND(W273,0)</f>
        <v>35300</v>
      </c>
      <c r="AA273" s="33">
        <f t="shared" si="139"/>
        <v>0</v>
      </c>
      <c r="AB273" s="51"/>
    </row>
    <row r="274" spans="2:28" s="140" customFormat="1" ht="17.399999999999999" hidden="1" customHeight="1" outlineLevel="1" thickBot="1" x14ac:dyDescent="0.3">
      <c r="C274" s="153" t="s">
        <v>691</v>
      </c>
      <c r="D274" s="154" t="s">
        <v>692</v>
      </c>
      <c r="E274" s="39">
        <f t="shared" ref="E274:L274" si="148">SUM(E275:E276)</f>
        <v>0</v>
      </c>
      <c r="F274" s="39">
        <f t="shared" si="148"/>
        <v>0</v>
      </c>
      <c r="G274" s="39">
        <f t="shared" si="148"/>
        <v>0</v>
      </c>
      <c r="H274" s="39">
        <f t="shared" si="148"/>
        <v>0</v>
      </c>
      <c r="I274" s="39">
        <f>SUM(I275:I276)</f>
        <v>0</v>
      </c>
      <c r="J274" s="39">
        <f t="shared" si="148"/>
        <v>0</v>
      </c>
      <c r="K274" s="39">
        <f t="shared" si="148"/>
        <v>0</v>
      </c>
      <c r="L274" s="39">
        <f t="shared" si="148"/>
        <v>0</v>
      </c>
      <c r="M274" s="40">
        <v>0</v>
      </c>
      <c r="N274" s="40">
        <f>SUM(N275:N276)</f>
        <v>0</v>
      </c>
      <c r="O274" s="39">
        <f t="shared" si="135"/>
        <v>0</v>
      </c>
      <c r="P274" s="41"/>
      <c r="Q274" s="39">
        <f>SUM(Q275:Q276)</f>
        <v>0</v>
      </c>
      <c r="R274" s="39">
        <f t="shared" si="136"/>
        <v>0</v>
      </c>
      <c r="S274" s="41"/>
      <c r="T274" s="39">
        <f>SUM(T275:T276)</f>
        <v>0</v>
      </c>
      <c r="U274" s="39">
        <f t="shared" si="137"/>
        <v>0</v>
      </c>
      <c r="V274" s="41"/>
      <c r="W274" s="39">
        <f>SUM(W275:W276)</f>
        <v>0</v>
      </c>
      <c r="X274" s="39">
        <f t="shared" si="138"/>
        <v>0</v>
      </c>
      <c r="Y274" s="41"/>
      <c r="Z274" s="39">
        <f>SUM(Z275:Z276)</f>
        <v>0</v>
      </c>
      <c r="AA274" s="39">
        <f t="shared" si="139"/>
        <v>0</v>
      </c>
      <c r="AB274" s="41"/>
    </row>
    <row r="275" spans="2:28" ht="17.25" hidden="1" customHeight="1" outlineLevel="1" thickBot="1" x14ac:dyDescent="0.3">
      <c r="C275" s="148" t="s">
        <v>134</v>
      </c>
      <c r="D275" s="149" t="s">
        <v>693</v>
      </c>
      <c r="E275" s="56"/>
      <c r="F275" s="56"/>
      <c r="G275" s="56"/>
      <c r="H275" s="56"/>
      <c r="I275" s="56"/>
      <c r="J275" s="160"/>
      <c r="K275" s="56"/>
      <c r="L275" s="56">
        <f>E275+F275+G275+H275+I275+J275+K275</f>
        <v>0</v>
      </c>
      <c r="M275" s="71"/>
      <c r="N275" s="71"/>
      <c r="O275" s="56">
        <f t="shared" si="135"/>
        <v>0</v>
      </c>
      <c r="P275" s="72"/>
      <c r="Q275" s="56"/>
      <c r="R275" s="56">
        <f t="shared" si="136"/>
        <v>0</v>
      </c>
      <c r="S275" s="72"/>
      <c r="T275" s="56"/>
      <c r="U275" s="56">
        <f t="shared" si="137"/>
        <v>0</v>
      </c>
      <c r="V275" s="72"/>
      <c r="W275" s="56"/>
      <c r="X275" s="56">
        <f t="shared" si="138"/>
        <v>0</v>
      </c>
      <c r="Y275" s="72"/>
      <c r="Z275" s="56"/>
      <c r="AA275" s="56">
        <f t="shared" si="139"/>
        <v>0</v>
      </c>
      <c r="AB275" s="72"/>
    </row>
    <row r="276" spans="2:28" ht="14.4" hidden="1" outlineLevel="1" thickBot="1" x14ac:dyDescent="0.3">
      <c r="C276" s="148" t="s">
        <v>200</v>
      </c>
      <c r="D276" s="149" t="s">
        <v>694</v>
      </c>
      <c r="E276" s="56"/>
      <c r="F276" s="56"/>
      <c r="G276" s="56"/>
      <c r="H276" s="56"/>
      <c r="I276" s="56"/>
      <c r="J276" s="56"/>
      <c r="K276" s="56"/>
      <c r="L276" s="56">
        <f>E276+F276+G276+H276+I276+J276+K276</f>
        <v>0</v>
      </c>
      <c r="M276" s="71"/>
      <c r="N276" s="71"/>
      <c r="O276" s="56">
        <f t="shared" si="135"/>
        <v>0</v>
      </c>
      <c r="P276" s="72"/>
      <c r="Q276" s="56"/>
      <c r="R276" s="56">
        <f t="shared" si="136"/>
        <v>0</v>
      </c>
      <c r="S276" s="72"/>
      <c r="T276" s="56"/>
      <c r="U276" s="56">
        <f t="shared" si="137"/>
        <v>0</v>
      </c>
      <c r="V276" s="72"/>
      <c r="W276" s="56"/>
      <c r="X276" s="56">
        <f t="shared" si="138"/>
        <v>0</v>
      </c>
      <c r="Y276" s="72"/>
      <c r="Z276" s="56"/>
      <c r="AA276" s="56">
        <f t="shared" si="139"/>
        <v>0</v>
      </c>
      <c r="AB276" s="72"/>
    </row>
    <row r="277" spans="2:28" s="140" customFormat="1" ht="30" customHeight="1" collapsed="1" thickBot="1" x14ac:dyDescent="0.3">
      <c r="C277" s="228"/>
      <c r="D277" s="229" t="s">
        <v>695</v>
      </c>
      <c r="E277" s="230">
        <f t="shared" ref="E277:L277" si="149">E133+E143+E145+E146+E151+E153+E188+E201+E220+E274</f>
        <v>1443112.69</v>
      </c>
      <c r="F277" s="230">
        <f t="shared" si="149"/>
        <v>7953316</v>
      </c>
      <c r="G277" s="230">
        <f t="shared" si="149"/>
        <v>1556503.1</v>
      </c>
      <c r="H277" s="230">
        <f t="shared" si="149"/>
        <v>4267404.0022</v>
      </c>
      <c r="I277" s="230">
        <f t="shared" si="149"/>
        <v>8981289.8361329995</v>
      </c>
      <c r="J277" s="230">
        <f t="shared" si="149"/>
        <v>3291651.8800000004</v>
      </c>
      <c r="K277" s="230">
        <f t="shared" si="149"/>
        <v>27040255.789966024</v>
      </c>
      <c r="L277" s="230">
        <f t="shared" si="149"/>
        <v>54533533.298299029</v>
      </c>
      <c r="M277" s="231">
        <v>54533532.808720239</v>
      </c>
      <c r="N277" s="231">
        <f>N133+N143+N145+N146+N151+N153+N188+N201+N220+N274+0.5</f>
        <v>54591888.5</v>
      </c>
      <c r="O277" s="230">
        <f t="shared" si="135"/>
        <v>58355.691279761493</v>
      </c>
      <c r="P277" s="232"/>
      <c r="Q277" s="230">
        <f>Q133+Q143+Q145+Q146+Q151+Q153+Q188+Q201+Q220+Q274+0.5</f>
        <v>55068746.5</v>
      </c>
      <c r="R277" s="230">
        <f t="shared" si="136"/>
        <v>476858</v>
      </c>
      <c r="S277" s="232"/>
      <c r="T277" s="230">
        <f>T133+T143+T145+T146+T151+T153+T188+T201+T220+T274+0.5</f>
        <v>55226538.5</v>
      </c>
      <c r="U277" s="230">
        <f t="shared" si="137"/>
        <v>157792</v>
      </c>
      <c r="V277" s="232"/>
      <c r="W277" s="230">
        <f>W133+W143+W145+W146+W151+W153+W188+W201+W220+W274+0.5</f>
        <v>55344618.5</v>
      </c>
      <c r="X277" s="230">
        <f t="shared" si="138"/>
        <v>118080</v>
      </c>
      <c r="Y277" s="232"/>
      <c r="Z277" s="230">
        <f>Z133+Z143+Z145+Z146+Z151+Z153+Z188+Z201+Z220+Z274+0.5</f>
        <v>53764514.5</v>
      </c>
      <c r="AA277" s="230">
        <f t="shared" si="139"/>
        <v>-1580104</v>
      </c>
      <c r="AB277" s="232"/>
    </row>
    <row r="278" spans="2:28" s="30" customFormat="1" ht="15.75" customHeight="1" thickBot="1" x14ac:dyDescent="0.3">
      <c r="C278" s="153" t="s">
        <v>258</v>
      </c>
      <c r="D278" s="154" t="s">
        <v>696</v>
      </c>
      <c r="E278" s="39">
        <f>E76</f>
        <v>7851</v>
      </c>
      <c r="F278" s="39"/>
      <c r="G278" s="39">
        <f>G76</f>
        <v>104321.39</v>
      </c>
      <c r="H278" s="39"/>
      <c r="I278" s="39"/>
      <c r="J278" s="39">
        <f>[4]Pivot_invest_2023!E35-SUM(E278:H278)</f>
        <v>-5.9999999997671694E-2</v>
      </c>
      <c r="K278" s="39">
        <f>'[4]4.piel_Saistibas'!X206-SUM(E278:J278)</f>
        <v>3489717.8079218101</v>
      </c>
      <c r="L278" s="39">
        <f>E278+F278+G278+H278+J278+K278</f>
        <v>3601890.1379218102</v>
      </c>
      <c r="M278" s="40">
        <v>3601890.1379218102</v>
      </c>
      <c r="N278" s="40">
        <f>ROUND(M278,0)</f>
        <v>3601890</v>
      </c>
      <c r="O278" s="39">
        <f t="shared" si="135"/>
        <v>-0.13792181015014648</v>
      </c>
      <c r="P278" s="49"/>
      <c r="Q278" s="39">
        <f>ROUND(N278,0)</f>
        <v>3601890</v>
      </c>
      <c r="R278" s="39">
        <f t="shared" si="136"/>
        <v>0</v>
      </c>
      <c r="S278" s="49"/>
      <c r="T278" s="39">
        <f>ROUND(Q278,0)</f>
        <v>3601890</v>
      </c>
      <c r="U278" s="39">
        <f t="shared" si="137"/>
        <v>0</v>
      </c>
      <c r="V278" s="49"/>
      <c r="W278" s="39">
        <f>ROUND(T278,0)</f>
        <v>3601890</v>
      </c>
      <c r="X278" s="39">
        <f t="shared" si="138"/>
        <v>0</v>
      </c>
      <c r="Y278" s="49"/>
      <c r="Z278" s="39">
        <f>ROUND(W278,0)</f>
        <v>3601890</v>
      </c>
      <c r="AA278" s="39">
        <f t="shared" si="139"/>
        <v>0</v>
      </c>
      <c r="AB278" s="49"/>
    </row>
    <row r="279" spans="2:28" ht="14.4" thickBot="1" x14ac:dyDescent="0.3">
      <c r="C279" s="228"/>
      <c r="D279" s="229" t="s">
        <v>697</v>
      </c>
      <c r="E279" s="233">
        <f>E277+E278</f>
        <v>1450963.69</v>
      </c>
      <c r="F279" s="233">
        <f t="shared" ref="F279:L279" si="150">F277+F278</f>
        <v>7953316</v>
      </c>
      <c r="G279" s="233">
        <f t="shared" si="150"/>
        <v>1660824.49</v>
      </c>
      <c r="H279" s="233">
        <f t="shared" si="150"/>
        <v>4267404.0022</v>
      </c>
      <c r="I279" s="233">
        <f>I277+I278</f>
        <v>8981289.8361329995</v>
      </c>
      <c r="J279" s="233">
        <f t="shared" si="150"/>
        <v>3291651.8200000003</v>
      </c>
      <c r="K279" s="233">
        <f t="shared" si="150"/>
        <v>30529973.597887836</v>
      </c>
      <c r="L279" s="233">
        <f t="shared" si="150"/>
        <v>58135423.43622084</v>
      </c>
      <c r="M279" s="234">
        <v>58135422.946642049</v>
      </c>
      <c r="N279" s="234">
        <f>N277+N278</f>
        <v>58193778.5</v>
      </c>
      <c r="O279" s="233">
        <f t="shared" si="135"/>
        <v>58355.553357951343</v>
      </c>
      <c r="P279" s="235"/>
      <c r="Q279" s="233">
        <f>Q277+Q278</f>
        <v>58670636.5</v>
      </c>
      <c r="R279" s="233">
        <f t="shared" si="136"/>
        <v>476858</v>
      </c>
      <c r="S279" s="235"/>
      <c r="T279" s="233">
        <f>T277+T278</f>
        <v>58828428.5</v>
      </c>
      <c r="U279" s="233">
        <f t="shared" si="137"/>
        <v>157792</v>
      </c>
      <c r="V279" s="235"/>
      <c r="W279" s="233">
        <f>W277+W278</f>
        <v>58946508.5</v>
      </c>
      <c r="X279" s="233">
        <f t="shared" si="138"/>
        <v>118080</v>
      </c>
      <c r="Y279" s="235"/>
      <c r="Z279" s="233">
        <f>Z277+Z278</f>
        <v>57366404.5</v>
      </c>
      <c r="AA279" s="233">
        <f t="shared" si="139"/>
        <v>-1580104</v>
      </c>
      <c r="AB279" s="235"/>
    </row>
    <row r="280" spans="2:28" ht="15" thickTop="1" thickBot="1" x14ac:dyDescent="0.3">
      <c r="C280" s="236" t="s">
        <v>698</v>
      </c>
      <c r="D280" s="237" t="s">
        <v>699</v>
      </c>
      <c r="E280" s="238">
        <f t="shared" ref="E280:L280" si="151">E127-E279</f>
        <v>0.25</v>
      </c>
      <c r="F280" s="238">
        <f t="shared" si="151"/>
        <v>0</v>
      </c>
      <c r="G280" s="238">
        <f t="shared" si="151"/>
        <v>0</v>
      </c>
      <c r="H280" s="238">
        <f t="shared" si="151"/>
        <v>0</v>
      </c>
      <c r="I280" s="238">
        <f t="shared" si="151"/>
        <v>-5167738.8361329995</v>
      </c>
      <c r="J280" s="238">
        <f t="shared" si="151"/>
        <v>-3291651.8200000003</v>
      </c>
      <c r="K280" s="238">
        <f t="shared" si="151"/>
        <v>2195706.4021121636</v>
      </c>
      <c r="L280" s="238">
        <f t="shared" si="151"/>
        <v>26872.855979166925</v>
      </c>
      <c r="M280" s="239">
        <v>26873.285557955503</v>
      </c>
      <c r="N280" s="239">
        <f>N127-N279-0.2</f>
        <v>26873.3</v>
      </c>
      <c r="O280" s="238">
        <f t="shared" si="135"/>
        <v>1.4442044495808659E-2</v>
      </c>
      <c r="P280" s="240"/>
      <c r="Q280" s="238">
        <f>Q127-Q279-0.2</f>
        <v>43996.3</v>
      </c>
      <c r="R280" s="238">
        <f t="shared" si="136"/>
        <v>17123.000000000004</v>
      </c>
      <c r="S280" s="240"/>
      <c r="T280" s="238">
        <f>T127-T279-0.2</f>
        <v>47155.3</v>
      </c>
      <c r="U280" s="238">
        <f t="shared" si="137"/>
        <v>3159</v>
      </c>
      <c r="V280" s="240"/>
      <c r="W280" s="238">
        <f>W127-W279-0.2</f>
        <v>47075.3</v>
      </c>
      <c r="X280" s="238">
        <f t="shared" si="138"/>
        <v>-80</v>
      </c>
      <c r="Y280" s="240"/>
      <c r="Z280" s="238">
        <f>Z127-Z279-0.2</f>
        <v>76290.3</v>
      </c>
      <c r="AA280" s="238">
        <f t="shared" si="139"/>
        <v>29215</v>
      </c>
      <c r="AB280" s="240"/>
    </row>
  </sheetData>
  <mergeCells count="6">
    <mergeCell ref="AB57:AB58"/>
    <mergeCell ref="C130:D130"/>
    <mergeCell ref="C131:D131"/>
    <mergeCell ref="S166:S167"/>
    <mergeCell ref="C2:D2"/>
    <mergeCell ref="C3:D3"/>
  </mergeCells>
  <conditionalFormatting sqref="E280:O280">
    <cfRule type="cellIs" dxfId="4" priority="6" operator="lessThan">
      <formula>0</formula>
    </cfRule>
  </conditionalFormatting>
  <conditionalFormatting sqref="Q280:R280">
    <cfRule type="cellIs" dxfId="3" priority="4" operator="lessThan">
      <formula>0</formula>
    </cfRule>
  </conditionalFormatting>
  <conditionalFormatting sqref="T280:U280">
    <cfRule type="cellIs" dxfId="2" priority="3" operator="lessThan">
      <formula>0</formula>
    </cfRule>
  </conditionalFormatting>
  <conditionalFormatting sqref="W280:X280">
    <cfRule type="cellIs" dxfId="1" priority="2" operator="lessThan">
      <formula>0</formula>
    </cfRule>
  </conditionalFormatting>
  <conditionalFormatting sqref="Z280:AA280">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C80D-66A6-4944-893E-3EE130EEB187}">
  <sheetPr>
    <tabColor rgb="FF7030A0"/>
    <pageSetUpPr fitToPage="1"/>
  </sheetPr>
  <dimension ref="A1:BF184"/>
  <sheetViews>
    <sheetView topLeftCell="C1" zoomScaleNormal="100" workbookViewId="0">
      <pane ySplit="5" topLeftCell="A6" activePane="bottomLeft" state="frozen"/>
      <selection pane="bottomLeft" activeCell="A126" sqref="A126:XFD127"/>
    </sheetView>
  </sheetViews>
  <sheetFormatPr defaultColWidth="9.125" defaultRowHeight="13.8" outlineLevelRow="1" outlineLevelCol="1" x14ac:dyDescent="0.25"/>
  <cols>
    <col min="1" max="1" width="5" style="244" hidden="1" customWidth="1" outlineLevel="1"/>
    <col min="2" max="2" width="3.625" style="244" hidden="1" customWidth="1" outlineLevel="1"/>
    <col min="3" max="3" width="10.875" style="244" customWidth="1" collapsed="1"/>
    <col min="4" max="4" width="37.25" style="244" customWidth="1"/>
    <col min="5" max="5" width="13.75" style="244" customWidth="1"/>
    <col min="6" max="6" width="11.875" style="244" customWidth="1"/>
    <col min="7" max="7" width="11.25" style="244" customWidth="1"/>
    <col min="8" max="8" width="12.75" style="244" customWidth="1"/>
    <col min="9" max="9" width="6.375" style="244" customWidth="1"/>
    <col min="10" max="10" width="13.25" style="244" customWidth="1"/>
    <col min="11" max="12" width="13.25" style="244" hidden="1" customWidth="1" outlineLevel="1"/>
    <col min="13" max="13" width="6" style="244" hidden="1" customWidth="1" outlineLevel="1"/>
    <col min="14" max="16" width="13.25" style="244" hidden="1" customWidth="1" outlineLevel="1"/>
    <col min="17" max="17" width="17.625" style="244" customWidth="1" collapsed="1"/>
    <col min="18" max="18" width="11.75" style="244" hidden="1" customWidth="1" outlineLevel="1"/>
    <col min="19" max="19" width="11.75" style="247" hidden="1" customWidth="1" outlineLevel="1"/>
    <col min="20" max="20" width="12.25" style="247" customWidth="1" collapsed="1"/>
    <col min="21" max="26" width="13.25" style="244" bestFit="1" customWidth="1"/>
    <col min="27" max="29" width="13.25" style="244" hidden="1" customWidth="1" outlineLevel="1"/>
    <col min="30" max="44" width="13.125" style="244" hidden="1" customWidth="1" outlineLevel="1"/>
    <col min="45" max="47" width="11.75" style="244" hidden="1" customWidth="1" outlineLevel="1"/>
    <col min="48" max="50" width="10.75" style="244" hidden="1" customWidth="1" outlineLevel="1"/>
    <col min="51" max="51" width="12" style="244" hidden="1" customWidth="1" outlineLevel="1"/>
    <col min="52" max="52" width="8.875" style="244" hidden="1" customWidth="1" outlineLevel="1"/>
    <col min="53" max="54" width="13.25" style="244" bestFit="1" customWidth="1" collapsed="1"/>
    <col min="55" max="55" width="9.125" style="244"/>
    <col min="56" max="56" width="9.125" style="244" hidden="1" customWidth="1" outlineLevel="1"/>
    <col min="57" max="57" width="10.75" style="244" hidden="1" customWidth="1" outlineLevel="1"/>
    <col min="58" max="58" width="9.125" style="244" collapsed="1"/>
    <col min="59" max="16384" width="9.125" style="244"/>
  </cols>
  <sheetData>
    <row r="1" spans="2:57" ht="17.399999999999999" x14ac:dyDescent="0.3">
      <c r="C1" s="243" t="s">
        <v>1083</v>
      </c>
      <c r="K1" s="245"/>
      <c r="L1" s="245"/>
      <c r="M1" s="245"/>
      <c r="N1" s="245"/>
      <c r="O1" s="245"/>
      <c r="Q1" s="246"/>
      <c r="R1" s="246"/>
    </row>
    <row r="2" spans="2:57" ht="17.399999999999999" x14ac:dyDescent="0.3">
      <c r="C2" s="243"/>
      <c r="K2" s="246"/>
      <c r="L2" s="246"/>
      <c r="M2" s="246"/>
      <c r="N2" s="246"/>
      <c r="O2" s="246"/>
      <c r="Q2" s="246"/>
      <c r="R2" s="246"/>
      <c r="S2" s="246" t="s">
        <v>1082</v>
      </c>
      <c r="T2" s="246"/>
      <c r="U2" s="248"/>
      <c r="V2" s="248"/>
      <c r="W2" s="248"/>
      <c r="X2" s="248"/>
      <c r="Y2" s="248"/>
      <c r="Z2" s="248"/>
      <c r="BA2" s="248"/>
    </row>
    <row r="3" spans="2:57" ht="15.6" x14ac:dyDescent="0.3">
      <c r="C3" s="249" t="s">
        <v>1081</v>
      </c>
      <c r="K3" s="245"/>
      <c r="L3" s="245"/>
      <c r="M3" s="245"/>
      <c r="N3" s="245"/>
      <c r="O3" s="245"/>
      <c r="P3" s="245"/>
      <c r="Q3" s="246"/>
      <c r="R3" s="246"/>
      <c r="S3" s="246"/>
      <c r="T3" s="246"/>
      <c r="AC3" s="250"/>
      <c r="AD3" s="251"/>
    </row>
    <row r="4" spans="2:57" hidden="1" outlineLevel="1" x14ac:dyDescent="0.25">
      <c r="C4" s="242"/>
      <c r="K4" s="252"/>
      <c r="L4" s="252"/>
      <c r="M4" s="252"/>
      <c r="N4" s="252"/>
      <c r="O4" s="252"/>
      <c r="P4" s="253">
        <v>0</v>
      </c>
      <c r="Q4" s="246"/>
      <c r="R4" s="246"/>
      <c r="S4" s="246"/>
      <c r="T4" s="246"/>
      <c r="V4" s="248"/>
      <c r="W4" s="248"/>
      <c r="X4" s="248"/>
      <c r="Y4" s="248"/>
      <c r="Z4" s="248"/>
      <c r="AA4" s="248"/>
      <c r="AB4" s="248"/>
      <c r="AC4" s="248"/>
      <c r="AD4" s="248"/>
    </row>
    <row r="5" spans="2:57" s="261" customFormat="1" ht="69" collapsed="1" x14ac:dyDescent="0.2">
      <c r="B5" s="254" t="s">
        <v>1080</v>
      </c>
      <c r="C5" s="254" t="s">
        <v>738</v>
      </c>
      <c r="D5" s="254" t="s">
        <v>1079</v>
      </c>
      <c r="E5" s="255" t="s">
        <v>1078</v>
      </c>
      <c r="F5" s="255" t="s">
        <v>1077</v>
      </c>
      <c r="G5" s="255" t="s">
        <v>734</v>
      </c>
      <c r="H5" s="255" t="s">
        <v>733</v>
      </c>
      <c r="I5" s="255" t="s">
        <v>732</v>
      </c>
      <c r="J5" s="255" t="s">
        <v>731</v>
      </c>
      <c r="K5" s="256" t="s">
        <v>730</v>
      </c>
      <c r="L5" s="256" t="s">
        <v>729</v>
      </c>
      <c r="M5" s="256" t="s">
        <v>728</v>
      </c>
      <c r="N5" s="256" t="s">
        <v>727</v>
      </c>
      <c r="O5" s="256" t="s">
        <v>726</v>
      </c>
      <c r="P5" s="256" t="s">
        <v>725</v>
      </c>
      <c r="Q5" s="257" t="s">
        <v>724</v>
      </c>
      <c r="R5" s="258" t="s">
        <v>1076</v>
      </c>
      <c r="S5" s="259" t="s">
        <v>1075</v>
      </c>
      <c r="T5" s="260">
        <v>2023</v>
      </c>
      <c r="U5" s="254">
        <v>2024</v>
      </c>
      <c r="V5" s="254">
        <v>2025</v>
      </c>
      <c r="W5" s="254">
        <v>2026</v>
      </c>
      <c r="X5" s="254">
        <v>2027</v>
      </c>
      <c r="Y5" s="254">
        <v>2028</v>
      </c>
      <c r="Z5" s="254">
        <v>2029</v>
      </c>
      <c r="AA5" s="254">
        <v>2030</v>
      </c>
      <c r="AB5" s="254">
        <v>2031</v>
      </c>
      <c r="AC5" s="254">
        <v>2032</v>
      </c>
      <c r="AD5" s="254">
        <v>2033</v>
      </c>
      <c r="AE5" s="254">
        <v>2034</v>
      </c>
      <c r="AF5" s="254">
        <v>2035</v>
      </c>
      <c r="AG5" s="254">
        <v>2036</v>
      </c>
      <c r="AH5" s="254">
        <v>2037</v>
      </c>
      <c r="AI5" s="254">
        <v>2038</v>
      </c>
      <c r="AJ5" s="254">
        <v>2039</v>
      </c>
      <c r="AK5" s="254">
        <v>2040</v>
      </c>
      <c r="AL5" s="254">
        <v>2041</v>
      </c>
      <c r="AM5" s="254">
        <v>2042</v>
      </c>
      <c r="AN5" s="254">
        <v>2043</v>
      </c>
      <c r="AO5" s="254">
        <v>2044</v>
      </c>
      <c r="AP5" s="254">
        <v>2045</v>
      </c>
      <c r="AQ5" s="254">
        <v>2046</v>
      </c>
      <c r="AR5" s="254">
        <v>2047</v>
      </c>
      <c r="AS5" s="254">
        <v>2048</v>
      </c>
      <c r="AT5" s="254">
        <v>2049</v>
      </c>
      <c r="AU5" s="254">
        <v>2050</v>
      </c>
      <c r="AV5" s="254">
        <v>2051</v>
      </c>
      <c r="AW5" s="254">
        <v>2052</v>
      </c>
      <c r="AX5" s="254">
        <v>2053</v>
      </c>
      <c r="AY5" s="255" t="s">
        <v>713</v>
      </c>
      <c r="BA5" s="262" t="s">
        <v>712</v>
      </c>
      <c r="BB5" s="255" t="s">
        <v>711</v>
      </c>
    </row>
    <row r="6" spans="2:57" s="270" customFormat="1" x14ac:dyDescent="0.25">
      <c r="B6" s="263" t="s">
        <v>754</v>
      </c>
      <c r="C6" s="263">
        <v>1</v>
      </c>
      <c r="D6" s="263" t="s">
        <v>1074</v>
      </c>
      <c r="E6" s="263" t="s">
        <v>1073</v>
      </c>
      <c r="F6" s="263" t="s">
        <v>1072</v>
      </c>
      <c r="G6" s="263" t="s">
        <v>1071</v>
      </c>
      <c r="H6" s="263" t="s">
        <v>1070</v>
      </c>
      <c r="I6" s="263" t="s">
        <v>716</v>
      </c>
      <c r="J6" s="264">
        <v>2099988.0499999998</v>
      </c>
      <c r="K6" s="264">
        <v>1343825.59</v>
      </c>
      <c r="L6" s="264"/>
      <c r="M6" s="264"/>
      <c r="N6" s="263"/>
      <c r="O6" s="263"/>
      <c r="P6" s="263"/>
      <c r="Q6" s="265" t="s">
        <v>702</v>
      </c>
      <c r="R6" s="266">
        <v>48972.4</v>
      </c>
      <c r="S6" s="266">
        <v>48972.4</v>
      </c>
      <c r="T6" s="267">
        <f t="shared" ref="T6:T37" si="0">SUM(R6:S6)</f>
        <v>97944.8</v>
      </c>
      <c r="U6" s="267">
        <v>97944.8</v>
      </c>
      <c r="V6" s="267">
        <v>97944.8</v>
      </c>
      <c r="W6" s="267">
        <v>97944.8</v>
      </c>
      <c r="X6" s="267">
        <v>97944.8</v>
      </c>
      <c r="Y6" s="267">
        <v>97944.8</v>
      </c>
      <c r="Z6" s="267">
        <v>97944.8</v>
      </c>
      <c r="AA6" s="267">
        <v>97944.8</v>
      </c>
      <c r="AB6" s="267">
        <v>97944.8</v>
      </c>
      <c r="AC6" s="267">
        <v>97944.8</v>
      </c>
      <c r="AD6" s="267">
        <v>113829.75999999999</v>
      </c>
      <c r="AE6" s="267">
        <v>113829.75999999999</v>
      </c>
      <c r="AF6" s="267">
        <v>113829.75999999999</v>
      </c>
      <c r="AG6" s="267">
        <v>71860.709999999992</v>
      </c>
      <c r="AH6" s="267">
        <v>0</v>
      </c>
      <c r="AI6" s="267">
        <v>0</v>
      </c>
      <c r="AJ6" s="267">
        <v>0</v>
      </c>
      <c r="AK6" s="267">
        <v>0</v>
      </c>
      <c r="AL6" s="267">
        <v>0</v>
      </c>
      <c r="AM6" s="267">
        <v>0</v>
      </c>
      <c r="AN6" s="267">
        <v>0</v>
      </c>
      <c r="AO6" s="267">
        <v>0</v>
      </c>
      <c r="AP6" s="267">
        <v>0</v>
      </c>
      <c r="AQ6" s="267">
        <v>0</v>
      </c>
      <c r="AR6" s="267">
        <v>0</v>
      </c>
      <c r="AS6" s="267">
        <v>0</v>
      </c>
      <c r="AT6" s="267">
        <v>0</v>
      </c>
      <c r="AU6" s="267">
        <v>0</v>
      </c>
      <c r="AV6" s="267">
        <v>0</v>
      </c>
      <c r="AW6" s="267"/>
      <c r="AX6" s="267"/>
      <c r="AY6" s="268">
        <f t="shared" ref="AY6:AY37" si="1">SUM(T6:AX6)</f>
        <v>1392797.9900000002</v>
      </c>
      <c r="AZ6" s="250">
        <f t="shared" ref="AZ6:AZ37" si="2">AY6-SUM(T6:AX6)</f>
        <v>0</v>
      </c>
      <c r="BA6" s="269">
        <f t="shared" ref="BA6:BA37" si="3">SUM(AA6:AX6)</f>
        <v>707184.39</v>
      </c>
      <c r="BB6" s="268">
        <f t="shared" ref="BB6:BB37" si="4">SUM(T6:Z6,BA6)</f>
        <v>1392797.9900000002</v>
      </c>
      <c r="BD6" s="270" t="b">
        <f t="shared" ref="BD6:BD37" si="5">AY6=BB6</f>
        <v>1</v>
      </c>
      <c r="BE6" s="271">
        <f>BB6-K6-R6</f>
        <v>1.3824319466948509E-10</v>
      </c>
    </row>
    <row r="7" spans="2:57" x14ac:dyDescent="0.25">
      <c r="B7" s="272" t="s">
        <v>754</v>
      </c>
      <c r="C7" s="272"/>
      <c r="D7" s="272"/>
      <c r="E7" s="272"/>
      <c r="F7" s="272"/>
      <c r="G7" s="272"/>
      <c r="H7" s="272"/>
      <c r="I7" s="272"/>
      <c r="J7" s="273"/>
      <c r="K7" s="273"/>
      <c r="L7" s="273" t="s">
        <v>1069</v>
      </c>
      <c r="M7" s="273"/>
      <c r="N7" s="274">
        <f>SUM(O7:P7)</f>
        <v>3.8879999999999999</v>
      </c>
      <c r="O7" s="274">
        <v>3.8879999999999999</v>
      </c>
      <c r="P7" s="274">
        <f>$P$4</f>
        <v>0</v>
      </c>
      <c r="Q7" s="274" t="s">
        <v>701</v>
      </c>
      <c r="R7" s="275">
        <v>11605.25</v>
      </c>
      <c r="S7" s="275">
        <v>12466.47</v>
      </c>
      <c r="T7" s="276">
        <f t="shared" si="0"/>
        <v>24071.72</v>
      </c>
      <c r="U7" s="276">
        <f>SUM(U6:$AV6)*$N7/100</f>
        <v>50343.892027200003</v>
      </c>
      <c r="V7" s="276">
        <f>SUM(V6:$AV6)*$N7/100</f>
        <v>46535.7982032</v>
      </c>
      <c r="W7" s="276">
        <f>SUM(W6:$AV6)*$N7/100</f>
        <v>42727.704379200004</v>
      </c>
      <c r="X7" s="276">
        <f>SUM(X6:$AV6)*$N7/100</f>
        <v>38919.610555200001</v>
      </c>
      <c r="Y7" s="276">
        <f>SUM(Y6:$AV6)*$N7/100</f>
        <v>35111.516731199998</v>
      </c>
      <c r="Z7" s="276">
        <f>SUM(Z6:$AV6)*$N7/100</f>
        <v>31303.422907199998</v>
      </c>
      <c r="AA7" s="276">
        <f>SUM(AA6:$AV6)*$N7/100</f>
        <v>27495.329083199998</v>
      </c>
      <c r="AB7" s="276">
        <f>SUM(AB6:$AV6)*$N7/100</f>
        <v>23687.235259199999</v>
      </c>
      <c r="AC7" s="276">
        <f>SUM(AC6:$AV6)*$N7/100</f>
        <v>19879.141435200003</v>
      </c>
      <c r="AD7" s="276">
        <f>SUM(AD6:$AV6)*$N7/100</f>
        <v>16071.0476112</v>
      </c>
      <c r="AE7" s="276">
        <f>SUM(AE6:$AV6)*$N7/100</f>
        <v>11645.346542399999</v>
      </c>
      <c r="AF7" s="276">
        <f>SUM(AF6:$AV6)*$N7/100</f>
        <v>7219.6454735999987</v>
      </c>
      <c r="AG7" s="276">
        <f>SUM(AG6:$AV6)*$N7/100</f>
        <v>2793.9444048</v>
      </c>
      <c r="AH7" s="276">
        <v>0</v>
      </c>
      <c r="AI7" s="276">
        <v>0</v>
      </c>
      <c r="AJ7" s="276">
        <v>0</v>
      </c>
      <c r="AK7" s="276">
        <v>0</v>
      </c>
      <c r="AL7" s="276">
        <v>0</v>
      </c>
      <c r="AM7" s="276">
        <v>0</v>
      </c>
      <c r="AN7" s="276">
        <v>0</v>
      </c>
      <c r="AO7" s="276">
        <v>0</v>
      </c>
      <c r="AP7" s="276">
        <v>0</v>
      </c>
      <c r="AQ7" s="276">
        <v>0</v>
      </c>
      <c r="AR7" s="276">
        <v>0</v>
      </c>
      <c r="AS7" s="276">
        <v>0</v>
      </c>
      <c r="AT7" s="276">
        <v>0</v>
      </c>
      <c r="AU7" s="276">
        <v>0</v>
      </c>
      <c r="AV7" s="276">
        <v>0</v>
      </c>
      <c r="AW7" s="276"/>
      <c r="AX7" s="276"/>
      <c r="AY7" s="277">
        <f t="shared" si="1"/>
        <v>377805.35461280006</v>
      </c>
      <c r="AZ7" s="250">
        <f t="shared" si="2"/>
        <v>0</v>
      </c>
      <c r="BA7" s="278">
        <f t="shared" si="3"/>
        <v>108791.68980960001</v>
      </c>
      <c r="BB7" s="277">
        <f t="shared" si="4"/>
        <v>377805.3546128</v>
      </c>
      <c r="BD7" s="270" t="b">
        <f t="shared" si="5"/>
        <v>1</v>
      </c>
    </row>
    <row r="8" spans="2:57" s="270" customFormat="1" x14ac:dyDescent="0.25">
      <c r="B8" s="263" t="s">
        <v>754</v>
      </c>
      <c r="C8" s="263">
        <v>2</v>
      </c>
      <c r="D8" s="263" t="s">
        <v>1068</v>
      </c>
      <c r="E8" s="263" t="s">
        <v>1067</v>
      </c>
      <c r="F8" s="263" t="s">
        <v>1066</v>
      </c>
      <c r="G8" s="263" t="s">
        <v>1065</v>
      </c>
      <c r="H8" s="263" t="s">
        <v>1064</v>
      </c>
      <c r="I8" s="263" t="s">
        <v>716</v>
      </c>
      <c r="J8" s="264">
        <v>6628759.9400000004</v>
      </c>
      <c r="K8" s="264">
        <v>3337088.24</v>
      </c>
      <c r="L8" s="264"/>
      <c r="M8" s="264"/>
      <c r="N8" s="265"/>
      <c r="O8" s="265">
        <v>2.3380000000000001</v>
      </c>
      <c r="P8" s="265"/>
      <c r="Q8" s="265" t="s">
        <v>702</v>
      </c>
      <c r="R8" s="266">
        <v>196299.4</v>
      </c>
      <c r="S8" s="266">
        <v>196299.4</v>
      </c>
      <c r="T8" s="267">
        <f t="shared" si="0"/>
        <v>392598.8</v>
      </c>
      <c r="U8" s="267">
        <v>392598.8</v>
      </c>
      <c r="V8" s="267">
        <v>392598.8</v>
      </c>
      <c r="W8" s="267">
        <v>392598.8</v>
      </c>
      <c r="X8" s="267">
        <v>392598.8</v>
      </c>
      <c r="Y8" s="267">
        <v>392598.8</v>
      </c>
      <c r="Z8" s="267">
        <v>392598.8</v>
      </c>
      <c r="AA8" s="267">
        <v>392598.8</v>
      </c>
      <c r="AB8" s="267">
        <v>392597.24</v>
      </c>
      <c r="AC8" s="267">
        <v>0</v>
      </c>
      <c r="AD8" s="267">
        <v>0</v>
      </c>
      <c r="AE8" s="267">
        <v>0</v>
      </c>
      <c r="AF8" s="267">
        <v>0</v>
      </c>
      <c r="AG8" s="267">
        <v>0</v>
      </c>
      <c r="AH8" s="267">
        <v>0</v>
      </c>
      <c r="AI8" s="267">
        <v>0</v>
      </c>
      <c r="AJ8" s="267">
        <v>0</v>
      </c>
      <c r="AK8" s="267">
        <v>0</v>
      </c>
      <c r="AL8" s="267">
        <v>0</v>
      </c>
      <c r="AM8" s="267">
        <v>0</v>
      </c>
      <c r="AN8" s="267">
        <v>0</v>
      </c>
      <c r="AO8" s="267">
        <v>0</v>
      </c>
      <c r="AP8" s="267">
        <v>0</v>
      </c>
      <c r="AQ8" s="267">
        <v>0</v>
      </c>
      <c r="AR8" s="267">
        <v>0</v>
      </c>
      <c r="AS8" s="267">
        <v>0</v>
      </c>
      <c r="AT8" s="267">
        <v>0</v>
      </c>
      <c r="AU8" s="267">
        <v>0</v>
      </c>
      <c r="AV8" s="267">
        <v>0</v>
      </c>
      <c r="AW8" s="267"/>
      <c r="AX8" s="267"/>
      <c r="AY8" s="268">
        <f t="shared" si="1"/>
        <v>3533387.6399999997</v>
      </c>
      <c r="AZ8" s="250">
        <f t="shared" si="2"/>
        <v>0</v>
      </c>
      <c r="BA8" s="269">
        <f t="shared" si="3"/>
        <v>785196.04</v>
      </c>
      <c r="BB8" s="268">
        <f t="shared" si="4"/>
        <v>3533387.6399999997</v>
      </c>
      <c r="BD8" s="270" t="b">
        <f t="shared" si="5"/>
        <v>1</v>
      </c>
      <c r="BE8" s="271">
        <f>BB8-K8-R8</f>
        <v>-5.5297277867794037E-10</v>
      </c>
    </row>
    <row r="9" spans="2:57" x14ac:dyDescent="0.25">
      <c r="B9" s="272" t="s">
        <v>754</v>
      </c>
      <c r="C9" s="272"/>
      <c r="D9" s="272"/>
      <c r="E9" s="272"/>
      <c r="F9" s="272"/>
      <c r="G9" s="272"/>
      <c r="H9" s="272"/>
      <c r="I9" s="272"/>
      <c r="J9" s="273"/>
      <c r="K9" s="273"/>
      <c r="L9" s="279" t="s">
        <v>1063</v>
      </c>
      <c r="M9" s="279"/>
      <c r="N9" s="274">
        <f>SUM(O9:P9)</f>
        <v>4.1500000000000004</v>
      </c>
      <c r="O9" s="280">
        <v>4.1500000000000004</v>
      </c>
      <c r="P9" s="274">
        <f>$P$4</f>
        <v>0</v>
      </c>
      <c r="Q9" s="274" t="s">
        <v>701</v>
      </c>
      <c r="R9" s="275">
        <v>62557.14</v>
      </c>
      <c r="S9" s="275">
        <v>21380.09</v>
      </c>
      <c r="T9" s="276">
        <f t="shared" si="0"/>
        <v>83937.23</v>
      </c>
      <c r="U9" s="276">
        <f>SUM(U8:$AV8)*$N9/100</f>
        <v>130342.73686</v>
      </c>
      <c r="V9" s="276">
        <f>SUM(V8:$AV8)*$N9/100</f>
        <v>114049.88666000002</v>
      </c>
      <c r="W9" s="276">
        <f>SUM(W8:$AV8)*$N9/100</f>
        <v>97757.036460000018</v>
      </c>
      <c r="X9" s="276">
        <f>SUM(X8:$AV8)*$N9/100</f>
        <v>81464.186260000002</v>
      </c>
      <c r="Y9" s="276">
        <f>SUM(Y8:$AV8)*$N9/100</f>
        <v>65171.336059999994</v>
      </c>
      <c r="Z9" s="276">
        <f>SUM(Z8:$AV8)*$N9/100</f>
        <v>48878.485860000001</v>
      </c>
      <c r="AA9" s="276">
        <f>SUM(AA8:$AV8)*$N9/100</f>
        <v>32585.635660000007</v>
      </c>
      <c r="AB9" s="276">
        <f>SUM(AB8:$AV8)*$N9/100</f>
        <v>16292.785460000001</v>
      </c>
      <c r="AC9" s="276">
        <f>SUM(AC8:$AV8)*$N9/100</f>
        <v>0</v>
      </c>
      <c r="AD9" s="276">
        <v>0</v>
      </c>
      <c r="AE9" s="276">
        <v>0</v>
      </c>
      <c r="AF9" s="276">
        <v>0</v>
      </c>
      <c r="AG9" s="276">
        <v>0</v>
      </c>
      <c r="AH9" s="276">
        <v>0</v>
      </c>
      <c r="AI9" s="276">
        <v>0</v>
      </c>
      <c r="AJ9" s="276">
        <v>0</v>
      </c>
      <c r="AK9" s="276">
        <v>0</v>
      </c>
      <c r="AL9" s="276">
        <v>0</v>
      </c>
      <c r="AM9" s="276">
        <v>0</v>
      </c>
      <c r="AN9" s="276">
        <v>0</v>
      </c>
      <c r="AO9" s="276">
        <v>0</v>
      </c>
      <c r="AP9" s="276">
        <v>0</v>
      </c>
      <c r="AQ9" s="276">
        <v>0</v>
      </c>
      <c r="AR9" s="276">
        <v>0</v>
      </c>
      <c r="AS9" s="276">
        <v>0</v>
      </c>
      <c r="AT9" s="276">
        <v>0</v>
      </c>
      <c r="AU9" s="276">
        <v>0</v>
      </c>
      <c r="AV9" s="276">
        <v>0</v>
      </c>
      <c r="AW9" s="276"/>
      <c r="AX9" s="276"/>
      <c r="AY9" s="277">
        <f t="shared" si="1"/>
        <v>670479.31928000005</v>
      </c>
      <c r="AZ9" s="250">
        <f t="shared" si="2"/>
        <v>0</v>
      </c>
      <c r="BA9" s="278">
        <f t="shared" si="3"/>
        <v>48878.421120000006</v>
      </c>
      <c r="BB9" s="277">
        <f t="shared" si="4"/>
        <v>670479.31927999994</v>
      </c>
      <c r="BD9" s="270" t="b">
        <f t="shared" si="5"/>
        <v>1</v>
      </c>
    </row>
    <row r="10" spans="2:57" s="270" customFormat="1" x14ac:dyDescent="0.25">
      <c r="B10" s="263" t="s">
        <v>754</v>
      </c>
      <c r="C10" s="263">
        <v>3</v>
      </c>
      <c r="D10" s="263" t="s">
        <v>1062</v>
      </c>
      <c r="E10" s="263" t="s">
        <v>1061</v>
      </c>
      <c r="F10" s="263" t="s">
        <v>1060</v>
      </c>
      <c r="G10" s="263" t="s">
        <v>1059</v>
      </c>
      <c r="H10" s="263" t="s">
        <v>1058</v>
      </c>
      <c r="I10" s="263" t="s">
        <v>716</v>
      </c>
      <c r="J10" s="264">
        <v>871076.43</v>
      </c>
      <c r="K10" s="264">
        <v>453250.01</v>
      </c>
      <c r="L10" s="264"/>
      <c r="M10" s="264"/>
      <c r="N10" s="265"/>
      <c r="O10" s="265">
        <v>1.1990000000000001</v>
      </c>
      <c r="P10" s="265"/>
      <c r="Q10" s="265" t="s">
        <v>702</v>
      </c>
      <c r="R10" s="266">
        <v>26661.78</v>
      </c>
      <c r="S10" s="266">
        <v>26661.78</v>
      </c>
      <c r="T10" s="267">
        <f t="shared" si="0"/>
        <v>53323.56</v>
      </c>
      <c r="U10" s="267">
        <v>53323.56</v>
      </c>
      <c r="V10" s="267">
        <v>53323.56</v>
      </c>
      <c r="W10" s="267">
        <v>53323.56</v>
      </c>
      <c r="X10" s="267">
        <v>53323.56</v>
      </c>
      <c r="Y10" s="267">
        <v>53323.56</v>
      </c>
      <c r="Z10" s="267">
        <v>53323.56</v>
      </c>
      <c r="AA10" s="267">
        <v>53323.56</v>
      </c>
      <c r="AB10" s="267">
        <v>51223.4</v>
      </c>
      <c r="AC10" s="267">
        <v>2099.91</v>
      </c>
      <c r="AD10" s="267">
        <v>0</v>
      </c>
      <c r="AE10" s="267">
        <v>0</v>
      </c>
      <c r="AF10" s="267">
        <v>0</v>
      </c>
      <c r="AG10" s="267">
        <v>0</v>
      </c>
      <c r="AH10" s="267">
        <v>0</v>
      </c>
      <c r="AI10" s="267">
        <v>0</v>
      </c>
      <c r="AJ10" s="267">
        <v>0</v>
      </c>
      <c r="AK10" s="267">
        <v>0</v>
      </c>
      <c r="AL10" s="267">
        <v>0</v>
      </c>
      <c r="AM10" s="267">
        <v>0</v>
      </c>
      <c r="AN10" s="267">
        <v>0</v>
      </c>
      <c r="AO10" s="267">
        <v>0</v>
      </c>
      <c r="AP10" s="267">
        <v>0</v>
      </c>
      <c r="AQ10" s="267">
        <v>0</v>
      </c>
      <c r="AR10" s="267">
        <v>0</v>
      </c>
      <c r="AS10" s="267">
        <v>0</v>
      </c>
      <c r="AT10" s="267">
        <v>0</v>
      </c>
      <c r="AU10" s="267">
        <v>0</v>
      </c>
      <c r="AV10" s="267">
        <v>0</v>
      </c>
      <c r="AW10" s="267"/>
      <c r="AX10" s="267"/>
      <c r="AY10" s="268">
        <f t="shared" si="1"/>
        <v>479911.79</v>
      </c>
      <c r="AZ10" s="250">
        <f t="shared" si="2"/>
        <v>0</v>
      </c>
      <c r="BA10" s="269">
        <f t="shared" si="3"/>
        <v>106646.87</v>
      </c>
      <c r="BB10" s="268">
        <f t="shared" si="4"/>
        <v>479911.79</v>
      </c>
      <c r="BD10" s="270" t="b">
        <f t="shared" si="5"/>
        <v>1</v>
      </c>
      <c r="BE10" s="271">
        <f>BB10-K10-R10</f>
        <v>-2.9103830456733704E-11</v>
      </c>
    </row>
    <row r="11" spans="2:57" x14ac:dyDescent="0.25">
      <c r="B11" s="272" t="s">
        <v>754</v>
      </c>
      <c r="C11" s="272"/>
      <c r="D11" s="272"/>
      <c r="E11" s="272"/>
      <c r="F11" s="272"/>
      <c r="G11" s="272"/>
      <c r="H11" s="272"/>
      <c r="I11" s="272"/>
      <c r="J11" s="273"/>
      <c r="K11" s="273"/>
      <c r="L11" s="273" t="s">
        <v>1057</v>
      </c>
      <c r="M11" s="273"/>
      <c r="N11" s="274">
        <f>SUM(O11:P11)</f>
        <v>4.1500000000000004</v>
      </c>
      <c r="O11" s="280">
        <v>4.1500000000000004</v>
      </c>
      <c r="P11" s="274">
        <f>$P$4</f>
        <v>0</v>
      </c>
      <c r="Q11" s="274" t="s">
        <v>701</v>
      </c>
      <c r="R11" s="275">
        <v>4357.3500000000004</v>
      </c>
      <c r="S11" s="275">
        <v>4578.09</v>
      </c>
      <c r="T11" s="276">
        <f t="shared" si="0"/>
        <v>8935.44</v>
      </c>
      <c r="U11" s="276">
        <f>SUM(U10:$AV10)*$N11/100</f>
        <v>17703.411545000003</v>
      </c>
      <c r="V11" s="276">
        <v>15376.41</v>
      </c>
      <c r="W11" s="276">
        <v>13137.43</v>
      </c>
      <c r="X11" s="276">
        <v>10896.919999999998</v>
      </c>
      <c r="Y11" s="276">
        <v>8679.44</v>
      </c>
      <c r="Z11" s="276">
        <v>6409.7699999999995</v>
      </c>
      <c r="AA11" s="276">
        <v>4166.21</v>
      </c>
      <c r="AB11" s="276">
        <v>1941.92</v>
      </c>
      <c r="AC11" s="276">
        <v>173.87</v>
      </c>
      <c r="AD11" s="276">
        <v>0</v>
      </c>
      <c r="AE11" s="276">
        <v>0</v>
      </c>
      <c r="AF11" s="276">
        <v>0</v>
      </c>
      <c r="AG11" s="276">
        <v>0</v>
      </c>
      <c r="AH11" s="276">
        <v>0</v>
      </c>
      <c r="AI11" s="276">
        <v>0</v>
      </c>
      <c r="AJ11" s="276">
        <v>0</v>
      </c>
      <c r="AK11" s="276">
        <v>0</v>
      </c>
      <c r="AL11" s="276">
        <v>0</v>
      </c>
      <c r="AM11" s="276">
        <v>0</v>
      </c>
      <c r="AN11" s="276">
        <v>0</v>
      </c>
      <c r="AO11" s="276">
        <v>0</v>
      </c>
      <c r="AP11" s="276">
        <v>0</v>
      </c>
      <c r="AQ11" s="276">
        <v>0</v>
      </c>
      <c r="AR11" s="276">
        <v>0</v>
      </c>
      <c r="AS11" s="276">
        <v>0</v>
      </c>
      <c r="AT11" s="276">
        <v>0</v>
      </c>
      <c r="AU11" s="276">
        <v>0</v>
      </c>
      <c r="AV11" s="276">
        <v>0</v>
      </c>
      <c r="AW11" s="276"/>
      <c r="AX11" s="276"/>
      <c r="AY11" s="277">
        <f t="shared" si="1"/>
        <v>87420.821544999999</v>
      </c>
      <c r="AZ11" s="250">
        <f t="shared" si="2"/>
        <v>0</v>
      </c>
      <c r="BA11" s="278">
        <f t="shared" si="3"/>
        <v>6282</v>
      </c>
      <c r="BB11" s="277">
        <f t="shared" si="4"/>
        <v>87420.821544999999</v>
      </c>
      <c r="BD11" s="270" t="b">
        <f t="shared" si="5"/>
        <v>1</v>
      </c>
    </row>
    <row r="12" spans="2:57" s="270" customFormat="1" x14ac:dyDescent="0.25">
      <c r="B12" s="263" t="s">
        <v>754</v>
      </c>
      <c r="C12" s="263">
        <v>4</v>
      </c>
      <c r="D12" s="263" t="s">
        <v>1056</v>
      </c>
      <c r="E12" s="263" t="s">
        <v>1055</v>
      </c>
      <c r="F12" s="263" t="s">
        <v>1054</v>
      </c>
      <c r="G12" s="263" t="s">
        <v>1053</v>
      </c>
      <c r="H12" s="263" t="s">
        <v>1052</v>
      </c>
      <c r="I12" s="263" t="s">
        <v>716</v>
      </c>
      <c r="J12" s="264">
        <v>520921.91</v>
      </c>
      <c r="K12" s="264">
        <v>28941.09</v>
      </c>
      <c r="L12" s="264"/>
      <c r="M12" s="264"/>
      <c r="N12" s="265"/>
      <c r="O12" s="265"/>
      <c r="P12" s="265"/>
      <c r="Q12" s="265" t="s">
        <v>702</v>
      </c>
      <c r="R12" s="266">
        <v>28941.22</v>
      </c>
      <c r="S12" s="266">
        <v>28941.09</v>
      </c>
      <c r="T12" s="267">
        <f t="shared" si="0"/>
        <v>57882.31</v>
      </c>
      <c r="U12" s="267">
        <v>0</v>
      </c>
      <c r="V12" s="267">
        <v>0</v>
      </c>
      <c r="W12" s="267">
        <v>0</v>
      </c>
      <c r="X12" s="267">
        <v>0</v>
      </c>
      <c r="Y12" s="267">
        <v>0</v>
      </c>
      <c r="Z12" s="267">
        <v>0</v>
      </c>
      <c r="AA12" s="267">
        <v>0</v>
      </c>
      <c r="AB12" s="267">
        <v>0</v>
      </c>
      <c r="AC12" s="267">
        <v>0</v>
      </c>
      <c r="AD12" s="267">
        <v>0</v>
      </c>
      <c r="AE12" s="267">
        <v>0</v>
      </c>
      <c r="AF12" s="267">
        <v>0</v>
      </c>
      <c r="AG12" s="267">
        <v>0</v>
      </c>
      <c r="AH12" s="267">
        <v>0</v>
      </c>
      <c r="AI12" s="267">
        <v>0</v>
      </c>
      <c r="AJ12" s="267">
        <v>0</v>
      </c>
      <c r="AK12" s="267">
        <v>0</v>
      </c>
      <c r="AL12" s="267">
        <v>0</v>
      </c>
      <c r="AM12" s="267">
        <v>0</v>
      </c>
      <c r="AN12" s="267">
        <v>0</v>
      </c>
      <c r="AO12" s="267">
        <v>0</v>
      </c>
      <c r="AP12" s="267">
        <v>0</v>
      </c>
      <c r="AQ12" s="267">
        <v>0</v>
      </c>
      <c r="AR12" s="267">
        <v>0</v>
      </c>
      <c r="AS12" s="267">
        <v>0</v>
      </c>
      <c r="AT12" s="267">
        <v>0</v>
      </c>
      <c r="AU12" s="267">
        <v>0</v>
      </c>
      <c r="AV12" s="267">
        <v>0</v>
      </c>
      <c r="AW12" s="267"/>
      <c r="AX12" s="267"/>
      <c r="AY12" s="268">
        <f t="shared" si="1"/>
        <v>57882.31</v>
      </c>
      <c r="AZ12" s="250">
        <f t="shared" si="2"/>
        <v>0</v>
      </c>
      <c r="BA12" s="269">
        <f t="shared" si="3"/>
        <v>0</v>
      </c>
      <c r="BB12" s="268">
        <f t="shared" si="4"/>
        <v>57882.31</v>
      </c>
      <c r="BD12" s="270" t="b">
        <f t="shared" si="5"/>
        <v>1</v>
      </c>
      <c r="BE12" s="271">
        <f>BB12-K12-R12</f>
        <v>0</v>
      </c>
    </row>
    <row r="13" spans="2:57" x14ac:dyDescent="0.25">
      <c r="B13" s="272" t="s">
        <v>754</v>
      </c>
      <c r="C13" s="272"/>
      <c r="D13" s="272"/>
      <c r="E13" s="272"/>
      <c r="F13" s="272"/>
      <c r="G13" s="272"/>
      <c r="H13" s="272"/>
      <c r="I13" s="272"/>
      <c r="J13" s="273"/>
      <c r="K13" s="273"/>
      <c r="L13" s="273" t="s">
        <v>1051</v>
      </c>
      <c r="M13" s="273"/>
      <c r="N13" s="274">
        <f>SUM(O13:P13)</f>
        <v>3.0870000000000002</v>
      </c>
      <c r="O13" s="274">
        <v>3.0870000000000002</v>
      </c>
      <c r="P13" s="274">
        <f>$P$4</f>
        <v>0</v>
      </c>
      <c r="Q13" s="274" t="s">
        <v>701</v>
      </c>
      <c r="R13" s="275">
        <v>932.81</v>
      </c>
      <c r="S13" s="275">
        <v>202.98</v>
      </c>
      <c r="T13" s="276">
        <f t="shared" si="0"/>
        <v>1135.79</v>
      </c>
      <c r="U13" s="276">
        <v>0</v>
      </c>
      <c r="V13" s="276">
        <v>0</v>
      </c>
      <c r="W13" s="276">
        <v>0</v>
      </c>
      <c r="X13" s="276">
        <v>0</v>
      </c>
      <c r="Y13" s="276">
        <v>0</v>
      </c>
      <c r="Z13" s="276">
        <v>0</v>
      </c>
      <c r="AA13" s="276">
        <v>0</v>
      </c>
      <c r="AB13" s="276">
        <v>0</v>
      </c>
      <c r="AC13" s="276">
        <v>0</v>
      </c>
      <c r="AD13" s="276">
        <v>0</v>
      </c>
      <c r="AE13" s="276">
        <v>0</v>
      </c>
      <c r="AF13" s="276">
        <v>0</v>
      </c>
      <c r="AG13" s="276">
        <v>0</v>
      </c>
      <c r="AH13" s="276">
        <v>0</v>
      </c>
      <c r="AI13" s="276">
        <v>0</v>
      </c>
      <c r="AJ13" s="276">
        <v>0</v>
      </c>
      <c r="AK13" s="276">
        <v>0</v>
      </c>
      <c r="AL13" s="276">
        <v>0</v>
      </c>
      <c r="AM13" s="276">
        <v>0</v>
      </c>
      <c r="AN13" s="276">
        <v>0</v>
      </c>
      <c r="AO13" s="276">
        <v>0</v>
      </c>
      <c r="AP13" s="276">
        <v>0</v>
      </c>
      <c r="AQ13" s="276">
        <v>0</v>
      </c>
      <c r="AR13" s="276">
        <v>0</v>
      </c>
      <c r="AS13" s="276">
        <v>0</v>
      </c>
      <c r="AT13" s="276">
        <v>0</v>
      </c>
      <c r="AU13" s="276">
        <v>0</v>
      </c>
      <c r="AV13" s="276">
        <v>0</v>
      </c>
      <c r="AW13" s="276"/>
      <c r="AX13" s="276"/>
      <c r="AY13" s="277">
        <f t="shared" si="1"/>
        <v>1135.79</v>
      </c>
      <c r="AZ13" s="250">
        <f t="shared" si="2"/>
        <v>0</v>
      </c>
      <c r="BA13" s="278">
        <f t="shared" si="3"/>
        <v>0</v>
      </c>
      <c r="BB13" s="277">
        <f t="shared" si="4"/>
        <v>1135.79</v>
      </c>
      <c r="BD13" s="270" t="b">
        <f t="shared" si="5"/>
        <v>1</v>
      </c>
    </row>
    <row r="14" spans="2:57" s="270" customFormat="1" x14ac:dyDescent="0.25">
      <c r="B14" s="263" t="s">
        <v>754</v>
      </c>
      <c r="C14" s="263">
        <v>5</v>
      </c>
      <c r="D14" s="263" t="s">
        <v>1050</v>
      </c>
      <c r="E14" s="263" t="s">
        <v>1049</v>
      </c>
      <c r="F14" s="263" t="s">
        <v>1048</v>
      </c>
      <c r="G14" s="263" t="s">
        <v>1047</v>
      </c>
      <c r="H14" s="263" t="s">
        <v>1046</v>
      </c>
      <c r="I14" s="263" t="s">
        <v>716</v>
      </c>
      <c r="J14" s="264">
        <v>1925611</v>
      </c>
      <c r="K14" s="264">
        <v>1195236</v>
      </c>
      <c r="L14" s="264"/>
      <c r="M14" s="264"/>
      <c r="N14" s="265"/>
      <c r="O14" s="265"/>
      <c r="P14" s="265"/>
      <c r="Q14" s="265" t="s">
        <v>702</v>
      </c>
      <c r="R14" s="266">
        <v>66402</v>
      </c>
      <c r="S14" s="266">
        <v>66402</v>
      </c>
      <c r="T14" s="267">
        <f t="shared" si="0"/>
        <v>132804</v>
      </c>
      <c r="U14" s="267">
        <v>132804</v>
      </c>
      <c r="V14" s="267">
        <v>132804</v>
      </c>
      <c r="W14" s="267">
        <v>132804</v>
      </c>
      <c r="X14" s="267">
        <v>132804</v>
      </c>
      <c r="Y14" s="267">
        <v>132804</v>
      </c>
      <c r="Z14" s="267">
        <v>132804</v>
      </c>
      <c r="AA14" s="267">
        <v>132804</v>
      </c>
      <c r="AB14" s="267">
        <v>132804</v>
      </c>
      <c r="AC14" s="267">
        <v>66402</v>
      </c>
      <c r="AD14" s="267">
        <v>0</v>
      </c>
      <c r="AE14" s="267">
        <v>0</v>
      </c>
      <c r="AF14" s="267">
        <v>0</v>
      </c>
      <c r="AG14" s="267">
        <v>0</v>
      </c>
      <c r="AH14" s="267">
        <v>0</v>
      </c>
      <c r="AI14" s="267">
        <v>0</v>
      </c>
      <c r="AJ14" s="267">
        <v>0</v>
      </c>
      <c r="AK14" s="267">
        <v>0</v>
      </c>
      <c r="AL14" s="267">
        <v>0</v>
      </c>
      <c r="AM14" s="267">
        <v>0</v>
      </c>
      <c r="AN14" s="267">
        <v>0</v>
      </c>
      <c r="AO14" s="267">
        <v>0</v>
      </c>
      <c r="AP14" s="267">
        <v>0</v>
      </c>
      <c r="AQ14" s="267">
        <v>0</v>
      </c>
      <c r="AR14" s="267">
        <v>0</v>
      </c>
      <c r="AS14" s="267">
        <v>0</v>
      </c>
      <c r="AT14" s="267">
        <v>0</v>
      </c>
      <c r="AU14" s="267">
        <v>0</v>
      </c>
      <c r="AV14" s="267">
        <v>0</v>
      </c>
      <c r="AW14" s="267"/>
      <c r="AX14" s="267"/>
      <c r="AY14" s="268">
        <f t="shared" si="1"/>
        <v>1261638</v>
      </c>
      <c r="AZ14" s="250">
        <f t="shared" si="2"/>
        <v>0</v>
      </c>
      <c r="BA14" s="269">
        <f t="shared" si="3"/>
        <v>332010</v>
      </c>
      <c r="BB14" s="268">
        <f t="shared" si="4"/>
        <v>1261638</v>
      </c>
      <c r="BD14" s="270" t="b">
        <f t="shared" si="5"/>
        <v>1</v>
      </c>
      <c r="BE14" s="271">
        <f>BB14-K14-R14</f>
        <v>0</v>
      </c>
    </row>
    <row r="15" spans="2:57" x14ac:dyDescent="0.25">
      <c r="B15" s="272" t="s">
        <v>754</v>
      </c>
      <c r="C15" s="272"/>
      <c r="D15" s="272"/>
      <c r="E15" s="272"/>
      <c r="F15" s="272"/>
      <c r="G15" s="272"/>
      <c r="H15" s="272"/>
      <c r="I15" s="272"/>
      <c r="J15" s="273"/>
      <c r="K15" s="273"/>
      <c r="L15" s="273" t="s">
        <v>1045</v>
      </c>
      <c r="M15" s="273"/>
      <c r="N15" s="274">
        <f>SUM(O15:P15)</f>
        <v>4.0579999999999998</v>
      </c>
      <c r="O15" s="274">
        <v>4.0579999999999998</v>
      </c>
      <c r="P15" s="274">
        <f>$P$4</f>
        <v>0</v>
      </c>
      <c r="Q15" s="274" t="s">
        <v>701</v>
      </c>
      <c r="R15" s="275">
        <v>7392.3300000000008</v>
      </c>
      <c r="S15" s="275">
        <v>11592.87</v>
      </c>
      <c r="T15" s="276">
        <f t="shared" si="0"/>
        <v>18985.2</v>
      </c>
      <c r="U15" s="276">
        <f>SUM(U14:$AV14)*$N15/100</f>
        <v>45808.083719999995</v>
      </c>
      <c r="V15" s="276">
        <f>SUM(V14:$AV14)*$N15/100</f>
        <v>40418.897399999994</v>
      </c>
      <c r="W15" s="276">
        <f>SUM(W14:$AV14)*$N15/100</f>
        <v>35029.711080000001</v>
      </c>
      <c r="X15" s="276">
        <f>SUM(X14:$AV14)*$N15/100</f>
        <v>29640.524759999997</v>
      </c>
      <c r="Y15" s="276">
        <f>SUM(Y14:$AV14)*$N15/100</f>
        <v>24251.33844</v>
      </c>
      <c r="Z15" s="276">
        <f>SUM(Z14:$AV14)*$N15/100</f>
        <v>18862.152119999999</v>
      </c>
      <c r="AA15" s="276">
        <f>SUM(AA14:$AV14)*$N15/100</f>
        <v>13472.965799999998</v>
      </c>
      <c r="AB15" s="276">
        <f>SUM(AB14:$AV14)*$N15/100</f>
        <v>8083.7794800000001</v>
      </c>
      <c r="AC15" s="276">
        <f>SUM(AC14:$AV14)*$N15/100</f>
        <v>2694.5931599999999</v>
      </c>
      <c r="AD15" s="276">
        <v>0</v>
      </c>
      <c r="AE15" s="276">
        <v>0</v>
      </c>
      <c r="AF15" s="276">
        <v>0</v>
      </c>
      <c r="AG15" s="276">
        <v>0</v>
      </c>
      <c r="AH15" s="276">
        <v>0</v>
      </c>
      <c r="AI15" s="276">
        <v>0</v>
      </c>
      <c r="AJ15" s="276">
        <v>0</v>
      </c>
      <c r="AK15" s="276">
        <v>0</v>
      </c>
      <c r="AL15" s="276">
        <v>0</v>
      </c>
      <c r="AM15" s="276">
        <v>0</v>
      </c>
      <c r="AN15" s="276">
        <v>0</v>
      </c>
      <c r="AO15" s="276">
        <v>0</v>
      </c>
      <c r="AP15" s="276">
        <v>0</v>
      </c>
      <c r="AQ15" s="276">
        <v>0</v>
      </c>
      <c r="AR15" s="276">
        <v>0</v>
      </c>
      <c r="AS15" s="276">
        <v>0</v>
      </c>
      <c r="AT15" s="276">
        <v>0</v>
      </c>
      <c r="AU15" s="276">
        <v>0</v>
      </c>
      <c r="AV15" s="276">
        <v>0</v>
      </c>
      <c r="AW15" s="276"/>
      <c r="AX15" s="276"/>
      <c r="AY15" s="277">
        <f t="shared" si="1"/>
        <v>237247.24596</v>
      </c>
      <c r="AZ15" s="250">
        <f t="shared" si="2"/>
        <v>0</v>
      </c>
      <c r="BA15" s="278">
        <f t="shared" si="3"/>
        <v>24251.33844</v>
      </c>
      <c r="BB15" s="277">
        <f t="shared" si="4"/>
        <v>237247.24596</v>
      </c>
      <c r="BD15" s="270" t="b">
        <f t="shared" si="5"/>
        <v>1</v>
      </c>
    </row>
    <row r="16" spans="2:57" s="270" customFormat="1" x14ac:dyDescent="0.25">
      <c r="B16" s="263" t="s">
        <v>754</v>
      </c>
      <c r="C16" s="263">
        <v>6</v>
      </c>
      <c r="D16" s="263" t="s">
        <v>1044</v>
      </c>
      <c r="E16" s="263" t="s">
        <v>1043</v>
      </c>
      <c r="F16" s="263" t="s">
        <v>1042</v>
      </c>
      <c r="G16" s="263" t="s">
        <v>1041</v>
      </c>
      <c r="H16" s="263" t="s">
        <v>1040</v>
      </c>
      <c r="I16" s="263" t="s">
        <v>716</v>
      </c>
      <c r="J16" s="264">
        <v>154450.12</v>
      </c>
      <c r="K16" s="264">
        <v>96866</v>
      </c>
      <c r="L16" s="264"/>
      <c r="M16" s="264"/>
      <c r="N16" s="265"/>
      <c r="O16" s="265"/>
      <c r="P16" s="265"/>
      <c r="Q16" s="265" t="s">
        <v>702</v>
      </c>
      <c r="R16" s="266">
        <v>5236</v>
      </c>
      <c r="S16" s="266">
        <v>5236</v>
      </c>
      <c r="T16" s="267">
        <f t="shared" si="0"/>
        <v>10472</v>
      </c>
      <c r="U16" s="267">
        <v>10472</v>
      </c>
      <c r="V16" s="267">
        <v>10472</v>
      </c>
      <c r="W16" s="267">
        <v>10472</v>
      </c>
      <c r="X16" s="267">
        <v>10472</v>
      </c>
      <c r="Y16" s="267">
        <v>10472</v>
      </c>
      <c r="Z16" s="267">
        <v>10472</v>
      </c>
      <c r="AA16" s="267">
        <v>10472</v>
      </c>
      <c r="AB16" s="267">
        <v>10472</v>
      </c>
      <c r="AC16" s="267">
        <v>7854</v>
      </c>
      <c r="AD16" s="267">
        <v>0</v>
      </c>
      <c r="AE16" s="267">
        <v>0</v>
      </c>
      <c r="AF16" s="267">
        <v>0</v>
      </c>
      <c r="AG16" s="267">
        <v>0</v>
      </c>
      <c r="AH16" s="267">
        <v>0</v>
      </c>
      <c r="AI16" s="267">
        <v>0</v>
      </c>
      <c r="AJ16" s="267">
        <v>0</v>
      </c>
      <c r="AK16" s="267">
        <v>0</v>
      </c>
      <c r="AL16" s="267">
        <v>0</v>
      </c>
      <c r="AM16" s="267">
        <v>0</v>
      </c>
      <c r="AN16" s="267">
        <v>0</v>
      </c>
      <c r="AO16" s="267">
        <v>0</v>
      </c>
      <c r="AP16" s="267">
        <v>0</v>
      </c>
      <c r="AQ16" s="267">
        <v>0</v>
      </c>
      <c r="AR16" s="267">
        <v>0</v>
      </c>
      <c r="AS16" s="267">
        <v>0</v>
      </c>
      <c r="AT16" s="267">
        <v>0</v>
      </c>
      <c r="AU16" s="267">
        <v>0</v>
      </c>
      <c r="AV16" s="267">
        <v>0</v>
      </c>
      <c r="AW16" s="267"/>
      <c r="AX16" s="267"/>
      <c r="AY16" s="268">
        <f t="shared" si="1"/>
        <v>102102</v>
      </c>
      <c r="AZ16" s="250">
        <f t="shared" si="2"/>
        <v>0</v>
      </c>
      <c r="BA16" s="269">
        <f t="shared" si="3"/>
        <v>28798</v>
      </c>
      <c r="BB16" s="268">
        <f t="shared" si="4"/>
        <v>102102</v>
      </c>
      <c r="BD16" s="270" t="b">
        <f t="shared" si="5"/>
        <v>1</v>
      </c>
      <c r="BE16" s="271">
        <f>BB16-K16-R16</f>
        <v>0</v>
      </c>
    </row>
    <row r="17" spans="2:57" x14ac:dyDescent="0.25">
      <c r="B17" s="272" t="s">
        <v>754</v>
      </c>
      <c r="C17" s="272"/>
      <c r="D17" s="272"/>
      <c r="E17" s="272"/>
      <c r="F17" s="272"/>
      <c r="G17" s="272"/>
      <c r="H17" s="272"/>
      <c r="I17" s="272"/>
      <c r="J17" s="273"/>
      <c r="K17" s="273"/>
      <c r="L17" s="273" t="s">
        <v>1039</v>
      </c>
      <c r="M17" s="273"/>
      <c r="N17" s="274">
        <f>SUM(O17:P17)</f>
        <v>4.3659999999999997</v>
      </c>
      <c r="O17" s="274">
        <v>4.3659999999999997</v>
      </c>
      <c r="P17" s="274">
        <f>$P$4</f>
        <v>0</v>
      </c>
      <c r="Q17" s="274" t="s">
        <v>701</v>
      </c>
      <c r="R17" s="275">
        <v>887.57999999999993</v>
      </c>
      <c r="S17" s="275">
        <v>632.54</v>
      </c>
      <c r="T17" s="276">
        <f t="shared" si="0"/>
        <v>1520.12</v>
      </c>
      <c r="U17" s="276">
        <f>SUM(U16:$AV16)*$N17/100</f>
        <v>4000.5657999999994</v>
      </c>
      <c r="V17" s="276">
        <f>SUM(V16:$AV16)*$N17/100</f>
        <v>3543.3582799999999</v>
      </c>
      <c r="W17" s="276">
        <f>SUM(W16:$AV16)*$N17/100</f>
        <v>3086.15076</v>
      </c>
      <c r="X17" s="276">
        <f>SUM(X16:$AV16)*$N17/100</f>
        <v>2628.9432399999996</v>
      </c>
      <c r="Y17" s="276">
        <f>SUM(Y16:$AV16)*$N17/100</f>
        <v>2171.7357199999997</v>
      </c>
      <c r="Z17" s="276">
        <f>SUM(Z16:$AV16)*$N17/100</f>
        <v>1714.5281999999997</v>
      </c>
      <c r="AA17" s="276">
        <f>SUM(AA16:$AV16)*$N17/100</f>
        <v>1257.3206799999998</v>
      </c>
      <c r="AB17" s="276">
        <f>SUM(AB16:$AV16)*$N17/100</f>
        <v>800.11315999999988</v>
      </c>
      <c r="AC17" s="276">
        <f>SUM(AC16:$AV16)*$N17/100</f>
        <v>342.90564000000001</v>
      </c>
      <c r="AD17" s="276">
        <v>0</v>
      </c>
      <c r="AE17" s="276">
        <v>0</v>
      </c>
      <c r="AF17" s="276">
        <v>0</v>
      </c>
      <c r="AG17" s="276">
        <v>0</v>
      </c>
      <c r="AH17" s="276">
        <v>0</v>
      </c>
      <c r="AI17" s="276">
        <v>0</v>
      </c>
      <c r="AJ17" s="276">
        <v>0</v>
      </c>
      <c r="AK17" s="276">
        <v>0</v>
      </c>
      <c r="AL17" s="276">
        <v>0</v>
      </c>
      <c r="AM17" s="276">
        <v>0</v>
      </c>
      <c r="AN17" s="276">
        <v>0</v>
      </c>
      <c r="AO17" s="276">
        <v>0</v>
      </c>
      <c r="AP17" s="276">
        <v>0</v>
      </c>
      <c r="AQ17" s="276">
        <v>0</v>
      </c>
      <c r="AR17" s="276">
        <v>0</v>
      </c>
      <c r="AS17" s="276">
        <v>0</v>
      </c>
      <c r="AT17" s="276">
        <v>0</v>
      </c>
      <c r="AU17" s="276">
        <v>0</v>
      </c>
      <c r="AV17" s="276">
        <v>0</v>
      </c>
      <c r="AW17" s="276"/>
      <c r="AX17" s="276"/>
      <c r="AY17" s="277">
        <f t="shared" si="1"/>
        <v>21065.741480000004</v>
      </c>
      <c r="AZ17" s="250">
        <f t="shared" si="2"/>
        <v>0</v>
      </c>
      <c r="BA17" s="278">
        <f t="shared" si="3"/>
        <v>2400.3394799999996</v>
      </c>
      <c r="BB17" s="277">
        <f t="shared" si="4"/>
        <v>21065.741480000001</v>
      </c>
      <c r="BD17" s="270" t="b">
        <f t="shared" si="5"/>
        <v>1</v>
      </c>
    </row>
    <row r="18" spans="2:57" s="270" customFormat="1" x14ac:dyDescent="0.25">
      <c r="B18" s="263" t="s">
        <v>754</v>
      </c>
      <c r="C18" s="263">
        <v>7</v>
      </c>
      <c r="D18" s="263" t="s">
        <v>1038</v>
      </c>
      <c r="E18" s="263" t="s">
        <v>1037</v>
      </c>
      <c r="F18" s="263" t="s">
        <v>1036</v>
      </c>
      <c r="G18" s="263" t="s">
        <v>1035</v>
      </c>
      <c r="H18" s="263" t="s">
        <v>1034</v>
      </c>
      <c r="I18" s="263" t="s">
        <v>716</v>
      </c>
      <c r="J18" s="264">
        <v>11123368</v>
      </c>
      <c r="K18" s="264">
        <v>9499600</v>
      </c>
      <c r="L18" s="264"/>
      <c r="M18" s="264"/>
      <c r="N18" s="265"/>
      <c r="O18" s="265"/>
      <c r="P18" s="265"/>
      <c r="Q18" s="265" t="s">
        <v>702</v>
      </c>
      <c r="R18" s="266">
        <v>189992</v>
      </c>
      <c r="S18" s="266">
        <v>189992</v>
      </c>
      <c r="T18" s="267">
        <f t="shared" si="0"/>
        <v>379984</v>
      </c>
      <c r="U18" s="267">
        <v>379984</v>
      </c>
      <c r="V18" s="267">
        <v>379984</v>
      </c>
      <c r="W18" s="267">
        <v>379984</v>
      </c>
      <c r="X18" s="267">
        <v>379984</v>
      </c>
      <c r="Y18" s="267">
        <v>379984</v>
      </c>
      <c r="Z18" s="267">
        <v>379984</v>
      </c>
      <c r="AA18" s="267">
        <v>379984</v>
      </c>
      <c r="AB18" s="267">
        <v>379984</v>
      </c>
      <c r="AC18" s="267">
        <v>379984</v>
      </c>
      <c r="AD18" s="267">
        <v>379984</v>
      </c>
      <c r="AE18" s="267">
        <v>379984</v>
      </c>
      <c r="AF18" s="267">
        <v>379984</v>
      </c>
      <c r="AG18" s="267">
        <v>379984</v>
      </c>
      <c r="AH18" s="267">
        <v>379984</v>
      </c>
      <c r="AI18" s="267">
        <v>379984</v>
      </c>
      <c r="AJ18" s="267">
        <v>379984</v>
      </c>
      <c r="AK18" s="267">
        <v>379984</v>
      </c>
      <c r="AL18" s="267">
        <v>379984</v>
      </c>
      <c r="AM18" s="267">
        <v>379984</v>
      </c>
      <c r="AN18" s="267">
        <v>379984</v>
      </c>
      <c r="AO18" s="267">
        <v>379984</v>
      </c>
      <c r="AP18" s="267">
        <v>379984</v>
      </c>
      <c r="AQ18" s="267">
        <v>379984</v>
      </c>
      <c r="AR18" s="267">
        <v>379984</v>
      </c>
      <c r="AS18" s="267">
        <v>189992</v>
      </c>
      <c r="AT18" s="267">
        <v>0</v>
      </c>
      <c r="AU18" s="267">
        <v>0</v>
      </c>
      <c r="AV18" s="267">
        <v>0</v>
      </c>
      <c r="AW18" s="267"/>
      <c r="AX18" s="267"/>
      <c r="AY18" s="268">
        <f t="shared" si="1"/>
        <v>9689592</v>
      </c>
      <c r="AZ18" s="250">
        <f t="shared" si="2"/>
        <v>0</v>
      </c>
      <c r="BA18" s="269">
        <f t="shared" si="3"/>
        <v>7029704</v>
      </c>
      <c r="BB18" s="268">
        <f t="shared" si="4"/>
        <v>9689592</v>
      </c>
      <c r="BD18" s="270" t="b">
        <f t="shared" si="5"/>
        <v>1</v>
      </c>
      <c r="BE18" s="271">
        <f>BB18-K18-R18</f>
        <v>0</v>
      </c>
    </row>
    <row r="19" spans="2:57" x14ac:dyDescent="0.25">
      <c r="B19" s="272" t="s">
        <v>754</v>
      </c>
      <c r="C19" s="272"/>
      <c r="D19" s="272"/>
      <c r="E19" s="272"/>
      <c r="F19" s="272"/>
      <c r="G19" s="272"/>
      <c r="H19" s="272"/>
      <c r="I19" s="272"/>
      <c r="J19" s="273"/>
      <c r="K19" s="273"/>
      <c r="L19" s="273" t="s">
        <v>1033</v>
      </c>
      <c r="M19" s="273"/>
      <c r="N19" s="274">
        <f>SUM(O19:P19)</f>
        <v>3.8719999999999999</v>
      </c>
      <c r="O19" s="274">
        <v>3.8719999999999999</v>
      </c>
      <c r="P19" s="274">
        <f>$P$4</f>
        <v>0</v>
      </c>
      <c r="Q19" s="274" t="s">
        <v>701</v>
      </c>
      <c r="R19" s="275">
        <v>93779.03</v>
      </c>
      <c r="S19" s="275">
        <v>87825.27</v>
      </c>
      <c r="T19" s="276">
        <f t="shared" si="0"/>
        <v>181604.3</v>
      </c>
      <c r="U19" s="276">
        <f>SUM(U18:$AV18)*$N19/100</f>
        <v>360468.02175999997</v>
      </c>
      <c r="V19" s="276">
        <f>SUM(V18:$AV18)*$N19/100</f>
        <v>345755.04128</v>
      </c>
      <c r="W19" s="276">
        <f>SUM(W18:$AV18)*$N19/100</f>
        <v>331042.06079999998</v>
      </c>
      <c r="X19" s="276">
        <f>SUM(X18:$AV18)*$N19/100</f>
        <v>316329.08031999995</v>
      </c>
      <c r="Y19" s="276">
        <f>SUM(Y18:$AV18)*$N19/100</f>
        <v>301616.09983999998</v>
      </c>
      <c r="Z19" s="276">
        <f>SUM(Z18:$AV18)*$N19/100</f>
        <v>286903.11936000001</v>
      </c>
      <c r="AA19" s="276">
        <f>SUM(AA18:$AV18)*$N19/100</f>
        <v>272190.13887999998</v>
      </c>
      <c r="AB19" s="276">
        <f>SUM(AB18:$AV18)*$N19/100</f>
        <v>257477.15839999999</v>
      </c>
      <c r="AC19" s="276">
        <f>SUM(AC18:$AV18)*$N19/100</f>
        <v>242764.17791999999</v>
      </c>
      <c r="AD19" s="276">
        <f>SUM(AD18:$AV18)*$N19/100</f>
        <v>228051.19743999999</v>
      </c>
      <c r="AE19" s="276">
        <f>SUM(AE18:$AV18)*$N19/100</f>
        <v>213338.21695999999</v>
      </c>
      <c r="AF19" s="276">
        <f>SUM(AF18:$AV18)*$N19/100</f>
        <v>198625.23647999999</v>
      </c>
      <c r="AG19" s="276">
        <f>SUM(AG18:$AV18)*$N19/100</f>
        <v>183912.25599999996</v>
      </c>
      <c r="AH19" s="276">
        <f>SUM(AH18:$AV18)*$N19/100</f>
        <v>169199.27552000002</v>
      </c>
      <c r="AI19" s="276">
        <f>SUM(AI18:$AV18)*$N19/100</f>
        <v>154486.29504</v>
      </c>
      <c r="AJ19" s="276">
        <f>SUM(AJ18:$AV18)*$N19/100</f>
        <v>139773.31456</v>
      </c>
      <c r="AK19" s="276">
        <f>SUM(AK18:$AV18)*$N19/100</f>
        <v>125060.33408</v>
      </c>
      <c r="AL19" s="276">
        <f>SUM(AL18:$AV18)*$N19/100</f>
        <v>110347.35359999999</v>
      </c>
      <c r="AM19" s="276">
        <f>SUM(AM18:$AV18)*$N19/100</f>
        <v>95634.373119999989</v>
      </c>
      <c r="AN19" s="276">
        <f>SUM(AN18:$AV18)*$N19/100</f>
        <v>80921.392639999991</v>
      </c>
      <c r="AO19" s="276">
        <f>SUM(AO18:$AV18)*$N19/100</f>
        <v>66208.412160000007</v>
      </c>
      <c r="AP19" s="276">
        <f>SUM(AP18:$AV18)*$N19/100</f>
        <v>51495.431679999994</v>
      </c>
      <c r="AQ19" s="276">
        <f>SUM(AQ18:$AV18)*$N19/100</f>
        <v>36782.451200000003</v>
      </c>
      <c r="AR19" s="276">
        <f>SUM(AR18:$AV18)*$N19/100</f>
        <v>22069.470720000001</v>
      </c>
      <c r="AS19" s="276">
        <f>SUM(AS18:$AV18)*$N19/100</f>
        <v>7356.4902400000001</v>
      </c>
      <c r="AT19" s="276">
        <v>0</v>
      </c>
      <c r="AU19" s="276">
        <v>0</v>
      </c>
      <c r="AV19" s="276">
        <v>0</v>
      </c>
      <c r="AW19" s="276"/>
      <c r="AX19" s="276"/>
      <c r="AY19" s="277">
        <f t="shared" si="1"/>
        <v>4779410.7</v>
      </c>
      <c r="AZ19" s="250">
        <f t="shared" si="2"/>
        <v>0</v>
      </c>
      <c r="BA19" s="278">
        <f t="shared" si="3"/>
        <v>2655692.9766400005</v>
      </c>
      <c r="BB19" s="277">
        <f t="shared" si="4"/>
        <v>4779410.7</v>
      </c>
      <c r="BD19" s="270" t="b">
        <f t="shared" si="5"/>
        <v>1</v>
      </c>
    </row>
    <row r="20" spans="2:57" s="270" customFormat="1" x14ac:dyDescent="0.25">
      <c r="B20" s="263" t="s">
        <v>756</v>
      </c>
      <c r="C20" s="263">
        <v>8</v>
      </c>
      <c r="D20" s="263" t="s">
        <v>1032</v>
      </c>
      <c r="E20" s="263" t="s">
        <v>1031</v>
      </c>
      <c r="F20" s="263" t="s">
        <v>1030</v>
      </c>
      <c r="G20" s="263" t="s">
        <v>1029</v>
      </c>
      <c r="H20" s="263" t="s">
        <v>1028</v>
      </c>
      <c r="I20" s="263" t="s">
        <v>716</v>
      </c>
      <c r="J20" s="264">
        <v>484935.32</v>
      </c>
      <c r="K20" s="264">
        <v>299602</v>
      </c>
      <c r="L20" s="264"/>
      <c r="M20" s="264"/>
      <c r="N20" s="265"/>
      <c r="O20" s="265"/>
      <c r="P20" s="265"/>
      <c r="Q20" s="265" t="s">
        <v>702</v>
      </c>
      <c r="R20" s="266">
        <v>10156</v>
      </c>
      <c r="S20" s="266">
        <v>10156</v>
      </c>
      <c r="T20" s="267">
        <f t="shared" si="0"/>
        <v>20312</v>
      </c>
      <c r="U20" s="267">
        <v>20312</v>
      </c>
      <c r="V20" s="267">
        <v>20312</v>
      </c>
      <c r="W20" s="267">
        <v>20312</v>
      </c>
      <c r="X20" s="267">
        <v>20312</v>
      </c>
      <c r="Y20" s="267">
        <v>20312</v>
      </c>
      <c r="Z20" s="267">
        <v>20312</v>
      </c>
      <c r="AA20" s="267">
        <v>20312</v>
      </c>
      <c r="AB20" s="267">
        <v>20312</v>
      </c>
      <c r="AC20" s="267">
        <v>20312</v>
      </c>
      <c r="AD20" s="267">
        <v>20312</v>
      </c>
      <c r="AE20" s="267">
        <v>20312</v>
      </c>
      <c r="AF20" s="267">
        <v>20312</v>
      </c>
      <c r="AG20" s="267">
        <v>20312</v>
      </c>
      <c r="AH20" s="267">
        <v>20312</v>
      </c>
      <c r="AI20" s="267">
        <v>5078</v>
      </c>
      <c r="AJ20" s="267">
        <v>0</v>
      </c>
      <c r="AK20" s="267">
        <v>0</v>
      </c>
      <c r="AL20" s="267">
        <v>0</v>
      </c>
      <c r="AM20" s="267">
        <v>0</v>
      </c>
      <c r="AN20" s="267">
        <v>0</v>
      </c>
      <c r="AO20" s="267">
        <v>0</v>
      </c>
      <c r="AP20" s="267">
        <v>0</v>
      </c>
      <c r="AQ20" s="267">
        <v>0</v>
      </c>
      <c r="AR20" s="267">
        <v>0</v>
      </c>
      <c r="AS20" s="267">
        <v>0</v>
      </c>
      <c r="AT20" s="267">
        <v>0</v>
      </c>
      <c r="AU20" s="267">
        <v>0</v>
      </c>
      <c r="AV20" s="267">
        <v>0</v>
      </c>
      <c r="AW20" s="267"/>
      <c r="AX20" s="267"/>
      <c r="AY20" s="268">
        <f t="shared" si="1"/>
        <v>309758</v>
      </c>
      <c r="AZ20" s="250">
        <f t="shared" si="2"/>
        <v>0</v>
      </c>
      <c r="BA20" s="269">
        <f t="shared" si="3"/>
        <v>167574</v>
      </c>
      <c r="BB20" s="268">
        <f t="shared" si="4"/>
        <v>309758</v>
      </c>
      <c r="BD20" s="270" t="b">
        <f t="shared" si="5"/>
        <v>1</v>
      </c>
      <c r="BE20" s="271">
        <f>BB20-K20-R20</f>
        <v>0</v>
      </c>
    </row>
    <row r="21" spans="2:57" x14ac:dyDescent="0.25">
      <c r="B21" s="272" t="s">
        <v>756</v>
      </c>
      <c r="C21" s="272"/>
      <c r="D21" s="272"/>
      <c r="E21" s="272"/>
      <c r="F21" s="272"/>
      <c r="G21" s="272"/>
      <c r="H21" s="272"/>
      <c r="I21" s="272"/>
      <c r="J21" s="273"/>
      <c r="K21" s="273"/>
      <c r="L21" s="273" t="s">
        <v>1027</v>
      </c>
      <c r="M21" s="273"/>
      <c r="N21" s="274">
        <f>SUM(O21:P21)</f>
        <v>3.613</v>
      </c>
      <c r="O21" s="274">
        <v>3.613</v>
      </c>
      <c r="P21" s="274">
        <f>$P$4</f>
        <v>0</v>
      </c>
      <c r="Q21" s="274" t="s">
        <v>701</v>
      </c>
      <c r="R21" s="275">
        <v>4344.29</v>
      </c>
      <c r="S21" s="275">
        <v>2569.66</v>
      </c>
      <c r="T21" s="276">
        <f t="shared" si="0"/>
        <v>6913.95</v>
      </c>
      <c r="U21" s="276">
        <f>SUM(U20:$AV20)*$N21/100</f>
        <v>10457.68398</v>
      </c>
      <c r="V21" s="276">
        <f>SUM(V20:$AV20)*$N21/100</f>
        <v>9723.81142</v>
      </c>
      <c r="W21" s="276">
        <f>SUM(W20:$AV20)*$N21/100</f>
        <v>8989.9388600000002</v>
      </c>
      <c r="X21" s="276">
        <f>SUM(X20:$AV20)*$N21/100</f>
        <v>8256.0663000000004</v>
      </c>
      <c r="Y21" s="276">
        <f>SUM(Y20:$AV20)*$N21/100</f>
        <v>7522.1937399999997</v>
      </c>
      <c r="Z21" s="276">
        <f>SUM(Z20:$AV20)*$N21/100</f>
        <v>6788.3211799999999</v>
      </c>
      <c r="AA21" s="276">
        <f>SUM(AA20:$AV20)*$N21/100</f>
        <v>6054.4486199999992</v>
      </c>
      <c r="AB21" s="276">
        <f>SUM(AB20:$AV20)*$N21/100</f>
        <v>5320.5760600000003</v>
      </c>
      <c r="AC21" s="276">
        <f>SUM(AC20:$AV20)*$N21/100</f>
        <v>4586.7034999999996</v>
      </c>
      <c r="AD21" s="276">
        <f>SUM(AD20:$AV20)*$N21/100</f>
        <v>3852.8309399999998</v>
      </c>
      <c r="AE21" s="276">
        <f>SUM(AE20:$AV20)*$N21/100</f>
        <v>3118.95838</v>
      </c>
      <c r="AF21" s="276">
        <f>SUM(AF20:$AV20)*$N21/100</f>
        <v>2385.0858199999998</v>
      </c>
      <c r="AG21" s="276">
        <f>SUM(AG20:$AV20)*$N21/100</f>
        <v>1651.21326</v>
      </c>
      <c r="AH21" s="276">
        <f>SUM(AH20:$AV20)*$N21/100</f>
        <v>917.34070000000008</v>
      </c>
      <c r="AI21" s="276">
        <f>SUM(AI20:$AV20)*$N21/100</f>
        <v>183.46813999999998</v>
      </c>
      <c r="AJ21" s="276">
        <v>0</v>
      </c>
      <c r="AK21" s="276">
        <v>0</v>
      </c>
      <c r="AL21" s="276">
        <v>0</v>
      </c>
      <c r="AM21" s="276">
        <v>0</v>
      </c>
      <c r="AN21" s="276">
        <v>0</v>
      </c>
      <c r="AO21" s="276">
        <v>0</v>
      </c>
      <c r="AP21" s="276">
        <v>0</v>
      </c>
      <c r="AQ21" s="276">
        <v>0</v>
      </c>
      <c r="AR21" s="276">
        <v>0</v>
      </c>
      <c r="AS21" s="276">
        <v>0</v>
      </c>
      <c r="AT21" s="276">
        <v>0</v>
      </c>
      <c r="AU21" s="276">
        <v>0</v>
      </c>
      <c r="AV21" s="276">
        <v>0</v>
      </c>
      <c r="AW21" s="276"/>
      <c r="AX21" s="276"/>
      <c r="AY21" s="277">
        <f t="shared" si="1"/>
        <v>86722.590899999996</v>
      </c>
      <c r="AZ21" s="250">
        <f t="shared" si="2"/>
        <v>0</v>
      </c>
      <c r="BA21" s="278">
        <f t="shared" si="3"/>
        <v>28070.62542</v>
      </c>
      <c r="BB21" s="277">
        <f t="shared" si="4"/>
        <v>86722.590899999996</v>
      </c>
      <c r="BD21" s="270" t="b">
        <f t="shared" si="5"/>
        <v>1</v>
      </c>
    </row>
    <row r="22" spans="2:57" s="270" customFormat="1" x14ac:dyDescent="0.25">
      <c r="B22" s="263" t="s">
        <v>756</v>
      </c>
      <c r="C22" s="263">
        <v>9</v>
      </c>
      <c r="D22" s="263" t="s">
        <v>1026</v>
      </c>
      <c r="E22" s="263" t="s">
        <v>1025</v>
      </c>
      <c r="F22" s="263" t="s">
        <v>1024</v>
      </c>
      <c r="G22" s="263" t="s">
        <v>1012</v>
      </c>
      <c r="H22" s="263" t="s">
        <v>1011</v>
      </c>
      <c r="I22" s="263" t="s">
        <v>716</v>
      </c>
      <c r="J22" s="264">
        <v>278611.39</v>
      </c>
      <c r="K22" s="264">
        <v>217140</v>
      </c>
      <c r="L22" s="264"/>
      <c r="M22" s="264"/>
      <c r="N22" s="265"/>
      <c r="O22" s="265"/>
      <c r="P22" s="265"/>
      <c r="Q22" s="265" t="s">
        <v>702</v>
      </c>
      <c r="R22" s="266">
        <v>7238</v>
      </c>
      <c r="S22" s="266">
        <v>7238</v>
      </c>
      <c r="T22" s="267">
        <f t="shared" si="0"/>
        <v>14476</v>
      </c>
      <c r="U22" s="267">
        <v>14476</v>
      </c>
      <c r="V22" s="267">
        <v>14476</v>
      </c>
      <c r="W22" s="267">
        <v>14476</v>
      </c>
      <c r="X22" s="267">
        <v>14476</v>
      </c>
      <c r="Y22" s="267">
        <v>14476</v>
      </c>
      <c r="Z22" s="267">
        <v>14476</v>
      </c>
      <c r="AA22" s="267">
        <v>14476</v>
      </c>
      <c r="AB22" s="267">
        <v>14476</v>
      </c>
      <c r="AC22" s="267">
        <v>14476</v>
      </c>
      <c r="AD22" s="267">
        <v>14476</v>
      </c>
      <c r="AE22" s="267">
        <v>14476</v>
      </c>
      <c r="AF22" s="267">
        <v>14476</v>
      </c>
      <c r="AG22" s="267">
        <v>14476</v>
      </c>
      <c r="AH22" s="267">
        <v>14476</v>
      </c>
      <c r="AI22" s="267">
        <v>7238</v>
      </c>
      <c r="AJ22" s="267">
        <v>0</v>
      </c>
      <c r="AK22" s="267">
        <v>0</v>
      </c>
      <c r="AL22" s="267">
        <v>0</v>
      </c>
      <c r="AM22" s="267">
        <v>0</v>
      </c>
      <c r="AN22" s="267">
        <v>0</v>
      </c>
      <c r="AO22" s="267">
        <v>0</v>
      </c>
      <c r="AP22" s="267">
        <v>0</v>
      </c>
      <c r="AQ22" s="267">
        <v>0</v>
      </c>
      <c r="AR22" s="267">
        <v>0</v>
      </c>
      <c r="AS22" s="267">
        <v>0</v>
      </c>
      <c r="AT22" s="267">
        <v>0</v>
      </c>
      <c r="AU22" s="267">
        <v>0</v>
      </c>
      <c r="AV22" s="267">
        <v>0</v>
      </c>
      <c r="AW22" s="267"/>
      <c r="AX22" s="267"/>
      <c r="AY22" s="268">
        <f t="shared" si="1"/>
        <v>224378</v>
      </c>
      <c r="AZ22" s="250">
        <f t="shared" si="2"/>
        <v>0</v>
      </c>
      <c r="BA22" s="269">
        <f t="shared" si="3"/>
        <v>123046</v>
      </c>
      <c r="BB22" s="268">
        <f t="shared" si="4"/>
        <v>224378</v>
      </c>
      <c r="BD22" s="270" t="b">
        <f t="shared" si="5"/>
        <v>1</v>
      </c>
      <c r="BE22" s="271">
        <f>BB22-K22-R22</f>
        <v>0</v>
      </c>
    </row>
    <row r="23" spans="2:57" x14ac:dyDescent="0.25">
      <c r="B23" s="272" t="s">
        <v>756</v>
      </c>
      <c r="C23" s="272"/>
      <c r="D23" s="272"/>
      <c r="E23" s="272"/>
      <c r="F23" s="272"/>
      <c r="G23" s="272"/>
      <c r="H23" s="272"/>
      <c r="I23" s="272"/>
      <c r="J23" s="273"/>
      <c r="K23" s="273"/>
      <c r="L23" s="273" t="s">
        <v>1010</v>
      </c>
      <c r="M23" s="273"/>
      <c r="N23" s="274">
        <f>SUM(O23:P23)</f>
        <v>4.0570000000000004</v>
      </c>
      <c r="O23" s="274">
        <v>4.0570000000000004</v>
      </c>
      <c r="P23" s="274">
        <f>$P$4</f>
        <v>0</v>
      </c>
      <c r="Q23" s="274" t="s">
        <v>701</v>
      </c>
      <c r="R23" s="275">
        <v>1758.2300000000002</v>
      </c>
      <c r="S23" s="275">
        <v>2108.35</v>
      </c>
      <c r="T23" s="276">
        <f t="shared" si="0"/>
        <v>3866.58</v>
      </c>
      <c r="U23" s="276">
        <f>SUM(U22:$AV22)*$N23/100</f>
        <v>8515.7241400000003</v>
      </c>
      <c r="V23" s="276">
        <f>SUM(V22:$AV22)*$N23/100</f>
        <v>7928.4328200000009</v>
      </c>
      <c r="W23" s="276">
        <f>SUM(W22:$AV22)*$N23/100</f>
        <v>7341.1415000000006</v>
      </c>
      <c r="X23" s="276">
        <f>SUM(X22:$AV22)*$N23/100</f>
        <v>6753.8501800000004</v>
      </c>
      <c r="Y23" s="276">
        <f>SUM(Y22:$AV22)*$N23/100</f>
        <v>6166.558860000001</v>
      </c>
      <c r="Z23" s="276">
        <f>SUM(Z22:$AV22)*$N23/100</f>
        <v>5579.2675400000007</v>
      </c>
      <c r="AA23" s="276">
        <f>SUM(AA22:$AV22)*$N23/100</f>
        <v>4991.9762200000005</v>
      </c>
      <c r="AB23" s="276">
        <f>SUM(AB22:$AV22)*$N23/100</f>
        <v>4404.6849000000002</v>
      </c>
      <c r="AC23" s="276">
        <f>SUM(AC22:$AV22)*$N23/100</f>
        <v>3817.3935799999999</v>
      </c>
      <c r="AD23" s="276">
        <f>SUM(AD22:$AV22)*$N23/100</f>
        <v>3230.1022600000001</v>
      </c>
      <c r="AE23" s="276">
        <f>SUM(AE22:$AV22)*$N23/100</f>
        <v>2642.8109400000003</v>
      </c>
      <c r="AF23" s="276">
        <f>SUM(AF22:$AV22)*$N23/100</f>
        <v>2055.5196200000005</v>
      </c>
      <c r="AG23" s="276">
        <f>SUM(AG22:$AV22)*$N23/100</f>
        <v>1468.2283000000002</v>
      </c>
      <c r="AH23" s="276">
        <f>SUM(AH22:$AV22)*$N23/100</f>
        <v>880.93698000000006</v>
      </c>
      <c r="AI23" s="276">
        <f>SUM(AI22:$AV22)*$N23/100</f>
        <v>293.64566000000002</v>
      </c>
      <c r="AJ23" s="276">
        <v>0</v>
      </c>
      <c r="AK23" s="276">
        <v>0</v>
      </c>
      <c r="AL23" s="276">
        <v>0</v>
      </c>
      <c r="AM23" s="276">
        <v>0</v>
      </c>
      <c r="AN23" s="276">
        <v>0</v>
      </c>
      <c r="AO23" s="276">
        <v>0</v>
      </c>
      <c r="AP23" s="276">
        <v>0</v>
      </c>
      <c r="AQ23" s="276">
        <v>0</v>
      </c>
      <c r="AR23" s="276">
        <v>0</v>
      </c>
      <c r="AS23" s="276">
        <v>0</v>
      </c>
      <c r="AT23" s="276">
        <v>0</v>
      </c>
      <c r="AU23" s="276">
        <v>0</v>
      </c>
      <c r="AV23" s="276">
        <v>0</v>
      </c>
      <c r="AW23" s="276"/>
      <c r="AX23" s="276"/>
      <c r="AY23" s="277">
        <f t="shared" si="1"/>
        <v>69936.853499999997</v>
      </c>
      <c r="AZ23" s="250">
        <f t="shared" si="2"/>
        <v>0</v>
      </c>
      <c r="BA23" s="278">
        <f t="shared" si="3"/>
        <v>23785.298459999995</v>
      </c>
      <c r="BB23" s="277">
        <f t="shared" si="4"/>
        <v>69936.853499999997</v>
      </c>
      <c r="BD23" s="270" t="b">
        <f t="shared" si="5"/>
        <v>1</v>
      </c>
    </row>
    <row r="24" spans="2:57" s="270" customFormat="1" x14ac:dyDescent="0.25">
      <c r="B24" s="263" t="s">
        <v>756</v>
      </c>
      <c r="C24" s="263">
        <v>10</v>
      </c>
      <c r="D24" s="263" t="s">
        <v>1023</v>
      </c>
      <c r="E24" s="263" t="s">
        <v>1022</v>
      </c>
      <c r="F24" s="263" t="s">
        <v>1021</v>
      </c>
      <c r="G24" s="263" t="s">
        <v>1012</v>
      </c>
      <c r="H24" s="263" t="s">
        <v>1020</v>
      </c>
      <c r="I24" s="263" t="s">
        <v>716</v>
      </c>
      <c r="J24" s="264">
        <v>55899</v>
      </c>
      <c r="K24" s="264">
        <v>17888</v>
      </c>
      <c r="L24" s="264"/>
      <c r="M24" s="264"/>
      <c r="N24" s="265"/>
      <c r="O24" s="265"/>
      <c r="P24" s="265"/>
      <c r="Q24" s="265" t="s">
        <v>702</v>
      </c>
      <c r="R24" s="266">
        <v>4472</v>
      </c>
      <c r="S24" s="266">
        <v>4472</v>
      </c>
      <c r="T24" s="267">
        <f t="shared" si="0"/>
        <v>8944</v>
      </c>
      <c r="U24" s="267">
        <v>8944</v>
      </c>
      <c r="V24" s="267">
        <v>4472</v>
      </c>
      <c r="W24" s="267">
        <v>0</v>
      </c>
      <c r="X24" s="267">
        <v>0</v>
      </c>
      <c r="Y24" s="267">
        <v>0</v>
      </c>
      <c r="Z24" s="267">
        <v>0</v>
      </c>
      <c r="AA24" s="267">
        <v>0</v>
      </c>
      <c r="AB24" s="267">
        <v>0</v>
      </c>
      <c r="AC24" s="267">
        <v>0</v>
      </c>
      <c r="AD24" s="267">
        <v>0</v>
      </c>
      <c r="AE24" s="267">
        <v>0</v>
      </c>
      <c r="AF24" s="267">
        <v>0</v>
      </c>
      <c r="AG24" s="267">
        <v>0</v>
      </c>
      <c r="AH24" s="267">
        <v>0</v>
      </c>
      <c r="AI24" s="267">
        <v>0</v>
      </c>
      <c r="AJ24" s="267">
        <v>0</v>
      </c>
      <c r="AK24" s="267">
        <v>0</v>
      </c>
      <c r="AL24" s="267">
        <v>0</v>
      </c>
      <c r="AM24" s="267">
        <v>0</v>
      </c>
      <c r="AN24" s="267">
        <v>0</v>
      </c>
      <c r="AO24" s="267">
        <v>0</v>
      </c>
      <c r="AP24" s="267">
        <v>0</v>
      </c>
      <c r="AQ24" s="267">
        <v>0</v>
      </c>
      <c r="AR24" s="267">
        <v>0</v>
      </c>
      <c r="AS24" s="267">
        <v>0</v>
      </c>
      <c r="AT24" s="267">
        <v>0</v>
      </c>
      <c r="AU24" s="267">
        <v>0</v>
      </c>
      <c r="AV24" s="267">
        <v>0</v>
      </c>
      <c r="AW24" s="267"/>
      <c r="AX24" s="267"/>
      <c r="AY24" s="268">
        <f t="shared" si="1"/>
        <v>22360</v>
      </c>
      <c r="AZ24" s="250">
        <f t="shared" si="2"/>
        <v>0</v>
      </c>
      <c r="BA24" s="269">
        <f t="shared" si="3"/>
        <v>0</v>
      </c>
      <c r="BB24" s="268">
        <f t="shared" si="4"/>
        <v>22360</v>
      </c>
      <c r="BD24" s="270" t="b">
        <f t="shared" si="5"/>
        <v>1</v>
      </c>
      <c r="BE24" s="271">
        <f>BB24-K24-R24</f>
        <v>0</v>
      </c>
    </row>
    <row r="25" spans="2:57" x14ac:dyDescent="0.25">
      <c r="B25" s="272" t="s">
        <v>756</v>
      </c>
      <c r="C25" s="272"/>
      <c r="D25" s="272"/>
      <c r="E25" s="272"/>
      <c r="F25" s="272"/>
      <c r="G25" s="272"/>
      <c r="H25" s="272"/>
      <c r="I25" s="272"/>
      <c r="J25" s="273"/>
      <c r="K25" s="273"/>
      <c r="L25" s="273" t="s">
        <v>1010</v>
      </c>
      <c r="M25" s="273"/>
      <c r="N25" s="274">
        <f>SUM(O25:P25)</f>
        <v>4.0570000000000004</v>
      </c>
      <c r="O25" s="274">
        <v>4.0570000000000004</v>
      </c>
      <c r="P25" s="274">
        <f>$P$4</f>
        <v>0</v>
      </c>
      <c r="Q25" s="274" t="s">
        <v>701</v>
      </c>
      <c r="R25" s="275">
        <v>165.95999999999998</v>
      </c>
      <c r="S25" s="275">
        <v>171.43</v>
      </c>
      <c r="T25" s="276">
        <f t="shared" si="0"/>
        <v>337.39</v>
      </c>
      <c r="U25" s="276">
        <f>SUM(U24:$AV24)*$N25/100</f>
        <v>544.28712000000007</v>
      </c>
      <c r="V25" s="276">
        <f>SUM(V24:$AV24)*$N25/100</f>
        <v>181.42904000000001</v>
      </c>
      <c r="W25" s="276">
        <v>0</v>
      </c>
      <c r="X25" s="276">
        <v>0</v>
      </c>
      <c r="Y25" s="276">
        <v>0</v>
      </c>
      <c r="Z25" s="276">
        <v>0</v>
      </c>
      <c r="AA25" s="276">
        <v>0</v>
      </c>
      <c r="AB25" s="276">
        <v>0</v>
      </c>
      <c r="AC25" s="276">
        <v>0</v>
      </c>
      <c r="AD25" s="276">
        <v>0</v>
      </c>
      <c r="AE25" s="276">
        <v>0</v>
      </c>
      <c r="AF25" s="276">
        <v>0</v>
      </c>
      <c r="AG25" s="276">
        <v>0</v>
      </c>
      <c r="AH25" s="276">
        <v>0</v>
      </c>
      <c r="AI25" s="276">
        <v>0</v>
      </c>
      <c r="AJ25" s="276">
        <v>0</v>
      </c>
      <c r="AK25" s="276">
        <v>0</v>
      </c>
      <c r="AL25" s="276">
        <v>0</v>
      </c>
      <c r="AM25" s="276">
        <v>0</v>
      </c>
      <c r="AN25" s="276">
        <v>0</v>
      </c>
      <c r="AO25" s="276">
        <v>0</v>
      </c>
      <c r="AP25" s="276">
        <v>0</v>
      </c>
      <c r="AQ25" s="276">
        <v>0</v>
      </c>
      <c r="AR25" s="276">
        <v>0</v>
      </c>
      <c r="AS25" s="276">
        <v>0</v>
      </c>
      <c r="AT25" s="276">
        <v>0</v>
      </c>
      <c r="AU25" s="276">
        <v>0</v>
      </c>
      <c r="AV25" s="276">
        <v>0</v>
      </c>
      <c r="AW25" s="276"/>
      <c r="AX25" s="276"/>
      <c r="AY25" s="277">
        <f t="shared" si="1"/>
        <v>1063.10616</v>
      </c>
      <c r="AZ25" s="250">
        <f t="shared" si="2"/>
        <v>0</v>
      </c>
      <c r="BA25" s="278">
        <f t="shared" si="3"/>
        <v>0</v>
      </c>
      <c r="BB25" s="277">
        <f t="shared" si="4"/>
        <v>1063.10616</v>
      </c>
      <c r="BD25" s="270" t="b">
        <f t="shared" si="5"/>
        <v>1</v>
      </c>
    </row>
    <row r="26" spans="2:57" s="270" customFormat="1" x14ac:dyDescent="0.25">
      <c r="B26" s="263" t="s">
        <v>756</v>
      </c>
      <c r="C26" s="263">
        <v>11</v>
      </c>
      <c r="D26" s="263" t="s">
        <v>1019</v>
      </c>
      <c r="E26" s="263" t="s">
        <v>1018</v>
      </c>
      <c r="F26" s="263" t="s">
        <v>1017</v>
      </c>
      <c r="G26" s="263" t="s">
        <v>1012</v>
      </c>
      <c r="H26" s="263" t="s">
        <v>1016</v>
      </c>
      <c r="I26" s="263" t="s">
        <v>716</v>
      </c>
      <c r="J26" s="264">
        <v>49472</v>
      </c>
      <c r="K26" s="264">
        <v>14800</v>
      </c>
      <c r="L26" s="264"/>
      <c r="M26" s="264"/>
      <c r="N26" s="265"/>
      <c r="O26" s="265"/>
      <c r="P26" s="265"/>
      <c r="Q26" s="265" t="s">
        <v>702</v>
      </c>
      <c r="R26" s="266">
        <v>740</v>
      </c>
      <c r="S26" s="266">
        <v>740</v>
      </c>
      <c r="T26" s="267">
        <f t="shared" si="0"/>
        <v>1480</v>
      </c>
      <c r="U26" s="267">
        <v>1480</v>
      </c>
      <c r="V26" s="267">
        <v>1480</v>
      </c>
      <c r="W26" s="267">
        <v>1480</v>
      </c>
      <c r="X26" s="267">
        <v>1480</v>
      </c>
      <c r="Y26" s="267">
        <v>1480</v>
      </c>
      <c r="Z26" s="267">
        <v>1480</v>
      </c>
      <c r="AA26" s="267">
        <v>1480</v>
      </c>
      <c r="AB26" s="267">
        <v>1480</v>
      </c>
      <c r="AC26" s="267">
        <v>1480</v>
      </c>
      <c r="AD26" s="267">
        <v>740</v>
      </c>
      <c r="AE26" s="267">
        <v>0</v>
      </c>
      <c r="AF26" s="267">
        <v>0</v>
      </c>
      <c r="AG26" s="267">
        <v>0</v>
      </c>
      <c r="AH26" s="267">
        <v>0</v>
      </c>
      <c r="AI26" s="267">
        <v>0</v>
      </c>
      <c r="AJ26" s="267">
        <v>0</v>
      </c>
      <c r="AK26" s="267">
        <v>0</v>
      </c>
      <c r="AL26" s="267">
        <v>0</v>
      </c>
      <c r="AM26" s="267">
        <v>0</v>
      </c>
      <c r="AN26" s="267">
        <v>0</v>
      </c>
      <c r="AO26" s="267">
        <v>0</v>
      </c>
      <c r="AP26" s="267">
        <v>0</v>
      </c>
      <c r="AQ26" s="267">
        <v>0</v>
      </c>
      <c r="AR26" s="267">
        <v>0</v>
      </c>
      <c r="AS26" s="267">
        <v>0</v>
      </c>
      <c r="AT26" s="267">
        <v>0</v>
      </c>
      <c r="AU26" s="267">
        <v>0</v>
      </c>
      <c r="AV26" s="267">
        <v>0</v>
      </c>
      <c r="AW26" s="267"/>
      <c r="AX26" s="267"/>
      <c r="AY26" s="268">
        <f t="shared" si="1"/>
        <v>15540</v>
      </c>
      <c r="AZ26" s="250">
        <f t="shared" si="2"/>
        <v>0</v>
      </c>
      <c r="BA26" s="269">
        <f t="shared" si="3"/>
        <v>5180</v>
      </c>
      <c r="BB26" s="268">
        <f t="shared" si="4"/>
        <v>15540</v>
      </c>
      <c r="BD26" s="270" t="b">
        <f t="shared" si="5"/>
        <v>1</v>
      </c>
      <c r="BE26" s="271">
        <f>BB26-K26-R26</f>
        <v>0</v>
      </c>
    </row>
    <row r="27" spans="2:57" x14ac:dyDescent="0.25">
      <c r="B27" s="272" t="s">
        <v>756</v>
      </c>
      <c r="C27" s="272"/>
      <c r="D27" s="272"/>
      <c r="E27" s="272"/>
      <c r="F27" s="272"/>
      <c r="G27" s="272"/>
      <c r="H27" s="272"/>
      <c r="I27" s="272"/>
      <c r="J27" s="273"/>
      <c r="K27" s="273"/>
      <c r="L27" s="273" t="s">
        <v>1010</v>
      </c>
      <c r="M27" s="273"/>
      <c r="N27" s="274">
        <f>SUM(O27:P27)</f>
        <v>4.0570000000000004</v>
      </c>
      <c r="O27" s="274">
        <v>4.0570000000000004</v>
      </c>
      <c r="P27" s="274">
        <f>$P$4</f>
        <v>0</v>
      </c>
      <c r="Q27" s="274" t="s">
        <v>701</v>
      </c>
      <c r="R27" s="275">
        <v>121.18</v>
      </c>
      <c r="S27" s="275">
        <v>143.56</v>
      </c>
      <c r="T27" s="276">
        <f t="shared" si="0"/>
        <v>264.74</v>
      </c>
      <c r="U27" s="276">
        <f>SUM(U26:$AV26)*$N27/100</f>
        <v>570.41420000000005</v>
      </c>
      <c r="V27" s="276">
        <f>SUM(V26:$AV26)*$N27/100</f>
        <v>510.37060000000002</v>
      </c>
      <c r="W27" s="276">
        <f>SUM(W26:$AV26)*$N27/100</f>
        <v>450.32700000000006</v>
      </c>
      <c r="X27" s="276">
        <f>SUM(X26:$AV26)*$N27/100</f>
        <v>390.28340000000003</v>
      </c>
      <c r="Y27" s="276">
        <f>SUM(Y26:$AV26)*$N27/100</f>
        <v>330.23980000000006</v>
      </c>
      <c r="Z27" s="276">
        <f>SUM(Z26:$AV26)*$N27/100</f>
        <v>270.19620000000003</v>
      </c>
      <c r="AA27" s="276">
        <f>SUM(AA26:$AV26)*$N27/100</f>
        <v>210.15260000000001</v>
      </c>
      <c r="AB27" s="276">
        <f>SUM(AB26:$AV26)*$N27/100</f>
        <v>150.10900000000001</v>
      </c>
      <c r="AC27" s="276">
        <f>SUM(AC26:$AV26)*$N27/100</f>
        <v>90.065400000000011</v>
      </c>
      <c r="AD27" s="276">
        <f>SUM(AD26:$AV26)*$N27/100</f>
        <v>30.021800000000002</v>
      </c>
      <c r="AE27" s="276">
        <v>0</v>
      </c>
      <c r="AF27" s="276">
        <v>0</v>
      </c>
      <c r="AG27" s="276">
        <v>0</v>
      </c>
      <c r="AH27" s="276">
        <v>0</v>
      </c>
      <c r="AI27" s="276">
        <v>0</v>
      </c>
      <c r="AJ27" s="276">
        <v>0</v>
      </c>
      <c r="AK27" s="276">
        <v>0</v>
      </c>
      <c r="AL27" s="276">
        <v>0</v>
      </c>
      <c r="AM27" s="276">
        <v>0</v>
      </c>
      <c r="AN27" s="276">
        <v>0</v>
      </c>
      <c r="AO27" s="276">
        <v>0</v>
      </c>
      <c r="AP27" s="276">
        <v>0</v>
      </c>
      <c r="AQ27" s="276">
        <v>0</v>
      </c>
      <c r="AR27" s="276">
        <v>0</v>
      </c>
      <c r="AS27" s="276">
        <v>0</v>
      </c>
      <c r="AT27" s="276">
        <v>0</v>
      </c>
      <c r="AU27" s="276">
        <v>0</v>
      </c>
      <c r="AV27" s="276">
        <v>0</v>
      </c>
      <c r="AW27" s="276"/>
      <c r="AX27" s="276"/>
      <c r="AY27" s="277">
        <f t="shared" si="1"/>
        <v>3266.9199999999996</v>
      </c>
      <c r="AZ27" s="250">
        <f t="shared" si="2"/>
        <v>0</v>
      </c>
      <c r="BA27" s="278">
        <f t="shared" si="3"/>
        <v>480.34880000000004</v>
      </c>
      <c r="BB27" s="277">
        <f t="shared" si="4"/>
        <v>3266.92</v>
      </c>
      <c r="BD27" s="270" t="b">
        <f t="shared" si="5"/>
        <v>1</v>
      </c>
    </row>
    <row r="28" spans="2:57" s="270" customFormat="1" x14ac:dyDescent="0.25">
      <c r="B28" s="263" t="s">
        <v>756</v>
      </c>
      <c r="C28" s="263">
        <v>12</v>
      </c>
      <c r="D28" s="263" t="s">
        <v>1015</v>
      </c>
      <c r="E28" s="263" t="s">
        <v>1014</v>
      </c>
      <c r="F28" s="263" t="s">
        <v>1013</v>
      </c>
      <c r="G28" s="263" t="s">
        <v>1012</v>
      </c>
      <c r="H28" s="263" t="s">
        <v>1011</v>
      </c>
      <c r="I28" s="263" t="s">
        <v>716</v>
      </c>
      <c r="J28" s="264">
        <v>238897.15</v>
      </c>
      <c r="K28" s="264">
        <v>159000</v>
      </c>
      <c r="L28" s="264"/>
      <c r="M28" s="264"/>
      <c r="N28" s="265"/>
      <c r="O28" s="265"/>
      <c r="P28" s="265"/>
      <c r="Q28" s="265" t="s">
        <v>702</v>
      </c>
      <c r="R28" s="266">
        <v>5300</v>
      </c>
      <c r="S28" s="266">
        <v>5300</v>
      </c>
      <c r="T28" s="267">
        <f t="shared" si="0"/>
        <v>10600</v>
      </c>
      <c r="U28" s="267">
        <v>10600</v>
      </c>
      <c r="V28" s="267">
        <v>10600</v>
      </c>
      <c r="W28" s="267">
        <v>10600</v>
      </c>
      <c r="X28" s="267">
        <v>10600</v>
      </c>
      <c r="Y28" s="267">
        <v>10600</v>
      </c>
      <c r="Z28" s="267">
        <v>10600</v>
      </c>
      <c r="AA28" s="267">
        <v>10600</v>
      </c>
      <c r="AB28" s="267">
        <v>10600</v>
      </c>
      <c r="AC28" s="267">
        <v>10600</v>
      </c>
      <c r="AD28" s="267">
        <v>10600</v>
      </c>
      <c r="AE28" s="267">
        <v>10600</v>
      </c>
      <c r="AF28" s="267">
        <v>10600</v>
      </c>
      <c r="AG28" s="267">
        <v>10600</v>
      </c>
      <c r="AH28" s="267">
        <v>10600</v>
      </c>
      <c r="AI28" s="267">
        <v>5300</v>
      </c>
      <c r="AJ28" s="267">
        <v>0</v>
      </c>
      <c r="AK28" s="267">
        <v>0</v>
      </c>
      <c r="AL28" s="267">
        <v>0</v>
      </c>
      <c r="AM28" s="267">
        <v>0</v>
      </c>
      <c r="AN28" s="267">
        <v>0</v>
      </c>
      <c r="AO28" s="267">
        <v>0</v>
      </c>
      <c r="AP28" s="267">
        <v>0</v>
      </c>
      <c r="AQ28" s="267">
        <v>0</v>
      </c>
      <c r="AR28" s="267">
        <v>0</v>
      </c>
      <c r="AS28" s="267">
        <v>0</v>
      </c>
      <c r="AT28" s="267">
        <v>0</v>
      </c>
      <c r="AU28" s="267">
        <v>0</v>
      </c>
      <c r="AV28" s="267">
        <v>0</v>
      </c>
      <c r="AW28" s="267"/>
      <c r="AX28" s="267"/>
      <c r="AY28" s="268">
        <f t="shared" si="1"/>
        <v>164300</v>
      </c>
      <c r="AZ28" s="250">
        <f t="shared" si="2"/>
        <v>0</v>
      </c>
      <c r="BA28" s="269">
        <f t="shared" si="3"/>
        <v>90100</v>
      </c>
      <c r="BB28" s="268">
        <f t="shared" si="4"/>
        <v>164300</v>
      </c>
      <c r="BD28" s="270" t="b">
        <f t="shared" si="5"/>
        <v>1</v>
      </c>
      <c r="BE28" s="271">
        <f>BB28-K28-R28</f>
        <v>0</v>
      </c>
    </row>
    <row r="29" spans="2:57" x14ac:dyDescent="0.25">
      <c r="B29" s="272" t="s">
        <v>756</v>
      </c>
      <c r="C29" s="272"/>
      <c r="D29" s="272"/>
      <c r="E29" s="272"/>
      <c r="F29" s="272"/>
      <c r="G29" s="272"/>
      <c r="H29" s="272"/>
      <c r="I29" s="272"/>
      <c r="J29" s="273"/>
      <c r="K29" s="273"/>
      <c r="L29" s="273" t="s">
        <v>1010</v>
      </c>
      <c r="M29" s="273"/>
      <c r="N29" s="274">
        <f>SUM(O29:P29)</f>
        <v>4.0570000000000004</v>
      </c>
      <c r="O29" s="274">
        <v>4.0570000000000004</v>
      </c>
      <c r="P29" s="274">
        <f>$P$4</f>
        <v>0</v>
      </c>
      <c r="Q29" s="274" t="s">
        <v>701</v>
      </c>
      <c r="R29" s="275">
        <v>1287.47</v>
      </c>
      <c r="S29" s="275">
        <v>1543.82</v>
      </c>
      <c r="T29" s="276">
        <f t="shared" si="0"/>
        <v>2831.29</v>
      </c>
      <c r="U29" s="276">
        <f>SUM(U28:$AV28)*$N29/100</f>
        <v>6235.6090000000004</v>
      </c>
      <c r="V29" s="276">
        <f>SUM(V28:$AV28)*$N29/100</f>
        <v>5805.5670000000009</v>
      </c>
      <c r="W29" s="276">
        <f>SUM(W28:$AV28)*$N29/100</f>
        <v>5375.5249999999996</v>
      </c>
      <c r="X29" s="276">
        <f>SUM(X28:$AV28)*$N29/100</f>
        <v>4945.4830000000002</v>
      </c>
      <c r="Y29" s="276">
        <f>SUM(Y28:$AV28)*$N29/100</f>
        <v>4515.4410000000007</v>
      </c>
      <c r="Z29" s="276">
        <f>SUM(Z28:$AV28)*$N29/100</f>
        <v>4085.3990000000003</v>
      </c>
      <c r="AA29" s="276">
        <f>SUM(AA28:$AV28)*$N29/100</f>
        <v>3655.357</v>
      </c>
      <c r="AB29" s="276">
        <f>SUM(AB28:$AV28)*$N29/100</f>
        <v>3225.3150000000005</v>
      </c>
      <c r="AC29" s="276">
        <f>SUM(AC28:$AV28)*$N29/100</f>
        <v>2795.2730000000006</v>
      </c>
      <c r="AD29" s="276">
        <f>SUM(AD28:$AV28)*$N29/100</f>
        <v>2365.2310000000002</v>
      </c>
      <c r="AE29" s="276">
        <f>SUM(AE28:$AV28)*$N29/100</f>
        <v>1935.1890000000003</v>
      </c>
      <c r="AF29" s="276">
        <f>SUM(AF28:$AV28)*$N29/100</f>
        <v>1505.1470000000002</v>
      </c>
      <c r="AG29" s="276">
        <f>SUM(AG28:$AV28)*$N29/100</f>
        <v>1075.1050000000002</v>
      </c>
      <c r="AH29" s="276">
        <f>SUM(AH28:$AV28)*$N29/100</f>
        <v>645.06299999999999</v>
      </c>
      <c r="AI29" s="276">
        <f>SUM(AI28:$AV28)*$N29/100</f>
        <v>215.02100000000002</v>
      </c>
      <c r="AJ29" s="276">
        <v>0</v>
      </c>
      <c r="AK29" s="276">
        <v>0</v>
      </c>
      <c r="AL29" s="276">
        <v>0</v>
      </c>
      <c r="AM29" s="276">
        <v>0</v>
      </c>
      <c r="AN29" s="276">
        <v>0</v>
      </c>
      <c r="AO29" s="276">
        <v>0</v>
      </c>
      <c r="AP29" s="276">
        <v>0</v>
      </c>
      <c r="AQ29" s="276">
        <v>0</v>
      </c>
      <c r="AR29" s="276">
        <v>0</v>
      </c>
      <c r="AS29" s="276">
        <v>0</v>
      </c>
      <c r="AT29" s="276">
        <v>0</v>
      </c>
      <c r="AU29" s="276">
        <v>0</v>
      </c>
      <c r="AV29" s="276">
        <v>0</v>
      </c>
      <c r="AW29" s="276"/>
      <c r="AX29" s="276"/>
      <c r="AY29" s="277">
        <f t="shared" si="1"/>
        <v>51211.015000000007</v>
      </c>
      <c r="AZ29" s="250">
        <f t="shared" si="2"/>
        <v>0</v>
      </c>
      <c r="BA29" s="278">
        <f t="shared" si="3"/>
        <v>17416.701000000001</v>
      </c>
      <c r="BB29" s="277">
        <f t="shared" si="4"/>
        <v>51211.014999999999</v>
      </c>
      <c r="BD29" s="270" t="b">
        <f t="shared" si="5"/>
        <v>1</v>
      </c>
    </row>
    <row r="30" spans="2:57" s="270" customFormat="1" x14ac:dyDescent="0.25">
      <c r="B30" s="263" t="s">
        <v>756</v>
      </c>
      <c r="C30" s="263">
        <v>13</v>
      </c>
      <c r="D30" s="263" t="s">
        <v>1009</v>
      </c>
      <c r="E30" s="263" t="s">
        <v>1008</v>
      </c>
      <c r="F30" s="263" t="s">
        <v>1007</v>
      </c>
      <c r="G30" s="263" t="s">
        <v>1006</v>
      </c>
      <c r="H30" s="263" t="s">
        <v>1005</v>
      </c>
      <c r="I30" s="263" t="s">
        <v>716</v>
      </c>
      <c r="J30" s="264">
        <v>34291</v>
      </c>
      <c r="K30" s="264">
        <v>17740</v>
      </c>
      <c r="L30" s="264"/>
      <c r="M30" s="264"/>
      <c r="N30" s="265"/>
      <c r="O30" s="265"/>
      <c r="P30" s="265"/>
      <c r="Q30" s="265" t="s">
        <v>702</v>
      </c>
      <c r="R30" s="266">
        <v>1842</v>
      </c>
      <c r="S30" s="266">
        <v>1774</v>
      </c>
      <c r="T30" s="267">
        <f t="shared" si="0"/>
        <v>3616</v>
      </c>
      <c r="U30" s="267">
        <v>3548</v>
      </c>
      <c r="V30" s="267">
        <v>3548</v>
      </c>
      <c r="W30" s="267">
        <v>3548</v>
      </c>
      <c r="X30" s="267">
        <v>3548</v>
      </c>
      <c r="Y30" s="267">
        <v>1774</v>
      </c>
      <c r="Z30" s="267">
        <v>0</v>
      </c>
      <c r="AA30" s="267">
        <v>0</v>
      </c>
      <c r="AB30" s="267">
        <v>0</v>
      </c>
      <c r="AC30" s="267">
        <v>0</v>
      </c>
      <c r="AD30" s="267">
        <v>0</v>
      </c>
      <c r="AE30" s="267">
        <v>0</v>
      </c>
      <c r="AF30" s="267">
        <v>0</v>
      </c>
      <c r="AG30" s="267">
        <v>0</v>
      </c>
      <c r="AH30" s="267">
        <v>0</v>
      </c>
      <c r="AI30" s="267">
        <v>0</v>
      </c>
      <c r="AJ30" s="267">
        <v>0</v>
      </c>
      <c r="AK30" s="267">
        <v>0</v>
      </c>
      <c r="AL30" s="267">
        <v>0</v>
      </c>
      <c r="AM30" s="267">
        <v>0</v>
      </c>
      <c r="AN30" s="267">
        <v>0</v>
      </c>
      <c r="AO30" s="267">
        <v>0</v>
      </c>
      <c r="AP30" s="267">
        <v>0</v>
      </c>
      <c r="AQ30" s="267">
        <v>0</v>
      </c>
      <c r="AR30" s="267">
        <v>0</v>
      </c>
      <c r="AS30" s="267">
        <v>0</v>
      </c>
      <c r="AT30" s="267">
        <v>0</v>
      </c>
      <c r="AU30" s="267">
        <v>0</v>
      </c>
      <c r="AV30" s="267">
        <v>0</v>
      </c>
      <c r="AW30" s="267"/>
      <c r="AX30" s="267"/>
      <c r="AY30" s="268">
        <f t="shared" si="1"/>
        <v>19582</v>
      </c>
      <c r="AZ30" s="250">
        <f t="shared" si="2"/>
        <v>0</v>
      </c>
      <c r="BA30" s="269">
        <f t="shared" si="3"/>
        <v>0</v>
      </c>
      <c r="BB30" s="268">
        <f t="shared" si="4"/>
        <v>19582</v>
      </c>
      <c r="BD30" s="270" t="b">
        <f t="shared" si="5"/>
        <v>1</v>
      </c>
      <c r="BE30" s="271">
        <f>BB30-K30-R30</f>
        <v>0</v>
      </c>
    </row>
    <row r="31" spans="2:57" x14ac:dyDescent="0.25">
      <c r="B31" s="272" t="s">
        <v>756</v>
      </c>
      <c r="C31" s="272"/>
      <c r="D31" s="272"/>
      <c r="E31" s="272"/>
      <c r="F31" s="272"/>
      <c r="G31" s="272"/>
      <c r="H31" s="272"/>
      <c r="I31" s="272"/>
      <c r="J31" s="273"/>
      <c r="K31" s="273"/>
      <c r="L31" s="273" t="s">
        <v>1004</v>
      </c>
      <c r="M31" s="273"/>
      <c r="N31" s="274">
        <f>SUM(O31:P31)</f>
        <v>4.415</v>
      </c>
      <c r="O31" s="274">
        <v>4.415</v>
      </c>
      <c r="P31" s="274">
        <f>$P$4</f>
        <v>0</v>
      </c>
      <c r="Q31" s="274" t="s">
        <v>701</v>
      </c>
      <c r="R31" s="275">
        <v>163.44</v>
      </c>
      <c r="S31" s="275">
        <v>172.63</v>
      </c>
      <c r="T31" s="276">
        <f t="shared" si="0"/>
        <v>336.07</v>
      </c>
      <c r="U31" s="276">
        <f>SUM(U30:$AV30)*$N31/100</f>
        <v>704.89890000000003</v>
      </c>
      <c r="V31" s="276">
        <f>SUM(V30:$AV30)*$N31/100</f>
        <v>548.25469999999996</v>
      </c>
      <c r="W31" s="276">
        <f>SUM(W30:$AV30)*$N31/100</f>
        <v>391.6105</v>
      </c>
      <c r="X31" s="276">
        <f>SUM(X30:$AV30)*$N31/100</f>
        <v>234.96630000000002</v>
      </c>
      <c r="Y31" s="276">
        <f>SUM(Y30:$AV30)*$N31/100</f>
        <v>78.322100000000006</v>
      </c>
      <c r="Z31" s="276">
        <v>0</v>
      </c>
      <c r="AA31" s="276">
        <v>0</v>
      </c>
      <c r="AB31" s="276">
        <v>0</v>
      </c>
      <c r="AC31" s="276">
        <v>0</v>
      </c>
      <c r="AD31" s="276">
        <v>0</v>
      </c>
      <c r="AE31" s="276">
        <v>0</v>
      </c>
      <c r="AF31" s="276">
        <v>0</v>
      </c>
      <c r="AG31" s="276">
        <v>0</v>
      </c>
      <c r="AH31" s="276">
        <v>0</v>
      </c>
      <c r="AI31" s="276">
        <v>0</v>
      </c>
      <c r="AJ31" s="276">
        <v>0</v>
      </c>
      <c r="AK31" s="276">
        <v>0</v>
      </c>
      <c r="AL31" s="276">
        <v>0</v>
      </c>
      <c r="AM31" s="276">
        <v>0</v>
      </c>
      <c r="AN31" s="276">
        <v>0</v>
      </c>
      <c r="AO31" s="276">
        <v>0</v>
      </c>
      <c r="AP31" s="276">
        <v>0</v>
      </c>
      <c r="AQ31" s="276">
        <v>0</v>
      </c>
      <c r="AR31" s="276">
        <v>0</v>
      </c>
      <c r="AS31" s="276">
        <v>0</v>
      </c>
      <c r="AT31" s="276">
        <v>0</v>
      </c>
      <c r="AU31" s="276">
        <v>0</v>
      </c>
      <c r="AV31" s="276">
        <v>0</v>
      </c>
      <c r="AW31" s="276"/>
      <c r="AX31" s="276"/>
      <c r="AY31" s="277">
        <f t="shared" si="1"/>
        <v>2294.1224999999999</v>
      </c>
      <c r="AZ31" s="250">
        <f t="shared" si="2"/>
        <v>0</v>
      </c>
      <c r="BA31" s="278">
        <f t="shared" si="3"/>
        <v>0</v>
      </c>
      <c r="BB31" s="277">
        <f t="shared" si="4"/>
        <v>2294.1224999999999</v>
      </c>
      <c r="BD31" s="270" t="b">
        <f t="shared" si="5"/>
        <v>1</v>
      </c>
    </row>
    <row r="32" spans="2:57" s="270" customFormat="1" x14ac:dyDescent="0.25">
      <c r="B32" s="263" t="s">
        <v>756</v>
      </c>
      <c r="C32" s="263">
        <v>14</v>
      </c>
      <c r="D32" s="263" t="s">
        <v>1003</v>
      </c>
      <c r="E32" s="263" t="s">
        <v>1002</v>
      </c>
      <c r="F32" s="263" t="s">
        <v>1001</v>
      </c>
      <c r="G32" s="263" t="s">
        <v>997</v>
      </c>
      <c r="H32" s="263" t="s">
        <v>996</v>
      </c>
      <c r="I32" s="263" t="s">
        <v>716</v>
      </c>
      <c r="J32" s="264">
        <v>2609698.31</v>
      </c>
      <c r="K32" s="264">
        <v>2374239.31</v>
      </c>
      <c r="L32" s="264"/>
      <c r="M32" s="264"/>
      <c r="N32" s="265"/>
      <c r="O32" s="265"/>
      <c r="P32" s="265"/>
      <c r="Q32" s="265" t="s">
        <v>702</v>
      </c>
      <c r="R32" s="266">
        <v>47100</v>
      </c>
      <c r="S32" s="266">
        <v>47100</v>
      </c>
      <c r="T32" s="267">
        <f t="shared" si="0"/>
        <v>94200</v>
      </c>
      <c r="U32" s="267">
        <v>94200</v>
      </c>
      <c r="V32" s="267">
        <v>94200</v>
      </c>
      <c r="W32" s="267">
        <v>94200</v>
      </c>
      <c r="X32" s="267">
        <v>94200</v>
      </c>
      <c r="Y32" s="267">
        <v>94200</v>
      </c>
      <c r="Z32" s="267">
        <v>94200</v>
      </c>
      <c r="AA32" s="267">
        <v>94200</v>
      </c>
      <c r="AB32" s="267">
        <v>94200</v>
      </c>
      <c r="AC32" s="267">
        <v>94200</v>
      </c>
      <c r="AD32" s="267">
        <v>94200</v>
      </c>
      <c r="AE32" s="267">
        <v>94200</v>
      </c>
      <c r="AF32" s="267">
        <v>94200</v>
      </c>
      <c r="AG32" s="267">
        <v>94200</v>
      </c>
      <c r="AH32" s="267">
        <v>94200</v>
      </c>
      <c r="AI32" s="267">
        <v>94200</v>
      </c>
      <c r="AJ32" s="267">
        <v>94200</v>
      </c>
      <c r="AK32" s="267">
        <v>94200</v>
      </c>
      <c r="AL32" s="267">
        <v>94200</v>
      </c>
      <c r="AM32" s="267">
        <v>94200</v>
      </c>
      <c r="AN32" s="267">
        <v>94200</v>
      </c>
      <c r="AO32" s="267">
        <v>94200</v>
      </c>
      <c r="AP32" s="267">
        <v>94200</v>
      </c>
      <c r="AQ32" s="267">
        <v>94200</v>
      </c>
      <c r="AR32" s="267">
        <v>94200</v>
      </c>
      <c r="AS32" s="267">
        <v>66339.31</v>
      </c>
      <c r="AT32" s="267">
        <v>0</v>
      </c>
      <c r="AU32" s="267">
        <v>0</v>
      </c>
      <c r="AV32" s="267">
        <v>0</v>
      </c>
      <c r="AW32" s="267"/>
      <c r="AX32" s="267"/>
      <c r="AY32" s="268">
        <f t="shared" si="1"/>
        <v>2421339.31</v>
      </c>
      <c r="AZ32" s="250">
        <f t="shared" si="2"/>
        <v>0</v>
      </c>
      <c r="BA32" s="269">
        <f t="shared" si="3"/>
        <v>1761939.31</v>
      </c>
      <c r="BB32" s="268">
        <f t="shared" si="4"/>
        <v>2421339.31</v>
      </c>
      <c r="BD32" s="270" t="b">
        <f t="shared" si="5"/>
        <v>1</v>
      </c>
      <c r="BE32" s="271">
        <f>BB32-K32-R32</f>
        <v>0</v>
      </c>
    </row>
    <row r="33" spans="2:57" x14ac:dyDescent="0.25">
      <c r="B33" s="272" t="s">
        <v>756</v>
      </c>
      <c r="C33" s="272"/>
      <c r="D33" s="272"/>
      <c r="E33" s="272"/>
      <c r="F33" s="272"/>
      <c r="G33" s="272"/>
      <c r="H33" s="272"/>
      <c r="I33" s="272"/>
      <c r="J33" s="273"/>
      <c r="K33" s="273"/>
      <c r="L33" s="273" t="s">
        <v>995</v>
      </c>
      <c r="M33" s="273"/>
      <c r="N33" s="274">
        <f>SUM(O33:P33)</f>
        <v>4.3639999999999999</v>
      </c>
      <c r="O33" s="274">
        <v>4.3639999999999999</v>
      </c>
      <c r="P33" s="274">
        <f>$P$4</f>
        <v>0</v>
      </c>
      <c r="Q33" s="274" t="s">
        <v>701</v>
      </c>
      <c r="R33" s="275">
        <v>22429.32</v>
      </c>
      <c r="S33" s="275">
        <v>19021.490000000002</v>
      </c>
      <c r="T33" s="276">
        <f t="shared" si="0"/>
        <v>41450.81</v>
      </c>
      <c r="U33" s="276">
        <f>SUM(U32:$AV32)*$N33/100</f>
        <v>101556.35948839999</v>
      </c>
      <c r="V33" s="276">
        <f>SUM(V32:$AV32)*$N33/100</f>
        <v>97445.471488400013</v>
      </c>
      <c r="W33" s="276">
        <f>SUM(W32:$AV32)*$N33/100</f>
        <v>93334.583488400007</v>
      </c>
      <c r="X33" s="276">
        <f>SUM(X32:$AV32)*$N33/100</f>
        <v>89223.695488400001</v>
      </c>
      <c r="Y33" s="276">
        <f>SUM(Y32:$AV32)*$N33/100</f>
        <v>85112.807488400009</v>
      </c>
      <c r="Z33" s="276">
        <f>SUM(Z32:$AV32)*$N33/100</f>
        <v>81001.919488400003</v>
      </c>
      <c r="AA33" s="276">
        <f>SUM(AA32:$AV32)*$N33/100</f>
        <v>76891.031488399996</v>
      </c>
      <c r="AB33" s="276">
        <f>SUM(AB32:$AV32)*$N33/100</f>
        <v>72780.143488400005</v>
      </c>
      <c r="AC33" s="276">
        <f>SUM(AC32:$AV32)*$N33/100</f>
        <v>68669.255488399998</v>
      </c>
      <c r="AD33" s="276">
        <f>SUM(AD32:$AV32)*$N33/100</f>
        <v>64558.367488400007</v>
      </c>
      <c r="AE33" s="276">
        <f>SUM(AE32:$AV32)*$N33/100</f>
        <v>60447.4794884</v>
      </c>
      <c r="AF33" s="276">
        <f>SUM(AF32:$AV32)*$N33/100</f>
        <v>56336.591488400001</v>
      </c>
      <c r="AG33" s="276">
        <f>SUM(AG32:$AV32)*$N33/100</f>
        <v>52225.703488400002</v>
      </c>
      <c r="AH33" s="276">
        <f>SUM(AH32:$AV32)*$N33/100</f>
        <v>48114.815488400003</v>
      </c>
      <c r="AI33" s="276">
        <f>SUM(AI32:$AV32)*$N33/100</f>
        <v>44003.927488400004</v>
      </c>
      <c r="AJ33" s="276">
        <f>SUM(AJ32:$AV32)*$N33/100</f>
        <v>39893.039488400005</v>
      </c>
      <c r="AK33" s="276">
        <f>SUM(AK32:$AV32)*$N33/100</f>
        <v>35782.151488399999</v>
      </c>
      <c r="AL33" s="276">
        <f>SUM(AL32:$AV32)*$N33/100</f>
        <v>31671.2634884</v>
      </c>
      <c r="AM33" s="276">
        <f>SUM(AM32:$AV32)*$N33/100</f>
        <v>27560.375488400005</v>
      </c>
      <c r="AN33" s="276">
        <f>SUM(AN32:$AV32)*$N33/100</f>
        <v>23449.487488400002</v>
      </c>
      <c r="AO33" s="276">
        <f>SUM(AO32:$AV32)*$N33/100</f>
        <v>19338.599488399999</v>
      </c>
      <c r="AP33" s="276">
        <f>SUM(AP32:$AV32)*$N33/100</f>
        <v>15227.711488399998</v>
      </c>
      <c r="AQ33" s="276">
        <f>SUM(AQ32:$AV32)*$N33/100</f>
        <v>11116.823488399999</v>
      </c>
      <c r="AR33" s="276">
        <f>SUM(AR32:$AV32)*$N33/100</f>
        <v>7005.9354883999995</v>
      </c>
      <c r="AS33" s="276">
        <f>SUM(AS32:$AV32)*$N33/100</f>
        <v>2895.0474883999996</v>
      </c>
      <c r="AT33" s="276">
        <v>0</v>
      </c>
      <c r="AU33" s="276">
        <v>0</v>
      </c>
      <c r="AV33" s="276">
        <v>0</v>
      </c>
      <c r="AW33" s="276"/>
      <c r="AX33" s="276"/>
      <c r="AY33" s="277">
        <f t="shared" si="1"/>
        <v>1347093.3972100001</v>
      </c>
      <c r="AZ33" s="250">
        <f t="shared" si="2"/>
        <v>0</v>
      </c>
      <c r="BA33" s="278">
        <f t="shared" si="3"/>
        <v>757967.75027959992</v>
      </c>
      <c r="BB33" s="277">
        <f t="shared" si="4"/>
        <v>1347093.3972100001</v>
      </c>
      <c r="BD33" s="270" t="b">
        <f t="shared" si="5"/>
        <v>1</v>
      </c>
    </row>
    <row r="34" spans="2:57" s="270" customFormat="1" x14ac:dyDescent="0.25">
      <c r="B34" s="263" t="s">
        <v>756</v>
      </c>
      <c r="C34" s="263">
        <v>15</v>
      </c>
      <c r="D34" s="263" t="s">
        <v>1000</v>
      </c>
      <c r="E34" s="263" t="s">
        <v>999</v>
      </c>
      <c r="F34" s="263" t="s">
        <v>998</v>
      </c>
      <c r="G34" s="263" t="s">
        <v>997</v>
      </c>
      <c r="H34" s="263" t="s">
        <v>996</v>
      </c>
      <c r="I34" s="263" t="s">
        <v>716</v>
      </c>
      <c r="J34" s="264">
        <v>3496295</v>
      </c>
      <c r="K34" s="264">
        <v>3181399</v>
      </c>
      <c r="L34" s="264"/>
      <c r="M34" s="264"/>
      <c r="N34" s="265"/>
      <c r="O34" s="265"/>
      <c r="P34" s="265"/>
      <c r="Q34" s="265" t="s">
        <v>702</v>
      </c>
      <c r="R34" s="266">
        <v>62998</v>
      </c>
      <c r="S34" s="266">
        <v>62998</v>
      </c>
      <c r="T34" s="267">
        <f t="shared" si="0"/>
        <v>125996</v>
      </c>
      <c r="U34" s="267">
        <v>125996</v>
      </c>
      <c r="V34" s="267">
        <v>125996</v>
      </c>
      <c r="W34" s="267">
        <v>125996</v>
      </c>
      <c r="X34" s="267">
        <v>125996</v>
      </c>
      <c r="Y34" s="267">
        <v>125996</v>
      </c>
      <c r="Z34" s="267">
        <v>125996</v>
      </c>
      <c r="AA34" s="267">
        <v>125996</v>
      </c>
      <c r="AB34" s="267">
        <v>125996</v>
      </c>
      <c r="AC34" s="267">
        <v>125996</v>
      </c>
      <c r="AD34" s="267">
        <v>125996</v>
      </c>
      <c r="AE34" s="267">
        <v>125996</v>
      </c>
      <c r="AF34" s="267">
        <v>125996</v>
      </c>
      <c r="AG34" s="267">
        <v>125996</v>
      </c>
      <c r="AH34" s="267">
        <v>125996</v>
      </c>
      <c r="AI34" s="267">
        <v>125996</v>
      </c>
      <c r="AJ34" s="267">
        <v>125996</v>
      </c>
      <c r="AK34" s="267">
        <v>125996</v>
      </c>
      <c r="AL34" s="267">
        <v>125996</v>
      </c>
      <c r="AM34" s="267">
        <v>125996</v>
      </c>
      <c r="AN34" s="267">
        <v>125996</v>
      </c>
      <c r="AO34" s="267">
        <v>125996</v>
      </c>
      <c r="AP34" s="267">
        <v>125996</v>
      </c>
      <c r="AQ34" s="267">
        <v>125996</v>
      </c>
      <c r="AR34" s="267">
        <v>125996</v>
      </c>
      <c r="AS34" s="267">
        <v>94497</v>
      </c>
      <c r="AT34" s="267">
        <v>0</v>
      </c>
      <c r="AU34" s="267">
        <v>0</v>
      </c>
      <c r="AV34" s="267">
        <v>0</v>
      </c>
      <c r="AW34" s="267"/>
      <c r="AX34" s="267"/>
      <c r="AY34" s="268">
        <f t="shared" si="1"/>
        <v>3244397</v>
      </c>
      <c r="AZ34" s="250">
        <f t="shared" si="2"/>
        <v>0</v>
      </c>
      <c r="BA34" s="269">
        <f t="shared" si="3"/>
        <v>2362425</v>
      </c>
      <c r="BB34" s="268">
        <f t="shared" si="4"/>
        <v>3244397</v>
      </c>
      <c r="BD34" s="270" t="b">
        <f t="shared" si="5"/>
        <v>1</v>
      </c>
      <c r="BE34" s="271">
        <f>BB34-K34-R34</f>
        <v>0</v>
      </c>
    </row>
    <row r="35" spans="2:57" x14ac:dyDescent="0.25">
      <c r="B35" s="272" t="s">
        <v>756</v>
      </c>
      <c r="C35" s="272"/>
      <c r="D35" s="272"/>
      <c r="E35" s="272"/>
      <c r="F35" s="272"/>
      <c r="G35" s="272"/>
      <c r="H35" s="272"/>
      <c r="I35" s="272"/>
      <c r="J35" s="273"/>
      <c r="K35" s="273"/>
      <c r="L35" s="273" t="s">
        <v>995</v>
      </c>
      <c r="M35" s="273"/>
      <c r="N35" s="274">
        <f>SUM(O35:P35)</f>
        <v>4.3639999999999999</v>
      </c>
      <c r="O35" s="274">
        <v>4.3639999999999999</v>
      </c>
      <c r="P35" s="274">
        <f>$P$4</f>
        <v>0</v>
      </c>
      <c r="Q35" s="274" t="s">
        <v>701</v>
      </c>
      <c r="R35" s="275">
        <v>30053.5</v>
      </c>
      <c r="S35" s="275">
        <v>25488.22</v>
      </c>
      <c r="T35" s="276">
        <f t="shared" si="0"/>
        <v>55541.72</v>
      </c>
      <c r="U35" s="276">
        <f>SUM(U34:$AV34)*$N35/100</f>
        <v>136087.01963999998</v>
      </c>
      <c r="V35" s="276">
        <f>SUM(V34:$AV34)*$N35/100</f>
        <v>130588.5542</v>
      </c>
      <c r="W35" s="276">
        <f>SUM(W34:$AV34)*$N35/100</f>
        <v>125090.08876</v>
      </c>
      <c r="X35" s="276">
        <f>SUM(X34:$AV34)*$N35/100</f>
        <v>119591.62332</v>
      </c>
      <c r="Y35" s="276">
        <f>SUM(Y34:$AV34)*$N35/100</f>
        <v>114093.15787999998</v>
      </c>
      <c r="Z35" s="276">
        <f>SUM(Z34:$AV34)*$N35/100</f>
        <v>108594.69243999998</v>
      </c>
      <c r="AA35" s="276">
        <f>SUM(AA34:$AV34)*$N35/100</f>
        <v>103096.227</v>
      </c>
      <c r="AB35" s="276">
        <f>SUM(AB34:$AV34)*$N35/100</f>
        <v>97597.761559999999</v>
      </c>
      <c r="AC35" s="276">
        <f>SUM(AC34:$AV34)*$N35/100</f>
        <v>92099.296119999999</v>
      </c>
      <c r="AD35" s="276">
        <f>SUM(AD34:$AV34)*$N35/100</f>
        <v>86600.830679999999</v>
      </c>
      <c r="AE35" s="276">
        <f>SUM(AE34:$AV34)*$N35/100</f>
        <v>81102.365239999999</v>
      </c>
      <c r="AF35" s="276">
        <f>SUM(AF34:$AV34)*$N35/100</f>
        <v>75603.899799999999</v>
      </c>
      <c r="AG35" s="276">
        <f>SUM(AG34:$AV34)*$N35/100</f>
        <v>70105.434359999999</v>
      </c>
      <c r="AH35" s="276">
        <f>SUM(AH34:$AV34)*$N35/100</f>
        <v>64606.968919999999</v>
      </c>
      <c r="AI35" s="276">
        <f>SUM(AI34:$AV34)*$N35/100</f>
        <v>59108.503479999999</v>
      </c>
      <c r="AJ35" s="276">
        <f>SUM(AJ34:$AV34)*$N35/100</f>
        <v>53610.038039999992</v>
      </c>
      <c r="AK35" s="276">
        <f>SUM(AK34:$AV34)*$N35/100</f>
        <v>48111.5726</v>
      </c>
      <c r="AL35" s="276">
        <f>SUM(AL34:$AV34)*$N35/100</f>
        <v>42613.10716</v>
      </c>
      <c r="AM35" s="276">
        <f>SUM(AM34:$AV34)*$N35/100</f>
        <v>37114.64172</v>
      </c>
      <c r="AN35" s="276">
        <f>SUM(AN34:$AV34)*$N35/100</f>
        <v>31616.17628</v>
      </c>
      <c r="AO35" s="276">
        <f>SUM(AO34:$AV34)*$N35/100</f>
        <v>26117.71084</v>
      </c>
      <c r="AP35" s="276">
        <f>SUM(AP34:$AV34)*$N35/100</f>
        <v>20619.2454</v>
      </c>
      <c r="AQ35" s="276">
        <f>SUM(AQ34:$AV34)*$N35/100</f>
        <v>15120.77996</v>
      </c>
      <c r="AR35" s="276">
        <f>SUM(AR34:$AV34)*$N35/100</f>
        <v>9622.3145199999999</v>
      </c>
      <c r="AS35" s="276">
        <f>SUM(AS34:$AV34)*$N35/100</f>
        <v>4123.84908</v>
      </c>
      <c r="AT35" s="276">
        <v>0</v>
      </c>
      <c r="AU35" s="276">
        <v>0</v>
      </c>
      <c r="AV35" s="276">
        <v>0</v>
      </c>
      <c r="AW35" s="276"/>
      <c r="AX35" s="276"/>
      <c r="AY35" s="277">
        <f t="shared" si="1"/>
        <v>1808177.5789999997</v>
      </c>
      <c r="AZ35" s="250">
        <f t="shared" si="2"/>
        <v>0</v>
      </c>
      <c r="BA35" s="278">
        <f t="shared" si="3"/>
        <v>1018590.7227599998</v>
      </c>
      <c r="BB35" s="277">
        <f t="shared" si="4"/>
        <v>1808177.5789999999</v>
      </c>
      <c r="BD35" s="270" t="b">
        <f t="shared" si="5"/>
        <v>1</v>
      </c>
    </row>
    <row r="36" spans="2:57" s="270" customFormat="1" x14ac:dyDescent="0.25">
      <c r="B36" s="263" t="s">
        <v>756</v>
      </c>
      <c r="C36" s="263">
        <v>16</v>
      </c>
      <c r="D36" s="263" t="s">
        <v>994</v>
      </c>
      <c r="E36" s="263" t="s">
        <v>993</v>
      </c>
      <c r="F36" s="263" t="s">
        <v>992</v>
      </c>
      <c r="G36" s="263" t="s">
        <v>991</v>
      </c>
      <c r="H36" s="263" t="s">
        <v>986</v>
      </c>
      <c r="I36" s="263" t="s">
        <v>716</v>
      </c>
      <c r="J36" s="264">
        <v>190122</v>
      </c>
      <c r="K36" s="264">
        <v>148712</v>
      </c>
      <c r="L36" s="264"/>
      <c r="M36" s="264"/>
      <c r="N36" s="265"/>
      <c r="O36" s="265">
        <v>1.482</v>
      </c>
      <c r="P36" s="265"/>
      <c r="Q36" s="265" t="s">
        <v>702</v>
      </c>
      <c r="R36" s="266">
        <v>4876</v>
      </c>
      <c r="S36" s="266">
        <v>4876</v>
      </c>
      <c r="T36" s="267">
        <f t="shared" si="0"/>
        <v>9752</v>
      </c>
      <c r="U36" s="267">
        <v>9752</v>
      </c>
      <c r="V36" s="267">
        <v>9752</v>
      </c>
      <c r="W36" s="267">
        <v>9752</v>
      </c>
      <c r="X36" s="267">
        <v>9752</v>
      </c>
      <c r="Y36" s="267">
        <v>9752</v>
      </c>
      <c r="Z36" s="267">
        <v>9752</v>
      </c>
      <c r="AA36" s="267">
        <v>9752</v>
      </c>
      <c r="AB36" s="267">
        <v>9752</v>
      </c>
      <c r="AC36" s="267">
        <v>9752</v>
      </c>
      <c r="AD36" s="267">
        <v>9752</v>
      </c>
      <c r="AE36" s="267">
        <v>9752</v>
      </c>
      <c r="AF36" s="267">
        <v>9752</v>
      </c>
      <c r="AG36" s="267">
        <v>9752</v>
      </c>
      <c r="AH36" s="267">
        <v>9752</v>
      </c>
      <c r="AI36" s="267">
        <v>7308</v>
      </c>
      <c r="AJ36" s="267">
        <v>0</v>
      </c>
      <c r="AK36" s="267">
        <v>0</v>
      </c>
      <c r="AL36" s="267">
        <v>0</v>
      </c>
      <c r="AM36" s="267">
        <v>0</v>
      </c>
      <c r="AN36" s="267">
        <v>0</v>
      </c>
      <c r="AO36" s="267">
        <v>0</v>
      </c>
      <c r="AP36" s="267">
        <v>0</v>
      </c>
      <c r="AQ36" s="267">
        <v>0</v>
      </c>
      <c r="AR36" s="267">
        <v>0</v>
      </c>
      <c r="AS36" s="267">
        <v>0</v>
      </c>
      <c r="AT36" s="267">
        <v>0</v>
      </c>
      <c r="AU36" s="267">
        <v>0</v>
      </c>
      <c r="AV36" s="267">
        <v>0</v>
      </c>
      <c r="AW36" s="267"/>
      <c r="AX36" s="267"/>
      <c r="AY36" s="268">
        <f t="shared" si="1"/>
        <v>153588</v>
      </c>
      <c r="AZ36" s="250">
        <f t="shared" si="2"/>
        <v>0</v>
      </c>
      <c r="BA36" s="269">
        <f t="shared" si="3"/>
        <v>85324</v>
      </c>
      <c r="BB36" s="268">
        <f t="shared" si="4"/>
        <v>153588</v>
      </c>
      <c r="BD36" s="270" t="b">
        <f t="shared" si="5"/>
        <v>1</v>
      </c>
      <c r="BE36" s="271">
        <f>BB36-K36-R36</f>
        <v>0</v>
      </c>
    </row>
    <row r="37" spans="2:57" x14ac:dyDescent="0.25">
      <c r="B37" s="272" t="s">
        <v>756</v>
      </c>
      <c r="C37" s="272"/>
      <c r="D37" s="272"/>
      <c r="E37" s="272"/>
      <c r="F37" s="272"/>
      <c r="G37" s="272"/>
      <c r="H37" s="272"/>
      <c r="I37" s="272"/>
      <c r="J37" s="273"/>
      <c r="K37" s="273"/>
      <c r="L37" s="273" t="s">
        <v>990</v>
      </c>
      <c r="M37" s="273"/>
      <c r="N37" s="274">
        <f>SUM(O37:P37)</f>
        <v>4.1500000000000004</v>
      </c>
      <c r="O37" s="280">
        <v>4.1500000000000004</v>
      </c>
      <c r="P37" s="274">
        <f>$P$4</f>
        <v>0</v>
      </c>
      <c r="Q37" s="274" t="s">
        <v>701</v>
      </c>
      <c r="R37" s="275">
        <v>1722.69</v>
      </c>
      <c r="S37" s="275">
        <v>908.74</v>
      </c>
      <c r="T37" s="276">
        <f t="shared" si="0"/>
        <v>2631.4300000000003</v>
      </c>
      <c r="U37" s="276">
        <f>SUM(U36:$AV36)*$N37/100</f>
        <v>5969.1940000000004</v>
      </c>
      <c r="V37" s="276">
        <f>SUM(V36:$AV36)*$N37/100</f>
        <v>5564.4860000000008</v>
      </c>
      <c r="W37" s="276">
        <f>SUM(W36:$AV36)*$N37/100</f>
        <v>5159.7780000000002</v>
      </c>
      <c r="X37" s="276">
        <f>SUM(X36:$AV36)*$N37/100</f>
        <v>4755.0700000000006</v>
      </c>
      <c r="Y37" s="276">
        <f>SUM(Y36:$AV36)*$N37/100</f>
        <v>4350.3620000000001</v>
      </c>
      <c r="Z37" s="276">
        <f>SUM(Z36:$AV36)*$N37/100</f>
        <v>3945.6540000000005</v>
      </c>
      <c r="AA37" s="276">
        <f>SUM(AA36:$AV36)*$N37/100</f>
        <v>3540.9460000000004</v>
      </c>
      <c r="AB37" s="276">
        <f>SUM(AB36:$AV36)*$N37/100</f>
        <v>3136.2380000000003</v>
      </c>
      <c r="AC37" s="276">
        <f>SUM(AC36:$AV36)*$N37/100</f>
        <v>2731.53</v>
      </c>
      <c r="AD37" s="276">
        <f>SUM(AD36:$AV36)*$N37/100</f>
        <v>2326.8220000000001</v>
      </c>
      <c r="AE37" s="276">
        <f>SUM(AE36:$AV36)*$N37/100</f>
        <v>1922.1140000000003</v>
      </c>
      <c r="AF37" s="276">
        <f>SUM(AF36:$AV36)*$N37/100</f>
        <v>1517.4059999999999</v>
      </c>
      <c r="AG37" s="276">
        <f>SUM(AG36:$AV36)*$N37/100</f>
        <v>1112.6980000000001</v>
      </c>
      <c r="AH37" s="276">
        <f>SUM(AH36:$AV36)*$N37/100</f>
        <v>707.99</v>
      </c>
      <c r="AI37" s="276">
        <f>SUM(AI36:$AV36)*$N37/100</f>
        <v>303.28200000000004</v>
      </c>
      <c r="AJ37" s="276">
        <v>0</v>
      </c>
      <c r="AK37" s="276">
        <v>0</v>
      </c>
      <c r="AL37" s="276">
        <v>0</v>
      </c>
      <c r="AM37" s="276">
        <v>0</v>
      </c>
      <c r="AN37" s="276">
        <v>0</v>
      </c>
      <c r="AO37" s="276">
        <v>0</v>
      </c>
      <c r="AP37" s="276">
        <v>0</v>
      </c>
      <c r="AQ37" s="276">
        <v>0</v>
      </c>
      <c r="AR37" s="276">
        <v>0</v>
      </c>
      <c r="AS37" s="276">
        <v>0</v>
      </c>
      <c r="AT37" s="276">
        <v>0</v>
      </c>
      <c r="AU37" s="276">
        <v>0</v>
      </c>
      <c r="AV37" s="276">
        <v>0</v>
      </c>
      <c r="AW37" s="276"/>
      <c r="AX37" s="276"/>
      <c r="AY37" s="277">
        <f t="shared" si="1"/>
        <v>49675</v>
      </c>
      <c r="AZ37" s="250">
        <f t="shared" si="2"/>
        <v>0</v>
      </c>
      <c r="BA37" s="278">
        <f t="shared" si="3"/>
        <v>17299.026000000002</v>
      </c>
      <c r="BB37" s="277">
        <f t="shared" si="4"/>
        <v>49675</v>
      </c>
      <c r="BD37" s="270" t="b">
        <f t="shared" si="5"/>
        <v>1</v>
      </c>
    </row>
    <row r="38" spans="2:57" s="270" customFormat="1" x14ac:dyDescent="0.25">
      <c r="B38" s="263" t="s">
        <v>756</v>
      </c>
      <c r="C38" s="263">
        <v>17</v>
      </c>
      <c r="D38" s="263" t="s">
        <v>989</v>
      </c>
      <c r="E38" s="263" t="s">
        <v>988</v>
      </c>
      <c r="F38" s="263" t="s">
        <v>987</v>
      </c>
      <c r="G38" s="263" t="s">
        <v>981</v>
      </c>
      <c r="H38" s="263" t="s">
        <v>986</v>
      </c>
      <c r="I38" s="263" t="s">
        <v>716</v>
      </c>
      <c r="J38" s="264">
        <v>177076.43</v>
      </c>
      <c r="K38" s="264">
        <v>140300</v>
      </c>
      <c r="L38" s="264"/>
      <c r="M38" s="264"/>
      <c r="N38" s="265"/>
      <c r="O38" s="265">
        <v>1.903</v>
      </c>
      <c r="P38" s="265"/>
      <c r="Q38" s="265" t="s">
        <v>702</v>
      </c>
      <c r="R38" s="266">
        <v>4600</v>
      </c>
      <c r="S38" s="266">
        <v>4600</v>
      </c>
      <c r="T38" s="267">
        <f t="shared" ref="T38:T57" si="6">SUM(R38:S38)</f>
        <v>9200</v>
      </c>
      <c r="U38" s="267">
        <v>9200</v>
      </c>
      <c r="V38" s="267">
        <v>9200</v>
      </c>
      <c r="W38" s="267">
        <v>9200</v>
      </c>
      <c r="X38" s="267">
        <v>9200</v>
      </c>
      <c r="Y38" s="267">
        <v>9200</v>
      </c>
      <c r="Z38" s="267">
        <v>9200</v>
      </c>
      <c r="AA38" s="267">
        <v>9200</v>
      </c>
      <c r="AB38" s="267">
        <v>9200</v>
      </c>
      <c r="AC38" s="267">
        <v>9200</v>
      </c>
      <c r="AD38" s="267">
        <v>9200</v>
      </c>
      <c r="AE38" s="267">
        <v>9200</v>
      </c>
      <c r="AF38" s="267">
        <v>9200</v>
      </c>
      <c r="AG38" s="267">
        <v>9200</v>
      </c>
      <c r="AH38" s="267">
        <v>9200</v>
      </c>
      <c r="AI38" s="267">
        <v>6900</v>
      </c>
      <c r="AJ38" s="267">
        <v>0</v>
      </c>
      <c r="AK38" s="267">
        <v>0</v>
      </c>
      <c r="AL38" s="267">
        <v>0</v>
      </c>
      <c r="AM38" s="267">
        <v>0</v>
      </c>
      <c r="AN38" s="267">
        <v>0</v>
      </c>
      <c r="AO38" s="267">
        <v>0</v>
      </c>
      <c r="AP38" s="267">
        <v>0</v>
      </c>
      <c r="AQ38" s="267">
        <v>0</v>
      </c>
      <c r="AR38" s="267">
        <v>0</v>
      </c>
      <c r="AS38" s="267">
        <v>0</v>
      </c>
      <c r="AT38" s="267">
        <v>0</v>
      </c>
      <c r="AU38" s="267">
        <v>0</v>
      </c>
      <c r="AV38" s="267">
        <v>0</v>
      </c>
      <c r="AW38" s="267"/>
      <c r="AX38" s="267"/>
      <c r="AY38" s="268">
        <f t="shared" ref="AY38:AY69" si="7">SUM(T38:AX38)</f>
        <v>144900</v>
      </c>
      <c r="AZ38" s="250">
        <f t="shared" ref="AZ38:AZ69" si="8">AY38-SUM(T38:AX38)</f>
        <v>0</v>
      </c>
      <c r="BA38" s="269">
        <f t="shared" ref="BA38:BA69" si="9">SUM(AA38:AX38)</f>
        <v>80500</v>
      </c>
      <c r="BB38" s="268">
        <f t="shared" ref="BB38:BB69" si="10">SUM(T38:Z38,BA38)</f>
        <v>144900</v>
      </c>
      <c r="BD38" s="270" t="b">
        <f t="shared" ref="BD38:BD69" si="11">AY38=BB38</f>
        <v>1</v>
      </c>
      <c r="BE38" s="271">
        <f>BB38-K38-R38</f>
        <v>0</v>
      </c>
    </row>
    <row r="39" spans="2:57" x14ac:dyDescent="0.25">
      <c r="B39" s="272" t="s">
        <v>756</v>
      </c>
      <c r="C39" s="272"/>
      <c r="D39" s="272"/>
      <c r="E39" s="272"/>
      <c r="F39" s="272"/>
      <c r="G39" s="272"/>
      <c r="H39" s="272"/>
      <c r="I39" s="272"/>
      <c r="J39" s="273"/>
      <c r="K39" s="273"/>
      <c r="L39" s="273" t="s">
        <v>985</v>
      </c>
      <c r="M39" s="273"/>
      <c r="N39" s="274">
        <f>SUM(O39:P39)</f>
        <v>4.1500000000000004</v>
      </c>
      <c r="O39" s="280">
        <v>4.1500000000000004</v>
      </c>
      <c r="P39" s="274">
        <f>$P$4</f>
        <v>0</v>
      </c>
      <c r="Q39" s="274" t="s">
        <v>701</v>
      </c>
      <c r="R39" s="275">
        <v>2086.9299999999998</v>
      </c>
      <c r="S39" s="275">
        <v>851.29</v>
      </c>
      <c r="T39" s="276">
        <f t="shared" si="6"/>
        <v>2938.22</v>
      </c>
      <c r="U39" s="276">
        <f>SUM(U38:$AV38)*$N39/100</f>
        <v>5631.55</v>
      </c>
      <c r="V39" s="276">
        <f>SUM(V38:$AV38)*$N39/100</f>
        <v>5249.75</v>
      </c>
      <c r="W39" s="276">
        <f>SUM(W38:$AV38)*$N39/100</f>
        <v>4867.9500000000007</v>
      </c>
      <c r="X39" s="276">
        <f>SUM(X38:$AV38)*$N39/100</f>
        <v>4486.1500000000005</v>
      </c>
      <c r="Y39" s="276">
        <f>SUM(Y38:$AV38)*$N39/100</f>
        <v>4104.3500000000004</v>
      </c>
      <c r="Z39" s="276">
        <f>SUM(Z38:$AV38)*$N39/100</f>
        <v>3722.5500000000006</v>
      </c>
      <c r="AA39" s="276">
        <f>SUM(AA38:$AV38)*$N39/100</f>
        <v>3340.75</v>
      </c>
      <c r="AB39" s="276">
        <f>SUM(AB38:$AV38)*$N39/100</f>
        <v>2958.95</v>
      </c>
      <c r="AC39" s="276">
        <f>SUM(AC38:$AV38)*$N39/100</f>
        <v>2577.15</v>
      </c>
      <c r="AD39" s="276">
        <f>SUM(AD38:$AV38)*$N39/100</f>
        <v>2195.3500000000004</v>
      </c>
      <c r="AE39" s="276">
        <f>SUM(AE38:$AV38)*$N39/100</f>
        <v>1813.5500000000002</v>
      </c>
      <c r="AF39" s="276">
        <f>SUM(AF38:$AV38)*$N39/100</f>
        <v>1431.75</v>
      </c>
      <c r="AG39" s="276">
        <f>SUM(AG38:$AV38)*$N39/100</f>
        <v>1049.95</v>
      </c>
      <c r="AH39" s="276">
        <f>SUM(AH38:$AV38)*$N39/100</f>
        <v>668.15</v>
      </c>
      <c r="AI39" s="276">
        <f>SUM(AI38:$AV38)*$N39/100</f>
        <v>286.35000000000002</v>
      </c>
      <c r="AJ39" s="276">
        <v>0</v>
      </c>
      <c r="AK39" s="276">
        <v>0</v>
      </c>
      <c r="AL39" s="276">
        <v>0</v>
      </c>
      <c r="AM39" s="276">
        <v>0</v>
      </c>
      <c r="AN39" s="276">
        <v>0</v>
      </c>
      <c r="AO39" s="276">
        <v>0</v>
      </c>
      <c r="AP39" s="276">
        <v>0</v>
      </c>
      <c r="AQ39" s="276">
        <v>0</v>
      </c>
      <c r="AR39" s="276">
        <v>0</v>
      </c>
      <c r="AS39" s="276">
        <v>0</v>
      </c>
      <c r="AT39" s="276">
        <v>0</v>
      </c>
      <c r="AU39" s="276">
        <v>0</v>
      </c>
      <c r="AV39" s="276">
        <v>0</v>
      </c>
      <c r="AW39" s="276"/>
      <c r="AX39" s="276"/>
      <c r="AY39" s="277">
        <f t="shared" si="7"/>
        <v>47322.47</v>
      </c>
      <c r="AZ39" s="250">
        <f t="shared" si="8"/>
        <v>0</v>
      </c>
      <c r="BA39" s="278">
        <f t="shared" si="9"/>
        <v>16321.95</v>
      </c>
      <c r="BB39" s="277">
        <f t="shared" si="10"/>
        <v>47322.47</v>
      </c>
      <c r="BD39" s="270" t="b">
        <f t="shared" si="11"/>
        <v>1</v>
      </c>
    </row>
    <row r="40" spans="2:57" s="270" customFormat="1" x14ac:dyDescent="0.25">
      <c r="B40" s="263" t="s">
        <v>754</v>
      </c>
      <c r="C40" s="263">
        <v>18</v>
      </c>
      <c r="D40" s="263" t="s">
        <v>984</v>
      </c>
      <c r="E40" s="263" t="s">
        <v>983</v>
      </c>
      <c r="F40" s="263" t="s">
        <v>982</v>
      </c>
      <c r="G40" s="263" t="s">
        <v>981</v>
      </c>
      <c r="H40" s="263" t="s">
        <v>980</v>
      </c>
      <c r="I40" s="263" t="s">
        <v>716</v>
      </c>
      <c r="J40" s="264">
        <v>1174139.99</v>
      </c>
      <c r="K40" s="264">
        <v>830003.99</v>
      </c>
      <c r="L40" s="264"/>
      <c r="M40" s="264"/>
      <c r="N40" s="265"/>
      <c r="O40" s="265">
        <v>1.903</v>
      </c>
      <c r="P40" s="265"/>
      <c r="Q40" s="265" t="s">
        <v>702</v>
      </c>
      <c r="R40" s="266">
        <v>40488</v>
      </c>
      <c r="S40" s="266">
        <v>40488</v>
      </c>
      <c r="T40" s="267">
        <f t="shared" si="6"/>
        <v>80976</v>
      </c>
      <c r="U40" s="267">
        <v>80976</v>
      </c>
      <c r="V40" s="267">
        <v>80976</v>
      </c>
      <c r="W40" s="267">
        <v>80976</v>
      </c>
      <c r="X40" s="267">
        <v>80976</v>
      </c>
      <c r="Y40" s="267">
        <v>80976</v>
      </c>
      <c r="Z40" s="267">
        <v>80976</v>
      </c>
      <c r="AA40" s="267">
        <v>80976</v>
      </c>
      <c r="AB40" s="267">
        <v>80976</v>
      </c>
      <c r="AC40" s="267">
        <v>80976</v>
      </c>
      <c r="AD40" s="267">
        <v>60731.990000000005</v>
      </c>
      <c r="AE40" s="267">
        <v>0</v>
      </c>
      <c r="AF40" s="267">
        <v>0</v>
      </c>
      <c r="AG40" s="267">
        <v>0</v>
      </c>
      <c r="AH40" s="267">
        <v>0</v>
      </c>
      <c r="AI40" s="267">
        <v>0</v>
      </c>
      <c r="AJ40" s="267">
        <v>0</v>
      </c>
      <c r="AK40" s="267">
        <v>0</v>
      </c>
      <c r="AL40" s="267">
        <v>0</v>
      </c>
      <c r="AM40" s="267">
        <v>0</v>
      </c>
      <c r="AN40" s="267">
        <v>0</v>
      </c>
      <c r="AO40" s="267">
        <v>0</v>
      </c>
      <c r="AP40" s="267">
        <v>0</v>
      </c>
      <c r="AQ40" s="267">
        <v>0</v>
      </c>
      <c r="AR40" s="267">
        <v>0</v>
      </c>
      <c r="AS40" s="267">
        <v>0</v>
      </c>
      <c r="AT40" s="267">
        <v>0</v>
      </c>
      <c r="AU40" s="267">
        <v>0</v>
      </c>
      <c r="AV40" s="267">
        <v>0</v>
      </c>
      <c r="AW40" s="267"/>
      <c r="AX40" s="267"/>
      <c r="AY40" s="268">
        <f t="shared" si="7"/>
        <v>870491.99</v>
      </c>
      <c r="AZ40" s="250">
        <f t="shared" si="8"/>
        <v>0</v>
      </c>
      <c r="BA40" s="269">
        <f t="shared" si="9"/>
        <v>303659.99</v>
      </c>
      <c r="BB40" s="268">
        <f t="shared" si="10"/>
        <v>870491.99</v>
      </c>
      <c r="BD40" s="270" t="b">
        <f t="shared" si="11"/>
        <v>1</v>
      </c>
      <c r="BE40" s="271">
        <f>BB40-K40-R40</f>
        <v>0</v>
      </c>
    </row>
    <row r="41" spans="2:57" x14ac:dyDescent="0.25">
      <c r="B41" s="272" t="s">
        <v>754</v>
      </c>
      <c r="C41" s="272"/>
      <c r="D41" s="272"/>
      <c r="E41" s="272"/>
      <c r="F41" s="272"/>
      <c r="G41" s="272"/>
      <c r="H41" s="272"/>
      <c r="I41" s="272"/>
      <c r="J41" s="273"/>
      <c r="K41" s="273"/>
      <c r="L41" s="273" t="s">
        <v>979</v>
      </c>
      <c r="M41" s="273"/>
      <c r="N41" s="274">
        <f>SUM(O41:P41)</f>
        <v>4.1500000000000004</v>
      </c>
      <c r="O41" s="280">
        <v>4.1500000000000004</v>
      </c>
      <c r="P41" s="274">
        <f>$P$4</f>
        <v>0</v>
      </c>
      <c r="Q41" s="274" t="s">
        <v>701</v>
      </c>
      <c r="R41" s="275">
        <v>12525.74</v>
      </c>
      <c r="S41" s="275">
        <v>4977</v>
      </c>
      <c r="T41" s="276">
        <f t="shared" si="6"/>
        <v>17502.739999999998</v>
      </c>
      <c r="U41" s="276">
        <f>SUM(U40:$AV40)*$N41/100</f>
        <v>32764.913585000002</v>
      </c>
      <c r="V41" s="276">
        <f>SUM(V40:$AV40)*$N41/100</f>
        <v>29404.409585000001</v>
      </c>
      <c r="W41" s="276">
        <f>SUM(W40:$AV40)*$N41/100</f>
        <v>26043.905585000004</v>
      </c>
      <c r="X41" s="276">
        <f>SUM(X40:$AV40)*$N41/100</f>
        <v>22683.401585000003</v>
      </c>
      <c r="Y41" s="276">
        <f>SUM(Y40:$AV40)*$N41/100</f>
        <v>19322.897585000002</v>
      </c>
      <c r="Z41" s="276">
        <f>SUM(Z40:$AV40)*$N41/100</f>
        <v>15962.393585000002</v>
      </c>
      <c r="AA41" s="276">
        <f>SUM(AA40:$AV40)*$N41/100</f>
        <v>12601.889585000003</v>
      </c>
      <c r="AB41" s="276">
        <f>SUM(AB40:$AV40)*$N41/100</f>
        <v>9241.385585</v>
      </c>
      <c r="AC41" s="276">
        <f>SUM(AC40:$AV40)*$N41/100</f>
        <v>5880.8815850000001</v>
      </c>
      <c r="AD41" s="276">
        <f>SUM(AD40:$AV40)*$N41/100</f>
        <v>2520.3775850000006</v>
      </c>
      <c r="AE41" s="276">
        <v>0</v>
      </c>
      <c r="AF41" s="276">
        <v>0</v>
      </c>
      <c r="AG41" s="276">
        <v>0</v>
      </c>
      <c r="AH41" s="276">
        <v>0</v>
      </c>
      <c r="AI41" s="276">
        <v>0</v>
      </c>
      <c r="AJ41" s="276">
        <v>0</v>
      </c>
      <c r="AK41" s="276">
        <v>0</v>
      </c>
      <c r="AL41" s="276">
        <v>0</v>
      </c>
      <c r="AM41" s="276">
        <v>0</v>
      </c>
      <c r="AN41" s="276">
        <v>0</v>
      </c>
      <c r="AO41" s="276">
        <v>0</v>
      </c>
      <c r="AP41" s="276">
        <v>0</v>
      </c>
      <c r="AQ41" s="276">
        <v>0</v>
      </c>
      <c r="AR41" s="276">
        <v>0</v>
      </c>
      <c r="AS41" s="276">
        <v>0</v>
      </c>
      <c r="AT41" s="276">
        <v>0</v>
      </c>
      <c r="AU41" s="276">
        <v>0</v>
      </c>
      <c r="AV41" s="276">
        <v>0</v>
      </c>
      <c r="AW41" s="276"/>
      <c r="AX41" s="276"/>
      <c r="AY41" s="277">
        <f t="shared" si="7"/>
        <v>193929.19585000005</v>
      </c>
      <c r="AZ41" s="250">
        <f t="shared" si="8"/>
        <v>0</v>
      </c>
      <c r="BA41" s="278">
        <f t="shared" si="9"/>
        <v>30244.534340000002</v>
      </c>
      <c r="BB41" s="277">
        <f t="shared" si="10"/>
        <v>193929.19585000005</v>
      </c>
      <c r="BD41" s="270" t="b">
        <f t="shared" si="11"/>
        <v>1</v>
      </c>
    </row>
    <row r="42" spans="2:57" s="270" customFormat="1" x14ac:dyDescent="0.25">
      <c r="B42" s="263" t="s">
        <v>754</v>
      </c>
      <c r="C42" s="263">
        <v>19</v>
      </c>
      <c r="D42" s="263" t="s">
        <v>978</v>
      </c>
      <c r="E42" s="263" t="s">
        <v>977</v>
      </c>
      <c r="F42" s="263" t="s">
        <v>976</v>
      </c>
      <c r="G42" s="263" t="s">
        <v>975</v>
      </c>
      <c r="H42" s="263" t="s">
        <v>974</v>
      </c>
      <c r="I42" s="263" t="s">
        <v>716</v>
      </c>
      <c r="J42" s="264">
        <v>388132.51</v>
      </c>
      <c r="K42" s="264">
        <v>204582</v>
      </c>
      <c r="L42" s="264"/>
      <c r="M42" s="264"/>
      <c r="N42" s="265"/>
      <c r="O42" s="265">
        <v>2.621</v>
      </c>
      <c r="P42" s="265"/>
      <c r="Q42" s="265" t="s">
        <v>702</v>
      </c>
      <c r="R42" s="266">
        <v>19484</v>
      </c>
      <c r="S42" s="266">
        <v>19484</v>
      </c>
      <c r="T42" s="267">
        <f t="shared" si="6"/>
        <v>38968</v>
      </c>
      <c r="U42" s="267">
        <v>38968</v>
      </c>
      <c r="V42" s="267">
        <v>38968</v>
      </c>
      <c r="W42" s="267">
        <v>38968</v>
      </c>
      <c r="X42" s="267">
        <v>38968</v>
      </c>
      <c r="Y42" s="267">
        <v>29226</v>
      </c>
      <c r="Z42" s="267">
        <v>0</v>
      </c>
      <c r="AA42" s="267">
        <v>0</v>
      </c>
      <c r="AB42" s="267">
        <v>0</v>
      </c>
      <c r="AC42" s="267">
        <v>0</v>
      </c>
      <c r="AD42" s="267">
        <v>0</v>
      </c>
      <c r="AE42" s="267">
        <v>0</v>
      </c>
      <c r="AF42" s="267">
        <v>0</v>
      </c>
      <c r="AG42" s="267">
        <v>0</v>
      </c>
      <c r="AH42" s="267">
        <v>0</v>
      </c>
      <c r="AI42" s="267">
        <v>0</v>
      </c>
      <c r="AJ42" s="267">
        <v>0</v>
      </c>
      <c r="AK42" s="267">
        <v>0</v>
      </c>
      <c r="AL42" s="267">
        <v>0</v>
      </c>
      <c r="AM42" s="267">
        <v>0</v>
      </c>
      <c r="AN42" s="267">
        <v>0</v>
      </c>
      <c r="AO42" s="267">
        <v>0</v>
      </c>
      <c r="AP42" s="267">
        <v>0</v>
      </c>
      <c r="AQ42" s="267">
        <v>0</v>
      </c>
      <c r="AR42" s="267">
        <v>0</v>
      </c>
      <c r="AS42" s="267">
        <v>0</v>
      </c>
      <c r="AT42" s="267">
        <v>0</v>
      </c>
      <c r="AU42" s="267">
        <v>0</v>
      </c>
      <c r="AV42" s="267">
        <v>0</v>
      </c>
      <c r="AW42" s="267"/>
      <c r="AX42" s="267"/>
      <c r="AY42" s="268">
        <f t="shared" si="7"/>
        <v>224066</v>
      </c>
      <c r="AZ42" s="250">
        <f t="shared" si="8"/>
        <v>0</v>
      </c>
      <c r="BA42" s="269">
        <f t="shared" si="9"/>
        <v>0</v>
      </c>
      <c r="BB42" s="268">
        <f t="shared" si="10"/>
        <v>224066</v>
      </c>
      <c r="BD42" s="270" t="b">
        <f t="shared" si="11"/>
        <v>1</v>
      </c>
      <c r="BE42" s="271">
        <f>BB42-K42-R42</f>
        <v>0</v>
      </c>
    </row>
    <row r="43" spans="2:57" x14ac:dyDescent="0.25">
      <c r="B43" s="272" t="s">
        <v>754</v>
      </c>
      <c r="C43" s="272"/>
      <c r="D43" s="272"/>
      <c r="E43" s="272"/>
      <c r="F43" s="272"/>
      <c r="G43" s="272"/>
      <c r="H43" s="272"/>
      <c r="I43" s="272"/>
      <c r="J43" s="273"/>
      <c r="K43" s="273"/>
      <c r="L43" s="273" t="s">
        <v>973</v>
      </c>
      <c r="M43" s="273"/>
      <c r="N43" s="274">
        <f>SUM(O43:P43)</f>
        <v>4.1500000000000004</v>
      </c>
      <c r="O43" s="280">
        <v>4.1500000000000004</v>
      </c>
      <c r="P43" s="274">
        <f>$P$4</f>
        <v>0</v>
      </c>
      <c r="Q43" s="274" t="s">
        <v>701</v>
      </c>
      <c r="R43" s="275">
        <v>4395.3599999999997</v>
      </c>
      <c r="S43" s="275">
        <v>1362.51</v>
      </c>
      <c r="T43" s="276">
        <f t="shared" si="6"/>
        <v>5757.87</v>
      </c>
      <c r="U43" s="276">
        <f>SUM(U42:$AV42)*$N43/100</f>
        <v>7681.5670000000009</v>
      </c>
      <c r="V43" s="276">
        <f>SUM(V42:$AV42)*$N43/100</f>
        <v>6064.3950000000004</v>
      </c>
      <c r="W43" s="276">
        <f>SUM(W42:$AV42)*$N43/100</f>
        <v>4447.2230000000009</v>
      </c>
      <c r="X43" s="276">
        <f>SUM(X42:$AV42)*$N43/100</f>
        <v>2830.0510000000004</v>
      </c>
      <c r="Y43" s="276">
        <f>SUM(Y42:$AV42)*$N43/100</f>
        <v>1212.8790000000001</v>
      </c>
      <c r="Z43" s="276">
        <v>0</v>
      </c>
      <c r="AA43" s="276">
        <v>0</v>
      </c>
      <c r="AB43" s="276">
        <v>0</v>
      </c>
      <c r="AC43" s="276">
        <v>0</v>
      </c>
      <c r="AD43" s="276">
        <v>0</v>
      </c>
      <c r="AE43" s="276">
        <v>0</v>
      </c>
      <c r="AF43" s="276">
        <v>0</v>
      </c>
      <c r="AG43" s="276">
        <v>0</v>
      </c>
      <c r="AH43" s="276">
        <v>0</v>
      </c>
      <c r="AI43" s="276">
        <v>0</v>
      </c>
      <c r="AJ43" s="276">
        <v>0</v>
      </c>
      <c r="AK43" s="276">
        <v>0</v>
      </c>
      <c r="AL43" s="276">
        <v>0</v>
      </c>
      <c r="AM43" s="276">
        <v>0</v>
      </c>
      <c r="AN43" s="276">
        <v>0</v>
      </c>
      <c r="AO43" s="276">
        <v>0</v>
      </c>
      <c r="AP43" s="276">
        <v>0</v>
      </c>
      <c r="AQ43" s="276">
        <v>0</v>
      </c>
      <c r="AR43" s="276">
        <v>0</v>
      </c>
      <c r="AS43" s="276">
        <v>0</v>
      </c>
      <c r="AT43" s="276">
        <v>0</v>
      </c>
      <c r="AU43" s="276">
        <v>0</v>
      </c>
      <c r="AV43" s="276">
        <v>0</v>
      </c>
      <c r="AW43" s="276"/>
      <c r="AX43" s="276"/>
      <c r="AY43" s="277">
        <f t="shared" si="7"/>
        <v>27993.985000000004</v>
      </c>
      <c r="AZ43" s="250">
        <f t="shared" si="8"/>
        <v>0</v>
      </c>
      <c r="BA43" s="278">
        <f t="shared" si="9"/>
        <v>0</v>
      </c>
      <c r="BB43" s="277">
        <f t="shared" si="10"/>
        <v>27993.985000000004</v>
      </c>
      <c r="BD43" s="270" t="b">
        <f t="shared" si="11"/>
        <v>1</v>
      </c>
    </row>
    <row r="44" spans="2:57" s="270" customFormat="1" x14ac:dyDescent="0.25">
      <c r="B44" s="263" t="s">
        <v>756</v>
      </c>
      <c r="C44" s="263">
        <v>20</v>
      </c>
      <c r="D44" s="263" t="s">
        <v>972</v>
      </c>
      <c r="E44" s="263" t="s">
        <v>971</v>
      </c>
      <c r="F44" s="263" t="s">
        <v>970</v>
      </c>
      <c r="G44" s="263" t="s">
        <v>969</v>
      </c>
      <c r="H44" s="263" t="s">
        <v>968</v>
      </c>
      <c r="I44" s="263" t="s">
        <v>716</v>
      </c>
      <c r="J44" s="264">
        <v>160577.24</v>
      </c>
      <c r="K44" s="264">
        <v>127658</v>
      </c>
      <c r="L44" s="264"/>
      <c r="M44" s="264"/>
      <c r="N44" s="265"/>
      <c r="O44" s="265">
        <v>2.964</v>
      </c>
      <c r="P44" s="265"/>
      <c r="Q44" s="265" t="s">
        <v>702</v>
      </c>
      <c r="R44" s="266">
        <v>4118</v>
      </c>
      <c r="S44" s="266">
        <v>4118</v>
      </c>
      <c r="T44" s="267">
        <f t="shared" si="6"/>
        <v>8236</v>
      </c>
      <c r="U44" s="267">
        <v>8236</v>
      </c>
      <c r="V44" s="267">
        <v>8236</v>
      </c>
      <c r="W44" s="267">
        <v>8236</v>
      </c>
      <c r="X44" s="267">
        <v>8236</v>
      </c>
      <c r="Y44" s="267">
        <v>8236</v>
      </c>
      <c r="Z44" s="267">
        <v>8236</v>
      </c>
      <c r="AA44" s="267">
        <v>8236</v>
      </c>
      <c r="AB44" s="267">
        <v>8236</v>
      </c>
      <c r="AC44" s="267">
        <v>8236</v>
      </c>
      <c r="AD44" s="267">
        <v>8236</v>
      </c>
      <c r="AE44" s="267">
        <v>8236</v>
      </c>
      <c r="AF44" s="267">
        <v>8236</v>
      </c>
      <c r="AG44" s="267">
        <v>8236</v>
      </c>
      <c r="AH44" s="267">
        <v>8236</v>
      </c>
      <c r="AI44" s="267">
        <v>8236</v>
      </c>
      <c r="AJ44" s="267">
        <v>0</v>
      </c>
      <c r="AK44" s="267">
        <v>0</v>
      </c>
      <c r="AL44" s="267">
        <v>0</v>
      </c>
      <c r="AM44" s="267">
        <v>0</v>
      </c>
      <c r="AN44" s="267">
        <v>0</v>
      </c>
      <c r="AO44" s="267">
        <v>0</v>
      </c>
      <c r="AP44" s="267">
        <v>0</v>
      </c>
      <c r="AQ44" s="267">
        <v>0</v>
      </c>
      <c r="AR44" s="267">
        <v>0</v>
      </c>
      <c r="AS44" s="267">
        <v>0</v>
      </c>
      <c r="AT44" s="267">
        <v>0</v>
      </c>
      <c r="AU44" s="267">
        <v>0</v>
      </c>
      <c r="AV44" s="267">
        <v>0</v>
      </c>
      <c r="AW44" s="267"/>
      <c r="AX44" s="267"/>
      <c r="AY44" s="268">
        <f t="shared" si="7"/>
        <v>131776</v>
      </c>
      <c r="AZ44" s="250">
        <f t="shared" si="8"/>
        <v>0</v>
      </c>
      <c r="BA44" s="269">
        <f t="shared" si="9"/>
        <v>74124</v>
      </c>
      <c r="BB44" s="268">
        <f t="shared" si="10"/>
        <v>131776</v>
      </c>
      <c r="BD44" s="270" t="b">
        <f t="shared" si="11"/>
        <v>1</v>
      </c>
      <c r="BE44" s="271">
        <f>BB44-K44-R44</f>
        <v>0</v>
      </c>
    </row>
    <row r="45" spans="2:57" x14ac:dyDescent="0.25">
      <c r="B45" s="272" t="s">
        <v>756</v>
      </c>
      <c r="C45" s="272"/>
      <c r="D45" s="272"/>
      <c r="E45" s="272"/>
      <c r="F45" s="272"/>
      <c r="G45" s="272"/>
      <c r="H45" s="272"/>
      <c r="I45" s="272"/>
      <c r="J45" s="273"/>
      <c r="K45" s="273"/>
      <c r="L45" s="273" t="s">
        <v>967</v>
      </c>
      <c r="M45" s="273"/>
      <c r="N45" s="274">
        <f>SUM(O45:P45)</f>
        <v>4.1500000000000004</v>
      </c>
      <c r="O45" s="280">
        <v>4.1500000000000004</v>
      </c>
      <c r="P45" s="274">
        <f>$P$4</f>
        <v>0</v>
      </c>
      <c r="Q45" s="274" t="s">
        <v>701</v>
      </c>
      <c r="R45" s="275">
        <v>2537.44</v>
      </c>
      <c r="S45" s="275">
        <v>965.1</v>
      </c>
      <c r="T45" s="276">
        <f t="shared" si="6"/>
        <v>3502.54</v>
      </c>
      <c r="U45" s="276">
        <f>SUM(U44:$AV44)*$N45/100</f>
        <v>5126.9100000000008</v>
      </c>
      <c r="V45" s="276">
        <f>SUM(V44:$AV44)*$N45/100</f>
        <v>4785.116</v>
      </c>
      <c r="W45" s="276">
        <f>SUM(W44:$AV44)*$N45/100</f>
        <v>4443.3220000000001</v>
      </c>
      <c r="X45" s="276">
        <f>SUM(X44:$AV44)*$N45/100</f>
        <v>4101.5280000000002</v>
      </c>
      <c r="Y45" s="276">
        <f>SUM(Y44:$AV44)*$N45/100</f>
        <v>3759.7340000000004</v>
      </c>
      <c r="Z45" s="276">
        <f>SUM(Z44:$AV44)*$N45/100</f>
        <v>3417.9400000000005</v>
      </c>
      <c r="AA45" s="276">
        <f>SUM(AA44:$AV44)*$N45/100</f>
        <v>3076.1460000000002</v>
      </c>
      <c r="AB45" s="276">
        <f>SUM(AB44:$AV44)*$N45/100</f>
        <v>2734.3520000000003</v>
      </c>
      <c r="AC45" s="276">
        <f>SUM(AC44:$AV44)*$N45/100</f>
        <v>2392.558</v>
      </c>
      <c r="AD45" s="276">
        <f>SUM(AD44:$AV44)*$N45/100</f>
        <v>2050.7640000000001</v>
      </c>
      <c r="AE45" s="276">
        <f>SUM(AE44:$AV44)*$N45/100</f>
        <v>1708.9700000000003</v>
      </c>
      <c r="AF45" s="276">
        <f>SUM(AF44:$AV44)*$N45/100</f>
        <v>1367.1760000000002</v>
      </c>
      <c r="AG45" s="276">
        <f>SUM(AG44:$AV44)*$N45/100</f>
        <v>1025.3820000000001</v>
      </c>
      <c r="AH45" s="276">
        <f>SUM(AH44:$AV44)*$N45/100</f>
        <v>683.58800000000008</v>
      </c>
      <c r="AI45" s="276">
        <f>SUM(AI44:$AV44)*$N45/100</f>
        <v>341.79400000000004</v>
      </c>
      <c r="AJ45" s="276">
        <v>0</v>
      </c>
      <c r="AK45" s="276">
        <v>0</v>
      </c>
      <c r="AL45" s="276">
        <v>0</v>
      </c>
      <c r="AM45" s="276">
        <v>0</v>
      </c>
      <c r="AN45" s="276">
        <v>0</v>
      </c>
      <c r="AO45" s="276">
        <v>0</v>
      </c>
      <c r="AP45" s="276">
        <v>0</v>
      </c>
      <c r="AQ45" s="276">
        <v>0</v>
      </c>
      <c r="AR45" s="276">
        <v>0</v>
      </c>
      <c r="AS45" s="276">
        <v>0</v>
      </c>
      <c r="AT45" s="276">
        <v>0</v>
      </c>
      <c r="AU45" s="276">
        <v>0</v>
      </c>
      <c r="AV45" s="276">
        <v>0</v>
      </c>
      <c r="AW45" s="276"/>
      <c r="AX45" s="276"/>
      <c r="AY45" s="277">
        <f t="shared" si="7"/>
        <v>44517.82</v>
      </c>
      <c r="AZ45" s="250">
        <f t="shared" si="8"/>
        <v>0</v>
      </c>
      <c r="BA45" s="278">
        <f t="shared" si="9"/>
        <v>15380.73</v>
      </c>
      <c r="BB45" s="277">
        <f t="shared" si="10"/>
        <v>44517.819999999992</v>
      </c>
      <c r="BD45" s="270" t="b">
        <f t="shared" si="11"/>
        <v>1</v>
      </c>
    </row>
    <row r="46" spans="2:57" s="270" customFormat="1" x14ac:dyDescent="0.25">
      <c r="B46" s="263" t="s">
        <v>756</v>
      </c>
      <c r="C46" s="263">
        <v>21</v>
      </c>
      <c r="D46" s="263" t="s">
        <v>966</v>
      </c>
      <c r="E46" s="263" t="s">
        <v>965</v>
      </c>
      <c r="F46" s="263" t="s">
        <v>964</v>
      </c>
      <c r="G46" s="263" t="s">
        <v>963</v>
      </c>
      <c r="H46" s="263" t="s">
        <v>962</v>
      </c>
      <c r="I46" s="263" t="s">
        <v>716</v>
      </c>
      <c r="J46" s="264">
        <v>131127</v>
      </c>
      <c r="K46" s="264">
        <v>104284</v>
      </c>
      <c r="L46" s="264"/>
      <c r="M46" s="264"/>
      <c r="N46" s="265"/>
      <c r="O46" s="265">
        <v>2.9870000000000001</v>
      </c>
      <c r="P46" s="265"/>
      <c r="Q46" s="265" t="s">
        <v>702</v>
      </c>
      <c r="R46" s="266">
        <v>3364</v>
      </c>
      <c r="S46" s="266">
        <v>3364</v>
      </c>
      <c r="T46" s="267">
        <f t="shared" si="6"/>
        <v>6728</v>
      </c>
      <c r="U46" s="267">
        <v>6728</v>
      </c>
      <c r="V46" s="267">
        <v>6728</v>
      </c>
      <c r="W46" s="267">
        <v>6728</v>
      </c>
      <c r="X46" s="267">
        <v>6728</v>
      </c>
      <c r="Y46" s="267">
        <v>6728</v>
      </c>
      <c r="Z46" s="267">
        <v>6728</v>
      </c>
      <c r="AA46" s="267">
        <v>6728</v>
      </c>
      <c r="AB46" s="267">
        <v>6728</v>
      </c>
      <c r="AC46" s="267">
        <v>6728</v>
      </c>
      <c r="AD46" s="267">
        <v>6728</v>
      </c>
      <c r="AE46" s="267">
        <v>6728</v>
      </c>
      <c r="AF46" s="267">
        <v>6728</v>
      </c>
      <c r="AG46" s="267">
        <v>6728</v>
      </c>
      <c r="AH46" s="267">
        <v>6728</v>
      </c>
      <c r="AI46" s="267">
        <v>6728</v>
      </c>
      <c r="AJ46" s="267">
        <v>0</v>
      </c>
      <c r="AK46" s="267">
        <v>0</v>
      </c>
      <c r="AL46" s="267">
        <v>0</v>
      </c>
      <c r="AM46" s="267">
        <v>0</v>
      </c>
      <c r="AN46" s="267">
        <v>0</v>
      </c>
      <c r="AO46" s="267">
        <v>0</v>
      </c>
      <c r="AP46" s="267">
        <v>0</v>
      </c>
      <c r="AQ46" s="267">
        <v>0</v>
      </c>
      <c r="AR46" s="267">
        <v>0</v>
      </c>
      <c r="AS46" s="267">
        <v>0</v>
      </c>
      <c r="AT46" s="267">
        <v>0</v>
      </c>
      <c r="AU46" s="267">
        <v>0</v>
      </c>
      <c r="AV46" s="267">
        <v>0</v>
      </c>
      <c r="AW46" s="267"/>
      <c r="AX46" s="267"/>
      <c r="AY46" s="268">
        <f t="shared" si="7"/>
        <v>107648</v>
      </c>
      <c r="AZ46" s="250">
        <f t="shared" si="8"/>
        <v>0</v>
      </c>
      <c r="BA46" s="269">
        <f t="shared" si="9"/>
        <v>60552</v>
      </c>
      <c r="BB46" s="268">
        <f t="shared" si="10"/>
        <v>107648</v>
      </c>
      <c r="BD46" s="270" t="b">
        <f t="shared" si="11"/>
        <v>1</v>
      </c>
      <c r="BE46" s="271">
        <f>BB46-K46-R46</f>
        <v>0</v>
      </c>
    </row>
    <row r="47" spans="2:57" x14ac:dyDescent="0.25">
      <c r="B47" s="272" t="s">
        <v>756</v>
      </c>
      <c r="C47" s="272"/>
      <c r="D47" s="272"/>
      <c r="E47" s="272"/>
      <c r="F47" s="272"/>
      <c r="G47" s="272"/>
      <c r="H47" s="272"/>
      <c r="I47" s="272"/>
      <c r="J47" s="273"/>
      <c r="K47" s="273"/>
      <c r="L47" s="273" t="s">
        <v>961</v>
      </c>
      <c r="M47" s="273"/>
      <c r="N47" s="274">
        <f>SUM(O47:P47)</f>
        <v>4.1500000000000004</v>
      </c>
      <c r="O47" s="280">
        <v>4.1500000000000004</v>
      </c>
      <c r="P47" s="274">
        <f>$P$4</f>
        <v>0</v>
      </c>
      <c r="Q47" s="274" t="s">
        <v>701</v>
      </c>
      <c r="R47" s="275">
        <v>2034.5</v>
      </c>
      <c r="S47" s="275">
        <v>794.51</v>
      </c>
      <c r="T47" s="276">
        <f t="shared" si="6"/>
        <v>2829.01</v>
      </c>
      <c r="U47" s="276">
        <f>SUM(U46:$AV46)*$N47/100</f>
        <v>4188.18</v>
      </c>
      <c r="V47" s="276">
        <f>SUM(V46:$AV46)*$N47/100</f>
        <v>3908.9680000000003</v>
      </c>
      <c r="W47" s="276">
        <f>SUM(W46:$AV46)*$N47/100</f>
        <v>3629.7560000000003</v>
      </c>
      <c r="X47" s="276">
        <f>SUM(X46:$AV46)*$N47/100</f>
        <v>3350.5440000000003</v>
      </c>
      <c r="Y47" s="276">
        <f>SUM(Y46:$AV46)*$N47/100</f>
        <v>3071.3320000000003</v>
      </c>
      <c r="Z47" s="276">
        <f>SUM(Z46:$AV46)*$N47/100</f>
        <v>2792.12</v>
      </c>
      <c r="AA47" s="276">
        <f>SUM(AA46:$AV46)*$N47/100</f>
        <v>2512.9080000000004</v>
      </c>
      <c r="AB47" s="276">
        <f>SUM(AB46:$AV46)*$N47/100</f>
        <v>2233.6959999999999</v>
      </c>
      <c r="AC47" s="276">
        <f>SUM(AC46:$AV46)*$N47/100</f>
        <v>1954.4840000000002</v>
      </c>
      <c r="AD47" s="276">
        <f>SUM(AD46:$AV46)*$N47/100</f>
        <v>1675.2720000000002</v>
      </c>
      <c r="AE47" s="276">
        <f>SUM(AE46:$AV46)*$N47/100</f>
        <v>1396.06</v>
      </c>
      <c r="AF47" s="276">
        <f>SUM(AF46:$AV46)*$N47/100</f>
        <v>1116.848</v>
      </c>
      <c r="AG47" s="276">
        <f>SUM(AG46:$AV46)*$N47/100</f>
        <v>837.63600000000008</v>
      </c>
      <c r="AH47" s="276">
        <f>SUM(AH46:$AV46)*$N47/100</f>
        <v>558.42399999999998</v>
      </c>
      <c r="AI47" s="276">
        <f>SUM(AI46:$AV46)*$N47/100</f>
        <v>279.21199999999999</v>
      </c>
      <c r="AJ47" s="276">
        <v>0</v>
      </c>
      <c r="AK47" s="276">
        <v>0</v>
      </c>
      <c r="AL47" s="276">
        <v>0</v>
      </c>
      <c r="AM47" s="276">
        <v>0</v>
      </c>
      <c r="AN47" s="276">
        <v>0</v>
      </c>
      <c r="AO47" s="276">
        <v>0</v>
      </c>
      <c r="AP47" s="276">
        <v>0</v>
      </c>
      <c r="AQ47" s="276">
        <v>0</v>
      </c>
      <c r="AR47" s="276">
        <v>0</v>
      </c>
      <c r="AS47" s="276">
        <v>0</v>
      </c>
      <c r="AT47" s="276">
        <v>0</v>
      </c>
      <c r="AU47" s="276">
        <v>0</v>
      </c>
      <c r="AV47" s="276">
        <v>0</v>
      </c>
      <c r="AW47" s="276"/>
      <c r="AX47" s="276"/>
      <c r="AY47" s="277">
        <f t="shared" si="7"/>
        <v>36334.449999999997</v>
      </c>
      <c r="AZ47" s="250">
        <f t="shared" si="8"/>
        <v>0</v>
      </c>
      <c r="BA47" s="278">
        <f t="shared" si="9"/>
        <v>12564.54</v>
      </c>
      <c r="BB47" s="277">
        <f t="shared" si="10"/>
        <v>36334.449999999997</v>
      </c>
      <c r="BD47" s="270" t="b">
        <f t="shared" si="11"/>
        <v>1</v>
      </c>
    </row>
    <row r="48" spans="2:57" s="270" customFormat="1" x14ac:dyDescent="0.25">
      <c r="B48" s="263" t="s">
        <v>756</v>
      </c>
      <c r="C48" s="263">
        <v>22</v>
      </c>
      <c r="D48" s="263" t="s">
        <v>960</v>
      </c>
      <c r="E48" s="263" t="s">
        <v>959</v>
      </c>
      <c r="F48" s="263" t="s">
        <v>958</v>
      </c>
      <c r="G48" s="263" t="s">
        <v>957</v>
      </c>
      <c r="H48" s="263" t="s">
        <v>956</v>
      </c>
      <c r="I48" s="263" t="s">
        <v>716</v>
      </c>
      <c r="J48" s="264">
        <v>5678344.2000000002</v>
      </c>
      <c r="K48" s="264">
        <v>3249664</v>
      </c>
      <c r="L48" s="264"/>
      <c r="M48" s="264"/>
      <c r="N48" s="265"/>
      <c r="O48" s="265"/>
      <c r="P48" s="265"/>
      <c r="Q48" s="265" t="s">
        <v>702</v>
      </c>
      <c r="R48" s="266">
        <v>217480</v>
      </c>
      <c r="S48" s="266">
        <v>217480</v>
      </c>
      <c r="T48" s="267">
        <f t="shared" si="6"/>
        <v>434960</v>
      </c>
      <c r="U48" s="267">
        <v>395316</v>
      </c>
      <c r="V48" s="267">
        <v>363420</v>
      </c>
      <c r="W48" s="267">
        <v>344336</v>
      </c>
      <c r="X48" s="267">
        <v>314856</v>
      </c>
      <c r="Y48" s="267">
        <v>305080</v>
      </c>
      <c r="Z48" s="267">
        <v>279984</v>
      </c>
      <c r="AA48" s="267">
        <v>252100</v>
      </c>
      <c r="AB48" s="267">
        <v>243352</v>
      </c>
      <c r="AC48" s="267">
        <v>243352</v>
      </c>
      <c r="AD48" s="267">
        <v>243352</v>
      </c>
      <c r="AE48" s="267">
        <v>33356</v>
      </c>
      <c r="AF48" s="267">
        <v>13680</v>
      </c>
      <c r="AG48" s="267">
        <v>0</v>
      </c>
      <c r="AH48" s="267">
        <v>0</v>
      </c>
      <c r="AI48" s="267">
        <v>0</v>
      </c>
      <c r="AJ48" s="267">
        <v>0</v>
      </c>
      <c r="AK48" s="267">
        <v>0</v>
      </c>
      <c r="AL48" s="267">
        <v>0</v>
      </c>
      <c r="AM48" s="267">
        <v>0</v>
      </c>
      <c r="AN48" s="267">
        <v>0</v>
      </c>
      <c r="AO48" s="267">
        <v>0</v>
      </c>
      <c r="AP48" s="267">
        <v>0</v>
      </c>
      <c r="AQ48" s="267">
        <v>0</v>
      </c>
      <c r="AR48" s="267">
        <v>0</v>
      </c>
      <c r="AS48" s="267">
        <v>0</v>
      </c>
      <c r="AT48" s="267">
        <v>0</v>
      </c>
      <c r="AU48" s="267">
        <v>0</v>
      </c>
      <c r="AV48" s="267">
        <v>0</v>
      </c>
      <c r="AW48" s="267"/>
      <c r="AX48" s="267"/>
      <c r="AY48" s="268">
        <f t="shared" si="7"/>
        <v>3467144</v>
      </c>
      <c r="AZ48" s="250">
        <f t="shared" si="8"/>
        <v>0</v>
      </c>
      <c r="BA48" s="269">
        <f t="shared" si="9"/>
        <v>1029192</v>
      </c>
      <c r="BB48" s="268">
        <f t="shared" si="10"/>
        <v>3467144</v>
      </c>
      <c r="BD48" s="270" t="b">
        <f t="shared" si="11"/>
        <v>1</v>
      </c>
      <c r="BE48" s="271">
        <f>BB48-K48-R48</f>
        <v>0</v>
      </c>
    </row>
    <row r="49" spans="2:57" x14ac:dyDescent="0.25">
      <c r="B49" s="272" t="s">
        <v>756</v>
      </c>
      <c r="C49" s="272"/>
      <c r="D49" s="272"/>
      <c r="E49" s="272"/>
      <c r="F49" s="272"/>
      <c r="G49" s="272"/>
      <c r="H49" s="272"/>
      <c r="I49" s="272"/>
      <c r="J49" s="273"/>
      <c r="K49" s="273"/>
      <c r="L49" s="273" t="s">
        <v>955</v>
      </c>
      <c r="M49" s="273"/>
      <c r="N49" s="274">
        <f>SUM(O49:P49)</f>
        <v>3.875</v>
      </c>
      <c r="O49" s="274">
        <v>3.875</v>
      </c>
      <c r="P49" s="274">
        <f>$P$4</f>
        <v>0</v>
      </c>
      <c r="Q49" s="274" t="s">
        <v>701</v>
      </c>
      <c r="R49" s="275">
        <v>42392.02</v>
      </c>
      <c r="S49" s="275">
        <v>29984.080000000002</v>
      </c>
      <c r="T49" s="276">
        <f t="shared" si="6"/>
        <v>72376.100000000006</v>
      </c>
      <c r="U49" s="276">
        <f>SUM(U48:$AV48)*$N49/100</f>
        <v>117497.13</v>
      </c>
      <c r="V49" s="276">
        <f>SUM(V48:$AV48)*$N49/100</f>
        <v>102178.63499999999</v>
      </c>
      <c r="W49" s="276">
        <f>SUM(W48:$AV48)*$N49/100</f>
        <v>88096.11</v>
      </c>
      <c r="X49" s="276">
        <f>SUM(X48:$AV48)*$N49/100</f>
        <v>74753.09</v>
      </c>
      <c r="Y49" s="276">
        <f>SUM(Y48:$AV48)*$N49/100</f>
        <v>62552.42</v>
      </c>
      <c r="Z49" s="276">
        <f>SUM(Z48:$AV48)*$N49/100</f>
        <v>50730.57</v>
      </c>
      <c r="AA49" s="276">
        <f>SUM(AA48:$AV48)*$N49/100</f>
        <v>39881.19</v>
      </c>
      <c r="AB49" s="276">
        <f>SUM(AB48:$AV48)*$N49/100</f>
        <v>30112.314999999999</v>
      </c>
      <c r="AC49" s="276">
        <f>SUM(AC48:$AV48)*$N49/100</f>
        <v>20682.424999999999</v>
      </c>
      <c r="AD49" s="276">
        <f>SUM(AD48:$AV48)*$N49/100</f>
        <v>11252.535</v>
      </c>
      <c r="AE49" s="276">
        <f>SUM(AE48:$AV48)*$N49/100</f>
        <v>1822.645</v>
      </c>
      <c r="AF49" s="276">
        <f>SUM(AF48:$AV48)*$N49/100</f>
        <v>530.1</v>
      </c>
      <c r="AG49" s="276">
        <v>0</v>
      </c>
      <c r="AH49" s="276">
        <v>0</v>
      </c>
      <c r="AI49" s="276">
        <v>0</v>
      </c>
      <c r="AJ49" s="276">
        <v>0</v>
      </c>
      <c r="AK49" s="276">
        <v>0</v>
      </c>
      <c r="AL49" s="276">
        <v>0</v>
      </c>
      <c r="AM49" s="276">
        <v>0</v>
      </c>
      <c r="AN49" s="276">
        <v>0</v>
      </c>
      <c r="AO49" s="276">
        <v>0</v>
      </c>
      <c r="AP49" s="276">
        <v>0</v>
      </c>
      <c r="AQ49" s="276">
        <v>0</v>
      </c>
      <c r="AR49" s="276">
        <v>0</v>
      </c>
      <c r="AS49" s="276">
        <v>0</v>
      </c>
      <c r="AT49" s="276">
        <v>0</v>
      </c>
      <c r="AU49" s="276">
        <v>0</v>
      </c>
      <c r="AV49" s="276">
        <v>0</v>
      </c>
      <c r="AW49" s="276"/>
      <c r="AX49" s="276"/>
      <c r="AY49" s="277">
        <f t="shared" si="7"/>
        <v>672465.2649999999</v>
      </c>
      <c r="AZ49" s="250">
        <f t="shared" si="8"/>
        <v>0</v>
      </c>
      <c r="BA49" s="278">
        <f t="shared" si="9"/>
        <v>104281.21000000002</v>
      </c>
      <c r="BB49" s="277">
        <f t="shared" si="10"/>
        <v>672465.2649999999</v>
      </c>
      <c r="BD49" s="270" t="b">
        <f t="shared" si="11"/>
        <v>1</v>
      </c>
    </row>
    <row r="50" spans="2:57" s="270" customFormat="1" x14ac:dyDescent="0.25">
      <c r="B50" s="263" t="s">
        <v>756</v>
      </c>
      <c r="C50" s="263">
        <v>23</v>
      </c>
      <c r="D50" s="263" t="s">
        <v>954</v>
      </c>
      <c r="E50" s="263" t="s">
        <v>953</v>
      </c>
      <c r="F50" s="263" t="s">
        <v>952</v>
      </c>
      <c r="G50" s="263" t="s">
        <v>951</v>
      </c>
      <c r="H50" s="263" t="s">
        <v>950</v>
      </c>
      <c r="I50" s="263" t="s">
        <v>716</v>
      </c>
      <c r="J50" s="264">
        <v>117517</v>
      </c>
      <c r="K50" s="264">
        <v>11109</v>
      </c>
      <c r="L50" s="264"/>
      <c r="M50" s="264"/>
      <c r="N50" s="265"/>
      <c r="O50" s="265"/>
      <c r="P50" s="265"/>
      <c r="Q50" s="265" t="s">
        <v>702</v>
      </c>
      <c r="R50" s="266">
        <v>966</v>
      </c>
      <c r="S50" s="266">
        <v>966</v>
      </c>
      <c r="T50" s="267">
        <f t="shared" si="6"/>
        <v>1932</v>
      </c>
      <c r="U50" s="267">
        <v>1932</v>
      </c>
      <c r="V50" s="267">
        <v>1932</v>
      </c>
      <c r="W50" s="267">
        <v>1932</v>
      </c>
      <c r="X50" s="267">
        <v>1932</v>
      </c>
      <c r="Y50" s="267">
        <v>1932</v>
      </c>
      <c r="Z50" s="267">
        <v>483</v>
      </c>
      <c r="AA50" s="267">
        <v>0</v>
      </c>
      <c r="AB50" s="267">
        <v>0</v>
      </c>
      <c r="AC50" s="267">
        <v>0</v>
      </c>
      <c r="AD50" s="267">
        <v>0</v>
      </c>
      <c r="AE50" s="267">
        <v>0</v>
      </c>
      <c r="AF50" s="267">
        <v>0</v>
      </c>
      <c r="AG50" s="267">
        <v>0</v>
      </c>
      <c r="AH50" s="267">
        <v>0</v>
      </c>
      <c r="AI50" s="267">
        <v>0</v>
      </c>
      <c r="AJ50" s="267">
        <v>0</v>
      </c>
      <c r="AK50" s="267">
        <v>0</v>
      </c>
      <c r="AL50" s="267">
        <v>0</v>
      </c>
      <c r="AM50" s="267">
        <v>0</v>
      </c>
      <c r="AN50" s="267">
        <v>0</v>
      </c>
      <c r="AO50" s="267">
        <v>0</v>
      </c>
      <c r="AP50" s="267">
        <v>0</v>
      </c>
      <c r="AQ50" s="267">
        <v>0</v>
      </c>
      <c r="AR50" s="267">
        <v>0</v>
      </c>
      <c r="AS50" s="267">
        <v>0</v>
      </c>
      <c r="AT50" s="267">
        <v>0</v>
      </c>
      <c r="AU50" s="267">
        <v>0</v>
      </c>
      <c r="AV50" s="267">
        <v>0</v>
      </c>
      <c r="AW50" s="267"/>
      <c r="AX50" s="267"/>
      <c r="AY50" s="268">
        <f t="shared" si="7"/>
        <v>12075</v>
      </c>
      <c r="AZ50" s="250">
        <f t="shared" si="8"/>
        <v>0</v>
      </c>
      <c r="BA50" s="269">
        <f t="shared" si="9"/>
        <v>0</v>
      </c>
      <c r="BB50" s="268">
        <f t="shared" si="10"/>
        <v>12075</v>
      </c>
      <c r="BD50" s="270" t="b">
        <f t="shared" si="11"/>
        <v>1</v>
      </c>
      <c r="BE50" s="271">
        <f>BB50-K50-R50</f>
        <v>0</v>
      </c>
    </row>
    <row r="51" spans="2:57" x14ac:dyDescent="0.25">
      <c r="B51" s="272" t="s">
        <v>756</v>
      </c>
      <c r="C51" s="272"/>
      <c r="D51" s="272"/>
      <c r="E51" s="272"/>
      <c r="F51" s="272"/>
      <c r="G51" s="272"/>
      <c r="H51" s="272"/>
      <c r="I51" s="272"/>
      <c r="J51" s="273"/>
      <c r="K51" s="273"/>
      <c r="L51" s="273" t="s">
        <v>949</v>
      </c>
      <c r="M51" s="273"/>
      <c r="N51" s="274">
        <f>SUM(O51:P51)</f>
        <v>4.0709999999999997</v>
      </c>
      <c r="O51" s="274">
        <v>4.0709999999999997</v>
      </c>
      <c r="P51" s="274">
        <f>$P$4</f>
        <v>0</v>
      </c>
      <c r="Q51" s="274" t="s">
        <v>701</v>
      </c>
      <c r="R51" s="275">
        <v>144.10000000000002</v>
      </c>
      <c r="S51" s="275">
        <v>107.92</v>
      </c>
      <c r="T51" s="276">
        <f t="shared" si="6"/>
        <v>252.02000000000004</v>
      </c>
      <c r="U51" s="276">
        <f>SUM(U50:$AV50)*$N51/100</f>
        <v>412.92152999999996</v>
      </c>
      <c r="V51" s="276">
        <f>SUM(V50:$AV50)*$N51/100</f>
        <v>334.26981000000001</v>
      </c>
      <c r="W51" s="276">
        <f>SUM(W50:$AV50)*$N51/100</f>
        <v>255.61808999999997</v>
      </c>
      <c r="X51" s="276">
        <f>SUM(X50:$AV50)*$N51/100</f>
        <v>176.96636999999998</v>
      </c>
      <c r="Y51" s="276">
        <f>SUM(Y50:$AV50)*$N51/100</f>
        <v>98.31465</v>
      </c>
      <c r="Z51" s="276">
        <f>SUM(Z50:$AV50)*$N51/100</f>
        <v>19.662929999999999</v>
      </c>
      <c r="AA51" s="276">
        <v>0</v>
      </c>
      <c r="AB51" s="276">
        <v>0</v>
      </c>
      <c r="AC51" s="276">
        <v>0</v>
      </c>
      <c r="AD51" s="276">
        <v>0</v>
      </c>
      <c r="AE51" s="276">
        <v>0</v>
      </c>
      <c r="AF51" s="276">
        <v>0</v>
      </c>
      <c r="AG51" s="276">
        <v>0</v>
      </c>
      <c r="AH51" s="276">
        <v>0</v>
      </c>
      <c r="AI51" s="276">
        <v>0</v>
      </c>
      <c r="AJ51" s="276">
        <v>0</v>
      </c>
      <c r="AK51" s="276">
        <v>0</v>
      </c>
      <c r="AL51" s="276">
        <v>0</v>
      </c>
      <c r="AM51" s="276">
        <v>0</v>
      </c>
      <c r="AN51" s="276">
        <v>0</v>
      </c>
      <c r="AO51" s="276">
        <v>0</v>
      </c>
      <c r="AP51" s="276">
        <v>0</v>
      </c>
      <c r="AQ51" s="276">
        <v>0</v>
      </c>
      <c r="AR51" s="276">
        <v>0</v>
      </c>
      <c r="AS51" s="276">
        <v>0</v>
      </c>
      <c r="AT51" s="276">
        <v>0</v>
      </c>
      <c r="AU51" s="276">
        <v>0</v>
      </c>
      <c r="AV51" s="276">
        <v>0</v>
      </c>
      <c r="AW51" s="276"/>
      <c r="AX51" s="276"/>
      <c r="AY51" s="277">
        <f t="shared" si="7"/>
        <v>1549.7733799999999</v>
      </c>
      <c r="AZ51" s="250">
        <f t="shared" si="8"/>
        <v>0</v>
      </c>
      <c r="BA51" s="278">
        <f t="shared" si="9"/>
        <v>0</v>
      </c>
      <c r="BB51" s="277">
        <f t="shared" si="10"/>
        <v>1549.7733799999999</v>
      </c>
      <c r="BD51" s="270" t="b">
        <f t="shared" si="11"/>
        <v>1</v>
      </c>
    </row>
    <row r="52" spans="2:57" s="270" customFormat="1" x14ac:dyDescent="0.25">
      <c r="B52" s="263" t="s">
        <v>756</v>
      </c>
      <c r="C52" s="263">
        <v>24</v>
      </c>
      <c r="D52" s="263" t="s">
        <v>948</v>
      </c>
      <c r="E52" s="263" t="s">
        <v>947</v>
      </c>
      <c r="F52" s="263" t="s">
        <v>946</v>
      </c>
      <c r="G52" s="263" t="s">
        <v>945</v>
      </c>
      <c r="H52" s="263" t="s">
        <v>944</v>
      </c>
      <c r="I52" s="263" t="s">
        <v>716</v>
      </c>
      <c r="J52" s="264">
        <v>2227434</v>
      </c>
      <c r="K52" s="264">
        <v>1831440</v>
      </c>
      <c r="L52" s="264"/>
      <c r="M52" s="264"/>
      <c r="N52" s="265"/>
      <c r="O52" s="265"/>
      <c r="P52" s="265"/>
      <c r="Q52" s="265" t="s">
        <v>702</v>
      </c>
      <c r="R52" s="266">
        <v>35220</v>
      </c>
      <c r="S52" s="266">
        <v>35220</v>
      </c>
      <c r="T52" s="267">
        <f t="shared" si="6"/>
        <v>70440</v>
      </c>
      <c r="U52" s="267">
        <v>70440</v>
      </c>
      <c r="V52" s="267">
        <v>70440</v>
      </c>
      <c r="W52" s="267">
        <v>70440</v>
      </c>
      <c r="X52" s="267">
        <v>70440</v>
      </c>
      <c r="Y52" s="267">
        <v>70440</v>
      </c>
      <c r="Z52" s="267">
        <v>70440</v>
      </c>
      <c r="AA52" s="267">
        <v>70440</v>
      </c>
      <c r="AB52" s="267">
        <v>70440</v>
      </c>
      <c r="AC52" s="267">
        <v>70440</v>
      </c>
      <c r="AD52" s="267">
        <v>70440</v>
      </c>
      <c r="AE52" s="267">
        <v>70440</v>
      </c>
      <c r="AF52" s="267">
        <v>70440</v>
      </c>
      <c r="AG52" s="267">
        <v>70440</v>
      </c>
      <c r="AH52" s="267">
        <v>70440</v>
      </c>
      <c r="AI52" s="267">
        <v>70440</v>
      </c>
      <c r="AJ52" s="267">
        <v>70440</v>
      </c>
      <c r="AK52" s="267">
        <v>70440</v>
      </c>
      <c r="AL52" s="267">
        <v>70440</v>
      </c>
      <c r="AM52" s="267">
        <v>70440</v>
      </c>
      <c r="AN52" s="267">
        <v>70440</v>
      </c>
      <c r="AO52" s="267">
        <v>70440</v>
      </c>
      <c r="AP52" s="267">
        <v>70440</v>
      </c>
      <c r="AQ52" s="267">
        <v>70440</v>
      </c>
      <c r="AR52" s="267">
        <v>70440</v>
      </c>
      <c r="AS52" s="267">
        <v>70440</v>
      </c>
      <c r="AT52" s="267">
        <v>35220</v>
      </c>
      <c r="AU52" s="267">
        <v>0</v>
      </c>
      <c r="AV52" s="267">
        <v>0</v>
      </c>
      <c r="AW52" s="267"/>
      <c r="AX52" s="267"/>
      <c r="AY52" s="268">
        <f t="shared" si="7"/>
        <v>1866660</v>
      </c>
      <c r="AZ52" s="250">
        <f t="shared" si="8"/>
        <v>0</v>
      </c>
      <c r="BA52" s="269">
        <f t="shared" si="9"/>
        <v>1373580</v>
      </c>
      <c r="BB52" s="268">
        <f t="shared" si="10"/>
        <v>1866660</v>
      </c>
      <c r="BD52" s="270" t="b">
        <f t="shared" si="11"/>
        <v>1</v>
      </c>
      <c r="BE52" s="271">
        <f>BB52-K52-R52</f>
        <v>0</v>
      </c>
    </row>
    <row r="53" spans="2:57" x14ac:dyDescent="0.25">
      <c r="B53" s="272" t="s">
        <v>756</v>
      </c>
      <c r="C53" s="272"/>
      <c r="D53" s="272"/>
      <c r="E53" s="272"/>
      <c r="F53" s="272"/>
      <c r="G53" s="272"/>
      <c r="H53" s="272"/>
      <c r="I53" s="272"/>
      <c r="J53" s="273"/>
      <c r="K53" s="273"/>
      <c r="L53" s="273" t="s">
        <v>943</v>
      </c>
      <c r="M53" s="273"/>
      <c r="N53" s="274">
        <f>SUM(O53:P53)</f>
        <v>4.1890000000000001</v>
      </c>
      <c r="O53" s="274">
        <v>4.1890000000000001</v>
      </c>
      <c r="P53" s="274">
        <f>$P$4</f>
        <v>0</v>
      </c>
      <c r="Q53" s="274" t="s">
        <v>701</v>
      </c>
      <c r="R53" s="275">
        <v>13112.92</v>
      </c>
      <c r="S53" s="275">
        <v>18414.689999999999</v>
      </c>
      <c r="T53" s="276">
        <f t="shared" si="6"/>
        <v>31527.61</v>
      </c>
      <c r="U53" s="276">
        <f>SUM(U52:$AV52)*$N53/100</f>
        <v>75243.655800000008</v>
      </c>
      <c r="V53" s="276">
        <f>SUM(V52:$AV52)*$N53/100</f>
        <v>72292.924199999994</v>
      </c>
      <c r="W53" s="276">
        <f>SUM(W52:$AV52)*$N53/100</f>
        <v>69342.192599999995</v>
      </c>
      <c r="X53" s="276">
        <f>SUM(X52:$AV52)*$N53/100</f>
        <v>66391.460999999996</v>
      </c>
      <c r="Y53" s="276">
        <f>SUM(Y52:$AV52)*$N53/100</f>
        <v>63440.729400000004</v>
      </c>
      <c r="Z53" s="276">
        <f>SUM(Z52:$AV52)*$N53/100</f>
        <v>60489.997800000005</v>
      </c>
      <c r="AA53" s="276">
        <f>SUM(AA52:$AV52)*$N53/100</f>
        <v>57539.266199999998</v>
      </c>
      <c r="AB53" s="276">
        <f>SUM(AB52:$AV52)*$N53/100</f>
        <v>54588.534599999999</v>
      </c>
      <c r="AC53" s="276">
        <f>SUM(AC52:$AV52)*$N53/100</f>
        <v>51637.803</v>
      </c>
      <c r="AD53" s="276">
        <f>SUM(AD52:$AV52)*$N53/100</f>
        <v>48687.071399999993</v>
      </c>
      <c r="AE53" s="276">
        <f>SUM(AE52:$AV52)*$N53/100</f>
        <v>45736.339800000002</v>
      </c>
      <c r="AF53" s="276">
        <f>SUM(AF52:$AV52)*$N53/100</f>
        <v>42785.608200000002</v>
      </c>
      <c r="AG53" s="276">
        <f>SUM(AG52:$AV52)*$N53/100</f>
        <v>39834.876600000003</v>
      </c>
      <c r="AH53" s="276">
        <f>SUM(AH52:$AV52)*$N53/100</f>
        <v>36884.144999999997</v>
      </c>
      <c r="AI53" s="276">
        <f>SUM(AI52:$AV52)*$N53/100</f>
        <v>33933.413399999998</v>
      </c>
      <c r="AJ53" s="276">
        <f>SUM(AJ52:$AV52)*$N53/100</f>
        <v>30982.681800000002</v>
      </c>
      <c r="AK53" s="276">
        <f>SUM(AK52:$AV52)*$N53/100</f>
        <v>28031.950199999999</v>
      </c>
      <c r="AL53" s="276">
        <f>SUM(AL52:$AV52)*$N53/100</f>
        <v>25081.2186</v>
      </c>
      <c r="AM53" s="276">
        <f>SUM(AM52:$AV52)*$N53/100</f>
        <v>22130.487000000001</v>
      </c>
      <c r="AN53" s="276">
        <f>SUM(AN52:$AV52)*$N53/100</f>
        <v>19179.755400000002</v>
      </c>
      <c r="AO53" s="276">
        <f>SUM(AO52:$AV52)*$N53/100</f>
        <v>16229.023800000001</v>
      </c>
      <c r="AP53" s="276">
        <f>SUM(AP52:$AV52)*$N53/100</f>
        <v>13278.2922</v>
      </c>
      <c r="AQ53" s="276">
        <f>SUM(AQ52:$AV52)*$N53/100</f>
        <v>10327.560600000001</v>
      </c>
      <c r="AR53" s="276">
        <f>SUM(AR52:$AV52)*$N53/100</f>
        <v>7376.8290000000006</v>
      </c>
      <c r="AS53" s="276">
        <f>SUM(AS52:$AV52)*$N53/100</f>
        <v>4426.0973999999997</v>
      </c>
      <c r="AT53" s="276">
        <f>SUM(AT52:$AV52)*$N53/100</f>
        <v>1475.3658000000003</v>
      </c>
      <c r="AU53" s="276">
        <v>0</v>
      </c>
      <c r="AV53" s="276">
        <v>0</v>
      </c>
      <c r="AW53" s="276"/>
      <c r="AX53" s="276"/>
      <c r="AY53" s="277">
        <f t="shared" si="7"/>
        <v>1028874.8907999999</v>
      </c>
      <c r="AZ53" s="250">
        <f t="shared" si="8"/>
        <v>0</v>
      </c>
      <c r="BA53" s="278">
        <f t="shared" si="9"/>
        <v>590146.32000000007</v>
      </c>
      <c r="BB53" s="277">
        <f t="shared" si="10"/>
        <v>1028874.8908000002</v>
      </c>
      <c r="BD53" s="270" t="b">
        <f t="shared" si="11"/>
        <v>1</v>
      </c>
    </row>
    <row r="54" spans="2:57" s="270" customFormat="1" x14ac:dyDescent="0.25">
      <c r="B54" s="263" t="s">
        <v>754</v>
      </c>
      <c r="C54" s="263">
        <v>25</v>
      </c>
      <c r="D54" s="263" t="s">
        <v>942</v>
      </c>
      <c r="E54" s="263" t="s">
        <v>941</v>
      </c>
      <c r="F54" s="263" t="s">
        <v>940</v>
      </c>
      <c r="G54" s="263" t="s">
        <v>939</v>
      </c>
      <c r="H54" s="263" t="s">
        <v>938</v>
      </c>
      <c r="I54" s="263" t="s">
        <v>716</v>
      </c>
      <c r="J54" s="264">
        <v>531484</v>
      </c>
      <c r="K54" s="264">
        <v>412380</v>
      </c>
      <c r="L54" s="264"/>
      <c r="M54" s="264"/>
      <c r="N54" s="265"/>
      <c r="O54" s="265">
        <v>2.4700000000000002</v>
      </c>
      <c r="P54" s="265"/>
      <c r="Q54" s="265" t="s">
        <v>702</v>
      </c>
      <c r="R54" s="266">
        <v>18328</v>
      </c>
      <c r="S54" s="266">
        <v>18328</v>
      </c>
      <c r="T54" s="267">
        <f t="shared" si="6"/>
        <v>36656</v>
      </c>
      <c r="U54" s="267">
        <v>36656</v>
      </c>
      <c r="V54" s="267">
        <v>36656</v>
      </c>
      <c r="W54" s="267">
        <v>36656</v>
      </c>
      <c r="X54" s="267">
        <v>36656</v>
      </c>
      <c r="Y54" s="267">
        <v>36656</v>
      </c>
      <c r="Z54" s="267">
        <v>36656</v>
      </c>
      <c r="AA54" s="267">
        <v>36656</v>
      </c>
      <c r="AB54" s="267">
        <v>36656</v>
      </c>
      <c r="AC54" s="267">
        <v>36656</v>
      </c>
      <c r="AD54" s="267">
        <v>36656</v>
      </c>
      <c r="AE54" s="267">
        <v>27492</v>
      </c>
      <c r="AF54" s="267">
        <v>0</v>
      </c>
      <c r="AG54" s="267">
        <v>0</v>
      </c>
      <c r="AH54" s="267">
        <v>0</v>
      </c>
      <c r="AI54" s="267">
        <v>0</v>
      </c>
      <c r="AJ54" s="267">
        <v>0</v>
      </c>
      <c r="AK54" s="267">
        <v>0</v>
      </c>
      <c r="AL54" s="267">
        <v>0</v>
      </c>
      <c r="AM54" s="267">
        <v>0</v>
      </c>
      <c r="AN54" s="267">
        <v>0</v>
      </c>
      <c r="AO54" s="267">
        <v>0</v>
      </c>
      <c r="AP54" s="267">
        <v>0</v>
      </c>
      <c r="AQ54" s="267">
        <v>0</v>
      </c>
      <c r="AR54" s="267">
        <v>0</v>
      </c>
      <c r="AS54" s="267">
        <v>0</v>
      </c>
      <c r="AT54" s="267">
        <v>0</v>
      </c>
      <c r="AU54" s="267">
        <v>0</v>
      </c>
      <c r="AV54" s="267">
        <v>0</v>
      </c>
      <c r="AW54" s="267"/>
      <c r="AX54" s="267"/>
      <c r="AY54" s="268">
        <f t="shared" si="7"/>
        <v>430708</v>
      </c>
      <c r="AZ54" s="250">
        <f t="shared" si="8"/>
        <v>0</v>
      </c>
      <c r="BA54" s="269">
        <f t="shared" si="9"/>
        <v>174116</v>
      </c>
      <c r="BB54" s="268">
        <f t="shared" si="10"/>
        <v>430708</v>
      </c>
      <c r="BD54" s="270" t="b">
        <f t="shared" si="11"/>
        <v>1</v>
      </c>
      <c r="BE54" s="271">
        <f>BB54-K54-R54</f>
        <v>0</v>
      </c>
    </row>
    <row r="55" spans="2:57" x14ac:dyDescent="0.25">
      <c r="B55" s="272" t="s">
        <v>754</v>
      </c>
      <c r="C55" s="272"/>
      <c r="D55" s="272"/>
      <c r="E55" s="272"/>
      <c r="F55" s="272"/>
      <c r="G55" s="272"/>
      <c r="H55" s="272"/>
      <c r="I55" s="272"/>
      <c r="J55" s="273"/>
      <c r="K55" s="273"/>
      <c r="L55" s="273" t="s">
        <v>937</v>
      </c>
      <c r="M55" s="273"/>
      <c r="N55" s="274">
        <f>SUM(O55:P55)</f>
        <v>4.1500000000000004</v>
      </c>
      <c r="O55" s="280">
        <v>4.1500000000000004</v>
      </c>
      <c r="P55" s="274">
        <f>$P$4</f>
        <v>0</v>
      </c>
      <c r="Q55" s="274" t="s">
        <v>701</v>
      </c>
      <c r="R55" s="275">
        <v>7834.89</v>
      </c>
      <c r="S55" s="275">
        <v>2596.12</v>
      </c>
      <c r="T55" s="276">
        <f t="shared" si="6"/>
        <v>10431.01</v>
      </c>
      <c r="U55" s="276">
        <f>SUM(U54:$AV54)*$N55/100</f>
        <v>16353.158000000001</v>
      </c>
      <c r="V55" s="276">
        <f>SUM(V54:$AV54)*$N55/100</f>
        <v>14831.934000000001</v>
      </c>
      <c r="W55" s="276">
        <f>SUM(W54:$AV54)*$N55/100</f>
        <v>13310.71</v>
      </c>
      <c r="X55" s="276">
        <f>SUM(X54:$AV54)*$N55/100</f>
        <v>11789.486000000001</v>
      </c>
      <c r="Y55" s="276">
        <f>SUM(Y54:$AV54)*$N55/100</f>
        <v>10268.262000000001</v>
      </c>
      <c r="Z55" s="276">
        <f>SUM(Z54:$AV54)*$N55/100</f>
        <v>8747.0380000000005</v>
      </c>
      <c r="AA55" s="276">
        <f>SUM(AA54:$AV54)*$N55/100</f>
        <v>7225.8140000000003</v>
      </c>
      <c r="AB55" s="276">
        <f>SUM(AB54:$AV54)*$N55/100</f>
        <v>5704.59</v>
      </c>
      <c r="AC55" s="276">
        <f>SUM(AC54:$AV54)*$N55/100</f>
        <v>4183.366</v>
      </c>
      <c r="AD55" s="276">
        <f>SUM(AD54:$AV54)*$N55/100</f>
        <v>2662.1420000000003</v>
      </c>
      <c r="AE55" s="276">
        <f>SUM(AE54:$AV54)*$N55/100</f>
        <v>1140.9180000000001</v>
      </c>
      <c r="AF55" s="276">
        <v>0</v>
      </c>
      <c r="AG55" s="276">
        <v>0</v>
      </c>
      <c r="AH55" s="276">
        <v>0</v>
      </c>
      <c r="AI55" s="276">
        <v>0</v>
      </c>
      <c r="AJ55" s="276">
        <v>0</v>
      </c>
      <c r="AK55" s="276">
        <v>0</v>
      </c>
      <c r="AL55" s="276">
        <v>0</v>
      </c>
      <c r="AM55" s="276">
        <v>0</v>
      </c>
      <c r="AN55" s="276">
        <v>0</v>
      </c>
      <c r="AO55" s="276">
        <v>0</v>
      </c>
      <c r="AP55" s="276">
        <v>0</v>
      </c>
      <c r="AQ55" s="276">
        <v>0</v>
      </c>
      <c r="AR55" s="276">
        <v>0</v>
      </c>
      <c r="AS55" s="276">
        <v>0</v>
      </c>
      <c r="AT55" s="276">
        <v>0</v>
      </c>
      <c r="AU55" s="276">
        <v>0</v>
      </c>
      <c r="AV55" s="276">
        <v>0</v>
      </c>
      <c r="AW55" s="276"/>
      <c r="AX55" s="276"/>
      <c r="AY55" s="277">
        <f t="shared" si="7"/>
        <v>106648.428</v>
      </c>
      <c r="AZ55" s="250">
        <f t="shared" si="8"/>
        <v>0</v>
      </c>
      <c r="BA55" s="278">
        <f t="shared" si="9"/>
        <v>20916.830000000002</v>
      </c>
      <c r="BB55" s="277">
        <f t="shared" si="10"/>
        <v>106648.428</v>
      </c>
      <c r="BD55" s="270" t="b">
        <f t="shared" si="11"/>
        <v>1</v>
      </c>
    </row>
    <row r="56" spans="2:57" s="270" customFormat="1" x14ac:dyDescent="0.25">
      <c r="B56" s="263" t="s">
        <v>756</v>
      </c>
      <c r="C56" s="263">
        <v>26</v>
      </c>
      <c r="D56" s="263" t="s">
        <v>936</v>
      </c>
      <c r="E56" s="263" t="s">
        <v>935</v>
      </c>
      <c r="F56" s="263" t="s">
        <v>934</v>
      </c>
      <c r="G56" s="263" t="s">
        <v>933</v>
      </c>
      <c r="H56" s="263" t="s">
        <v>932</v>
      </c>
      <c r="I56" s="263" t="s">
        <v>716</v>
      </c>
      <c r="J56" s="264">
        <v>583938.46</v>
      </c>
      <c r="K56" s="264">
        <v>520872</v>
      </c>
      <c r="L56" s="264"/>
      <c r="M56" s="264"/>
      <c r="N56" s="265"/>
      <c r="O56" s="265">
        <v>2.8109999999999999</v>
      </c>
      <c r="P56" s="265"/>
      <c r="Q56" s="265" t="s">
        <v>702</v>
      </c>
      <c r="R56" s="266">
        <v>15784</v>
      </c>
      <c r="S56" s="266">
        <v>15784</v>
      </c>
      <c r="T56" s="267">
        <f t="shared" si="6"/>
        <v>31568</v>
      </c>
      <c r="U56" s="267">
        <v>31568</v>
      </c>
      <c r="V56" s="267">
        <v>31568</v>
      </c>
      <c r="W56" s="267">
        <v>31568</v>
      </c>
      <c r="X56" s="267">
        <v>31568</v>
      </c>
      <c r="Y56" s="267">
        <v>31568</v>
      </c>
      <c r="Z56" s="267">
        <v>31568</v>
      </c>
      <c r="AA56" s="267">
        <v>31568</v>
      </c>
      <c r="AB56" s="267">
        <v>31568</v>
      </c>
      <c r="AC56" s="267">
        <v>31568</v>
      </c>
      <c r="AD56" s="267">
        <v>31568</v>
      </c>
      <c r="AE56" s="267">
        <v>31568</v>
      </c>
      <c r="AF56" s="267">
        <v>31568</v>
      </c>
      <c r="AG56" s="267">
        <v>31568</v>
      </c>
      <c r="AH56" s="267">
        <v>31568</v>
      </c>
      <c r="AI56" s="267">
        <v>31568</v>
      </c>
      <c r="AJ56" s="267">
        <v>31568</v>
      </c>
      <c r="AK56" s="267">
        <v>0</v>
      </c>
      <c r="AL56" s="267">
        <v>0</v>
      </c>
      <c r="AM56" s="267">
        <v>0</v>
      </c>
      <c r="AN56" s="267">
        <v>0</v>
      </c>
      <c r="AO56" s="267">
        <v>0</v>
      </c>
      <c r="AP56" s="267">
        <v>0</v>
      </c>
      <c r="AQ56" s="267">
        <v>0</v>
      </c>
      <c r="AR56" s="267">
        <v>0</v>
      </c>
      <c r="AS56" s="267">
        <v>0</v>
      </c>
      <c r="AT56" s="267">
        <v>0</v>
      </c>
      <c r="AU56" s="267">
        <v>0</v>
      </c>
      <c r="AV56" s="267">
        <v>0</v>
      </c>
      <c r="AW56" s="267"/>
      <c r="AX56" s="267"/>
      <c r="AY56" s="268">
        <f t="shared" si="7"/>
        <v>536656</v>
      </c>
      <c r="AZ56" s="250">
        <f t="shared" si="8"/>
        <v>0</v>
      </c>
      <c r="BA56" s="269">
        <f t="shared" si="9"/>
        <v>315680</v>
      </c>
      <c r="BB56" s="268">
        <f t="shared" si="10"/>
        <v>536656</v>
      </c>
      <c r="BD56" s="270" t="b">
        <f t="shared" si="11"/>
        <v>1</v>
      </c>
      <c r="BE56" s="271">
        <f>BB56-K56-R56</f>
        <v>0</v>
      </c>
    </row>
    <row r="57" spans="2:57" x14ac:dyDescent="0.25">
      <c r="B57" s="272" t="s">
        <v>756</v>
      </c>
      <c r="C57" s="272"/>
      <c r="D57" s="272"/>
      <c r="E57" s="272"/>
      <c r="F57" s="272"/>
      <c r="G57" s="272"/>
      <c r="H57" s="272"/>
      <c r="I57" s="272"/>
      <c r="J57" s="273"/>
      <c r="K57" s="273"/>
      <c r="L57" s="273" t="s">
        <v>931</v>
      </c>
      <c r="M57" s="273"/>
      <c r="N57" s="274">
        <f>SUM(O57:P57)</f>
        <v>4.1500000000000004</v>
      </c>
      <c r="O57" s="280">
        <v>4.1500000000000004</v>
      </c>
      <c r="P57" s="274">
        <f>$P$4</f>
        <v>0</v>
      </c>
      <c r="Q57" s="274" t="s">
        <v>701</v>
      </c>
      <c r="R57" s="275">
        <v>8612.48</v>
      </c>
      <c r="S57" s="275">
        <v>3735</v>
      </c>
      <c r="T57" s="276">
        <f t="shared" si="6"/>
        <v>12347.48</v>
      </c>
      <c r="U57" s="276">
        <f>SUM(U56:$AV56)*$N57/100</f>
        <v>20961.152000000002</v>
      </c>
      <c r="V57" s="276">
        <f>SUM(V56:$AV56)*$N57/100</f>
        <v>19651.080000000002</v>
      </c>
      <c r="W57" s="276">
        <f>SUM(W56:$AV56)*$N57/100</f>
        <v>18341.008000000002</v>
      </c>
      <c r="X57" s="276">
        <f>SUM(X56:$AV56)*$N57/100</f>
        <v>17030.936000000002</v>
      </c>
      <c r="Y57" s="276">
        <f>SUM(Y56:$AV56)*$N57/100</f>
        <v>15720.864000000001</v>
      </c>
      <c r="Z57" s="276">
        <f>SUM(Z56:$AV56)*$N57/100</f>
        <v>14410.792000000001</v>
      </c>
      <c r="AA57" s="276">
        <f>SUM(AA56:$AV56)*$N57/100</f>
        <v>13100.72</v>
      </c>
      <c r="AB57" s="276">
        <f>SUM(AB56:$AV56)*$N57/100</f>
        <v>11790.648000000001</v>
      </c>
      <c r="AC57" s="276">
        <f>SUM(AC56:$AV56)*$N57/100</f>
        <v>10480.576000000001</v>
      </c>
      <c r="AD57" s="276">
        <f>SUM(AD56:$AV56)*$N57/100</f>
        <v>9170.5040000000008</v>
      </c>
      <c r="AE57" s="276">
        <f>SUM(AE56:$AV56)*$N57/100</f>
        <v>7860.4320000000007</v>
      </c>
      <c r="AF57" s="276">
        <f>SUM(AF56:$AV56)*$N57/100</f>
        <v>6550.36</v>
      </c>
      <c r="AG57" s="276">
        <f>SUM(AG56:$AV56)*$N57/100</f>
        <v>5240.2880000000005</v>
      </c>
      <c r="AH57" s="276">
        <f>SUM(AH56:$AV56)*$N57/100</f>
        <v>3930.2160000000003</v>
      </c>
      <c r="AI57" s="276">
        <f>SUM(AI56:$AV56)*$N57/100</f>
        <v>2620.1440000000002</v>
      </c>
      <c r="AJ57" s="276">
        <f>SUM(AJ56:$AV56)*$N57/100</f>
        <v>1310.0720000000001</v>
      </c>
      <c r="AK57" s="276">
        <v>0</v>
      </c>
      <c r="AL57" s="276">
        <v>0</v>
      </c>
      <c r="AM57" s="276">
        <v>0</v>
      </c>
      <c r="AN57" s="276">
        <v>0</v>
      </c>
      <c r="AO57" s="276">
        <v>0</v>
      </c>
      <c r="AP57" s="276">
        <v>0</v>
      </c>
      <c r="AQ57" s="276">
        <v>0</v>
      </c>
      <c r="AR57" s="276">
        <v>0</v>
      </c>
      <c r="AS57" s="276">
        <v>0</v>
      </c>
      <c r="AT57" s="276">
        <v>0</v>
      </c>
      <c r="AU57" s="276">
        <v>0</v>
      </c>
      <c r="AV57" s="276">
        <v>0</v>
      </c>
      <c r="AW57" s="276"/>
      <c r="AX57" s="276"/>
      <c r="AY57" s="277">
        <f t="shared" si="7"/>
        <v>190517.272</v>
      </c>
      <c r="AZ57" s="250">
        <f t="shared" si="8"/>
        <v>0</v>
      </c>
      <c r="BA57" s="278">
        <f t="shared" si="9"/>
        <v>72053.960000000006</v>
      </c>
      <c r="BB57" s="277">
        <f t="shared" si="10"/>
        <v>190517.272</v>
      </c>
      <c r="BD57" s="270" t="b">
        <f t="shared" si="11"/>
        <v>1</v>
      </c>
    </row>
    <row r="58" spans="2:57" s="270" customFormat="1" x14ac:dyDescent="0.25">
      <c r="B58" s="263" t="s">
        <v>754</v>
      </c>
      <c r="C58" s="263">
        <v>27</v>
      </c>
      <c r="D58" s="263" t="s">
        <v>930</v>
      </c>
      <c r="E58" s="263" t="s">
        <v>929</v>
      </c>
      <c r="F58" s="263" t="s">
        <v>928</v>
      </c>
      <c r="G58" s="263" t="s">
        <v>927</v>
      </c>
      <c r="H58" s="263" t="s">
        <v>926</v>
      </c>
      <c r="I58" s="263" t="s">
        <v>716</v>
      </c>
      <c r="J58" s="264">
        <v>2556845.52</v>
      </c>
      <c r="K58" s="264">
        <v>2388377.52</v>
      </c>
      <c r="L58" s="264"/>
      <c r="M58" s="264"/>
      <c r="N58" s="265"/>
      <c r="O58" s="265"/>
      <c r="P58" s="265"/>
      <c r="Q58" s="265" t="s">
        <v>702</v>
      </c>
      <c r="R58" s="266">
        <v>48158</v>
      </c>
      <c r="S58" s="266">
        <v>48158</v>
      </c>
      <c r="T58" s="267">
        <f>SUM(R58:S58)+12930</f>
        <v>109246</v>
      </c>
      <c r="U58" s="267">
        <v>96316</v>
      </c>
      <c r="V58" s="267">
        <v>96316</v>
      </c>
      <c r="W58" s="267">
        <v>96316</v>
      </c>
      <c r="X58" s="267">
        <v>96316</v>
      </c>
      <c r="Y58" s="267">
        <v>96316</v>
      </c>
      <c r="Z58" s="267">
        <v>96316</v>
      </c>
      <c r="AA58" s="267">
        <v>96316</v>
      </c>
      <c r="AB58" s="267">
        <v>96316</v>
      </c>
      <c r="AC58" s="267">
        <v>96316</v>
      </c>
      <c r="AD58" s="267">
        <v>96316</v>
      </c>
      <c r="AE58" s="267">
        <v>96316</v>
      </c>
      <c r="AF58" s="267">
        <v>96316</v>
      </c>
      <c r="AG58" s="267">
        <v>96316</v>
      </c>
      <c r="AH58" s="267">
        <v>96316</v>
      </c>
      <c r="AI58" s="267">
        <v>96316</v>
      </c>
      <c r="AJ58" s="267">
        <v>96316</v>
      </c>
      <c r="AK58" s="267">
        <v>96316</v>
      </c>
      <c r="AL58" s="267">
        <v>96316</v>
      </c>
      <c r="AM58" s="267">
        <v>96316</v>
      </c>
      <c r="AN58" s="267">
        <v>96316</v>
      </c>
      <c r="AO58" s="267">
        <v>96316</v>
      </c>
      <c r="AP58" s="267">
        <v>96316</v>
      </c>
      <c r="AQ58" s="267">
        <v>96316</v>
      </c>
      <c r="AR58" s="267">
        <v>96316</v>
      </c>
      <c r="AS58" s="267">
        <v>28635.52</v>
      </c>
      <c r="AT58" s="267">
        <v>0</v>
      </c>
      <c r="AU58" s="267">
        <v>0</v>
      </c>
      <c r="AV58" s="267">
        <v>0</v>
      </c>
      <c r="AW58" s="267"/>
      <c r="AX58" s="267"/>
      <c r="AY58" s="268">
        <f t="shared" si="7"/>
        <v>2449465.52</v>
      </c>
      <c r="AZ58" s="250">
        <f t="shared" si="8"/>
        <v>0</v>
      </c>
      <c r="BA58" s="269">
        <f t="shared" si="9"/>
        <v>1762323.52</v>
      </c>
      <c r="BB58" s="268">
        <f t="shared" si="10"/>
        <v>2449465.52</v>
      </c>
      <c r="BD58" s="270" t="b">
        <f t="shared" si="11"/>
        <v>1</v>
      </c>
      <c r="BE58" s="271">
        <f>BB58-K58-R58</f>
        <v>12930</v>
      </c>
    </row>
    <row r="59" spans="2:57" x14ac:dyDescent="0.25">
      <c r="B59" s="272" t="s">
        <v>754</v>
      </c>
      <c r="C59" s="272"/>
      <c r="D59" s="272"/>
      <c r="E59" s="272"/>
      <c r="F59" s="272"/>
      <c r="G59" s="272"/>
      <c r="H59" s="272"/>
      <c r="I59" s="272"/>
      <c r="J59" s="273"/>
      <c r="K59" s="273"/>
      <c r="L59" s="273" t="s">
        <v>925</v>
      </c>
      <c r="M59" s="273"/>
      <c r="N59" s="274">
        <f>SUM(O59:P59)</f>
        <v>6.0229999999999997</v>
      </c>
      <c r="O59" s="274">
        <v>6.0229999999999997</v>
      </c>
      <c r="P59" s="274">
        <f>$P$4</f>
        <v>0</v>
      </c>
      <c r="Q59" s="274" t="s">
        <v>701</v>
      </c>
      <c r="R59" s="275">
        <v>57579.95</v>
      </c>
      <c r="S59" s="275">
        <v>36717.86</v>
      </c>
      <c r="T59" s="276">
        <f t="shared" ref="T59:T90" si="12">SUM(R59:S59)</f>
        <v>94297.81</v>
      </c>
      <c r="U59" s="276">
        <f>SUM(U58:$AV58)*$N59/100</f>
        <v>140951.42168959999</v>
      </c>
      <c r="V59" s="276">
        <f>SUM(V58:$AV58)*$N59/100</f>
        <v>135150.30900959999</v>
      </c>
      <c r="W59" s="276">
        <f>SUM(W58:$AV58)*$N59/100</f>
        <v>129349.19632959999</v>
      </c>
      <c r="X59" s="276">
        <f>SUM(X58:$AV58)*$N59/100</f>
        <v>123548.0836496</v>
      </c>
      <c r="Y59" s="276">
        <f>SUM(Y58:$AV58)*$N59/100</f>
        <v>117746.97096959999</v>
      </c>
      <c r="Z59" s="276">
        <f>SUM(Z58:$AV58)*$N59/100</f>
        <v>111945.8582896</v>
      </c>
      <c r="AA59" s="276">
        <f>SUM(AA58:$AV58)*$N59/100</f>
        <v>106144.74560960001</v>
      </c>
      <c r="AB59" s="276">
        <f>SUM(AB58:$AV58)*$N59/100</f>
        <v>100343.63292959999</v>
      </c>
      <c r="AC59" s="276">
        <f>SUM(AC58:$AV58)*$N59/100</f>
        <v>94542.520249599998</v>
      </c>
      <c r="AD59" s="276">
        <f>SUM(AD58:$AV58)*$N59/100</f>
        <v>88741.407569599993</v>
      </c>
      <c r="AE59" s="276">
        <f>SUM(AE58:$AV58)*$N59/100</f>
        <v>82940.294889600002</v>
      </c>
      <c r="AF59" s="276">
        <f>SUM(AF58:$AV58)*$N59/100</f>
        <v>77139.182209599996</v>
      </c>
      <c r="AG59" s="276">
        <f>SUM(AG58:$AV58)*$N59/100</f>
        <v>71338.06952959999</v>
      </c>
      <c r="AH59" s="276">
        <f>SUM(AH58:$AV58)*$N59/100</f>
        <v>65536.956849599999</v>
      </c>
      <c r="AI59" s="276">
        <f>SUM(AI58:$AV58)*$N59/100</f>
        <v>59735.844169600001</v>
      </c>
      <c r="AJ59" s="276">
        <f>SUM(AJ58:$AV58)*$N59/100</f>
        <v>53934.731489600003</v>
      </c>
      <c r="AK59" s="276">
        <f>SUM(AK58:$AV58)*$N59/100</f>
        <v>48133.618809599997</v>
      </c>
      <c r="AL59" s="276">
        <f>SUM(AL58:$AV58)*$N59/100</f>
        <v>42332.506129599999</v>
      </c>
      <c r="AM59" s="276">
        <f>SUM(AM58:$AV58)*$N59/100</f>
        <v>36531.3934496</v>
      </c>
      <c r="AN59" s="276">
        <f>SUM(AN58:$AV58)*$N59/100</f>
        <v>30730.280769599998</v>
      </c>
      <c r="AO59" s="276">
        <f>SUM(AO58:$AV58)*$N59/100</f>
        <v>24929.1680896</v>
      </c>
      <c r="AP59" s="276">
        <f>SUM(AP58:$AV58)*$N59/100</f>
        <v>19128.055409599998</v>
      </c>
      <c r="AQ59" s="276">
        <f>SUM(AQ58:$AV58)*$N59/100</f>
        <v>13326.942729599999</v>
      </c>
      <c r="AR59" s="276">
        <f>SUM(AR58:$AV58)*$N59/100</f>
        <v>7525.8300495999993</v>
      </c>
      <c r="AS59" s="276">
        <f>SUM(AS58:$AV58)*$N59/100</f>
        <v>1724.7173695999998</v>
      </c>
      <c r="AT59" s="276">
        <v>0</v>
      </c>
      <c r="AU59" s="276">
        <v>0</v>
      </c>
      <c r="AV59" s="276">
        <v>0</v>
      </c>
      <c r="AW59" s="276"/>
      <c r="AX59" s="276"/>
      <c r="AY59" s="277">
        <f t="shared" si="7"/>
        <v>1877749.5482400001</v>
      </c>
      <c r="AZ59" s="250">
        <f t="shared" si="8"/>
        <v>0</v>
      </c>
      <c r="BA59" s="278">
        <f t="shared" si="9"/>
        <v>1024759.8983024</v>
      </c>
      <c r="BB59" s="277">
        <f t="shared" si="10"/>
        <v>1877749.5482399999</v>
      </c>
      <c r="BD59" s="270" t="b">
        <f t="shared" si="11"/>
        <v>1</v>
      </c>
    </row>
    <row r="60" spans="2:57" s="270" customFormat="1" x14ac:dyDescent="0.25">
      <c r="B60" s="263" t="s">
        <v>754</v>
      </c>
      <c r="C60" s="263">
        <v>28</v>
      </c>
      <c r="D60" s="263" t="s">
        <v>924</v>
      </c>
      <c r="E60" s="263" t="s">
        <v>923</v>
      </c>
      <c r="F60" s="263" t="s">
        <v>922</v>
      </c>
      <c r="G60" s="263" t="s">
        <v>921</v>
      </c>
      <c r="H60" s="263" t="s">
        <v>920</v>
      </c>
      <c r="I60" s="263" t="s">
        <v>716</v>
      </c>
      <c r="J60" s="264">
        <v>1410783</v>
      </c>
      <c r="K60" s="264">
        <v>1059408</v>
      </c>
      <c r="L60" s="264"/>
      <c r="M60" s="264"/>
      <c r="N60" s="265"/>
      <c r="O60" s="265">
        <v>1.589</v>
      </c>
      <c r="P60" s="265"/>
      <c r="Q60" s="265" t="s">
        <v>702</v>
      </c>
      <c r="R60" s="266">
        <v>44142</v>
      </c>
      <c r="S60" s="266">
        <v>44142</v>
      </c>
      <c r="T60" s="267">
        <f t="shared" si="12"/>
        <v>88284</v>
      </c>
      <c r="U60" s="267">
        <v>88284</v>
      </c>
      <c r="V60" s="267">
        <v>88284</v>
      </c>
      <c r="W60" s="267">
        <v>88284</v>
      </c>
      <c r="X60" s="267">
        <v>88284</v>
      </c>
      <c r="Y60" s="267">
        <v>88284</v>
      </c>
      <c r="Z60" s="267">
        <v>88284</v>
      </c>
      <c r="AA60" s="267">
        <v>88284</v>
      </c>
      <c r="AB60" s="267">
        <v>88284</v>
      </c>
      <c r="AC60" s="267">
        <v>88284</v>
      </c>
      <c r="AD60" s="267">
        <v>88284</v>
      </c>
      <c r="AE60" s="267">
        <v>88284</v>
      </c>
      <c r="AF60" s="267">
        <v>44142</v>
      </c>
      <c r="AG60" s="267">
        <v>0</v>
      </c>
      <c r="AH60" s="267">
        <v>0</v>
      </c>
      <c r="AI60" s="267">
        <v>0</v>
      </c>
      <c r="AJ60" s="267">
        <v>0</v>
      </c>
      <c r="AK60" s="267">
        <v>0</v>
      </c>
      <c r="AL60" s="267">
        <v>0</v>
      </c>
      <c r="AM60" s="267">
        <v>0</v>
      </c>
      <c r="AN60" s="267">
        <v>0</v>
      </c>
      <c r="AO60" s="267">
        <v>0</v>
      </c>
      <c r="AP60" s="267">
        <v>0</v>
      </c>
      <c r="AQ60" s="267">
        <v>0</v>
      </c>
      <c r="AR60" s="267">
        <v>0</v>
      </c>
      <c r="AS60" s="267">
        <v>0</v>
      </c>
      <c r="AT60" s="267">
        <v>0</v>
      </c>
      <c r="AU60" s="267">
        <v>0</v>
      </c>
      <c r="AV60" s="267">
        <v>0</v>
      </c>
      <c r="AW60" s="267"/>
      <c r="AX60" s="267"/>
      <c r="AY60" s="268">
        <f t="shared" si="7"/>
        <v>1103550</v>
      </c>
      <c r="AZ60" s="250">
        <f t="shared" si="8"/>
        <v>0</v>
      </c>
      <c r="BA60" s="269">
        <f t="shared" si="9"/>
        <v>485562</v>
      </c>
      <c r="BB60" s="268">
        <f t="shared" si="10"/>
        <v>1103550</v>
      </c>
      <c r="BD60" s="270" t="b">
        <f t="shared" si="11"/>
        <v>1</v>
      </c>
      <c r="BE60" s="271">
        <f>BB60-K60-R60</f>
        <v>0</v>
      </c>
    </row>
    <row r="61" spans="2:57" x14ac:dyDescent="0.25">
      <c r="B61" s="272" t="s">
        <v>754</v>
      </c>
      <c r="C61" s="272"/>
      <c r="D61" s="272"/>
      <c r="E61" s="272"/>
      <c r="F61" s="272"/>
      <c r="G61" s="272"/>
      <c r="H61" s="272"/>
      <c r="I61" s="272"/>
      <c r="J61" s="273"/>
      <c r="K61" s="273"/>
      <c r="L61" s="273" t="s">
        <v>919</v>
      </c>
      <c r="M61" s="273"/>
      <c r="N61" s="274">
        <f>SUM(O61:P61)</f>
        <v>5</v>
      </c>
      <c r="O61" s="280">
        <v>5</v>
      </c>
      <c r="P61" s="274">
        <f>$P$4</f>
        <v>0</v>
      </c>
      <c r="Q61" s="274" t="s">
        <v>701</v>
      </c>
      <c r="R61" s="275">
        <v>13264.55</v>
      </c>
      <c r="S61" s="275">
        <v>12703.22</v>
      </c>
      <c r="T61" s="276">
        <f t="shared" si="12"/>
        <v>25967.769999999997</v>
      </c>
      <c r="U61" s="276">
        <f>SUM(U60:$AV60)*$N61/100</f>
        <v>50763.3</v>
      </c>
      <c r="V61" s="276">
        <f>SUM(V60:$AV60)*$N61/100</f>
        <v>46349.1</v>
      </c>
      <c r="W61" s="276">
        <f>SUM(W60:$AV60)*$N61/100</f>
        <v>41934.9</v>
      </c>
      <c r="X61" s="276">
        <f>SUM(X60:$AV60)*$N61/100</f>
        <v>37520.699999999997</v>
      </c>
      <c r="Y61" s="276">
        <f>SUM(Y60:$AV60)*$N61/100</f>
        <v>33106.5</v>
      </c>
      <c r="Z61" s="276">
        <f>SUM(Z60:$AV60)*$N61/100</f>
        <v>28692.3</v>
      </c>
      <c r="AA61" s="276">
        <f>SUM(AA60:$AV60)*$N61/100</f>
        <v>24278.1</v>
      </c>
      <c r="AB61" s="276">
        <f>SUM(AB60:$AV60)*$N61/100</f>
        <v>19863.900000000001</v>
      </c>
      <c r="AC61" s="276">
        <f>SUM(AC60:$AV60)*$N61/100</f>
        <v>15449.7</v>
      </c>
      <c r="AD61" s="276">
        <f>SUM(AD60:$AV60)*$N61/100</f>
        <v>11035.5</v>
      </c>
      <c r="AE61" s="276">
        <f>SUM(AE60:$AV60)*$N61/100</f>
        <v>6621.3</v>
      </c>
      <c r="AF61" s="276">
        <f>SUM(AF60:$AV60)*$N61/100</f>
        <v>2207.1</v>
      </c>
      <c r="AG61" s="276">
        <v>0</v>
      </c>
      <c r="AH61" s="276">
        <v>0</v>
      </c>
      <c r="AI61" s="276">
        <v>0</v>
      </c>
      <c r="AJ61" s="276">
        <v>0</v>
      </c>
      <c r="AK61" s="276">
        <v>0</v>
      </c>
      <c r="AL61" s="276">
        <v>0</v>
      </c>
      <c r="AM61" s="276">
        <v>0</v>
      </c>
      <c r="AN61" s="276">
        <v>0</v>
      </c>
      <c r="AO61" s="276">
        <v>0</v>
      </c>
      <c r="AP61" s="276">
        <v>0</v>
      </c>
      <c r="AQ61" s="276">
        <v>0</v>
      </c>
      <c r="AR61" s="276">
        <v>0</v>
      </c>
      <c r="AS61" s="276">
        <v>0</v>
      </c>
      <c r="AT61" s="276">
        <v>0</v>
      </c>
      <c r="AU61" s="276">
        <v>0</v>
      </c>
      <c r="AV61" s="276">
        <v>0</v>
      </c>
      <c r="AW61" s="276"/>
      <c r="AX61" s="276"/>
      <c r="AY61" s="277">
        <f t="shared" si="7"/>
        <v>343790.17</v>
      </c>
      <c r="AZ61" s="250">
        <f t="shared" si="8"/>
        <v>0</v>
      </c>
      <c r="BA61" s="278">
        <f t="shared" si="9"/>
        <v>79455.600000000006</v>
      </c>
      <c r="BB61" s="277">
        <f t="shared" si="10"/>
        <v>343790.17000000004</v>
      </c>
      <c r="BD61" s="270" t="b">
        <f t="shared" si="11"/>
        <v>1</v>
      </c>
    </row>
    <row r="62" spans="2:57" s="270" customFormat="1" x14ac:dyDescent="0.25">
      <c r="B62" s="263" t="s">
        <v>756</v>
      </c>
      <c r="C62" s="263">
        <v>29</v>
      </c>
      <c r="D62" s="263" t="s">
        <v>918</v>
      </c>
      <c r="E62" s="263" t="s">
        <v>917</v>
      </c>
      <c r="F62" s="263" t="s">
        <v>916</v>
      </c>
      <c r="G62" s="263" t="s">
        <v>911</v>
      </c>
      <c r="H62" s="263" t="s">
        <v>915</v>
      </c>
      <c r="I62" s="263" t="s">
        <v>716</v>
      </c>
      <c r="J62" s="264">
        <v>824810</v>
      </c>
      <c r="K62" s="264">
        <v>809979</v>
      </c>
      <c r="L62" s="264"/>
      <c r="M62" s="264"/>
      <c r="N62" s="265"/>
      <c r="O62" s="265">
        <v>3.4710000000000001</v>
      </c>
      <c r="P62" s="265"/>
      <c r="Q62" s="265" t="s">
        <v>702</v>
      </c>
      <c r="R62" s="266">
        <v>14831</v>
      </c>
      <c r="S62" s="266">
        <v>14862</v>
      </c>
      <c r="T62" s="267">
        <f t="shared" si="12"/>
        <v>29693</v>
      </c>
      <c r="U62" s="267">
        <v>29724</v>
      </c>
      <c r="V62" s="267">
        <v>29724</v>
      </c>
      <c r="W62" s="267">
        <v>29724</v>
      </c>
      <c r="X62" s="267">
        <v>29724</v>
      </c>
      <c r="Y62" s="267">
        <v>29724</v>
      </c>
      <c r="Z62" s="267">
        <v>29724</v>
      </c>
      <c r="AA62" s="267">
        <v>29724</v>
      </c>
      <c r="AB62" s="267">
        <v>29724</v>
      </c>
      <c r="AC62" s="267">
        <v>29724</v>
      </c>
      <c r="AD62" s="267">
        <v>29724</v>
      </c>
      <c r="AE62" s="267">
        <v>29724</v>
      </c>
      <c r="AF62" s="267">
        <v>29724</v>
      </c>
      <c r="AG62" s="267">
        <v>29724</v>
      </c>
      <c r="AH62" s="267">
        <v>29724</v>
      </c>
      <c r="AI62" s="267">
        <v>29724</v>
      </c>
      <c r="AJ62" s="267">
        <v>29724</v>
      </c>
      <c r="AK62" s="267">
        <v>29724</v>
      </c>
      <c r="AL62" s="267">
        <v>29724</v>
      </c>
      <c r="AM62" s="267">
        <v>29724</v>
      </c>
      <c r="AN62" s="267">
        <v>29724</v>
      </c>
      <c r="AO62" s="267">
        <v>29724</v>
      </c>
      <c r="AP62" s="267">
        <v>29724</v>
      </c>
      <c r="AQ62" s="267">
        <v>29724</v>
      </c>
      <c r="AR62" s="267">
        <v>29724</v>
      </c>
      <c r="AS62" s="267">
        <v>29724</v>
      </c>
      <c r="AT62" s="267">
        <v>29724</v>
      </c>
      <c r="AU62" s="267">
        <v>22293</v>
      </c>
      <c r="AV62" s="267">
        <v>0</v>
      </c>
      <c r="AW62" s="267"/>
      <c r="AX62" s="267"/>
      <c r="AY62" s="268">
        <f t="shared" si="7"/>
        <v>824810</v>
      </c>
      <c r="AZ62" s="250">
        <f t="shared" si="8"/>
        <v>0</v>
      </c>
      <c r="BA62" s="269">
        <f t="shared" si="9"/>
        <v>616773</v>
      </c>
      <c r="BB62" s="268">
        <f t="shared" si="10"/>
        <v>824810</v>
      </c>
      <c r="BD62" s="270" t="b">
        <f t="shared" si="11"/>
        <v>1</v>
      </c>
      <c r="BE62" s="271">
        <f>BB62-K62-R62</f>
        <v>0</v>
      </c>
    </row>
    <row r="63" spans="2:57" x14ac:dyDescent="0.25">
      <c r="B63" s="272" t="s">
        <v>756</v>
      </c>
      <c r="C63" s="272"/>
      <c r="D63" s="272"/>
      <c r="E63" s="272"/>
      <c r="F63" s="272"/>
      <c r="G63" s="272"/>
      <c r="H63" s="272"/>
      <c r="I63" s="272"/>
      <c r="J63" s="273"/>
      <c r="K63" s="273"/>
      <c r="L63" s="273" t="s">
        <v>909</v>
      </c>
      <c r="M63" s="273"/>
      <c r="N63" s="274">
        <f>SUM(O63:P63)</f>
        <v>5.0999999999999996</v>
      </c>
      <c r="O63" s="280">
        <v>5.0999999999999996</v>
      </c>
      <c r="P63" s="274">
        <f>$P$4</f>
        <v>0</v>
      </c>
      <c r="Q63" s="274" t="s">
        <v>701</v>
      </c>
      <c r="R63" s="275">
        <v>21629.07</v>
      </c>
      <c r="S63" s="275">
        <v>7176.9</v>
      </c>
      <c r="T63" s="276">
        <f t="shared" si="12"/>
        <v>28805.97</v>
      </c>
      <c r="U63" s="276">
        <f>SUM(U62:$AV62)*$N63/100</f>
        <v>40550.966999999997</v>
      </c>
      <c r="V63" s="276">
        <f>SUM(V62:$AV62)*$N63/100</f>
        <v>39035.042999999998</v>
      </c>
      <c r="W63" s="276">
        <f>SUM(W62:$AV62)*$N63/100</f>
        <v>37519.118999999999</v>
      </c>
      <c r="X63" s="276">
        <f>SUM(X62:$AV62)*$N63/100</f>
        <v>36003.194999999992</v>
      </c>
      <c r="Y63" s="276">
        <f>SUM(Y62:$AV62)*$N63/100</f>
        <v>34487.270999999993</v>
      </c>
      <c r="Z63" s="276">
        <f>SUM(Z62:$AV62)*$N63/100</f>
        <v>32971.346999999994</v>
      </c>
      <c r="AA63" s="276">
        <f>SUM(AA62:$AV62)*$N63/100</f>
        <v>31455.422999999999</v>
      </c>
      <c r="AB63" s="276">
        <f>SUM(AB62:$AV62)*$N63/100</f>
        <v>29939.499</v>
      </c>
      <c r="AC63" s="276">
        <f>SUM(AC62:$AV62)*$N63/100</f>
        <v>28423.575000000001</v>
      </c>
      <c r="AD63" s="276">
        <f>SUM(AD62:$AV62)*$N63/100</f>
        <v>26907.650999999998</v>
      </c>
      <c r="AE63" s="276">
        <f>SUM(AE62:$AV62)*$N63/100</f>
        <v>25391.726999999999</v>
      </c>
      <c r="AF63" s="276">
        <f>SUM(AF62:$AV62)*$N63/100</f>
        <v>23875.803</v>
      </c>
      <c r="AG63" s="276">
        <f>SUM(AG62:$AV62)*$N63/100</f>
        <v>22359.879000000001</v>
      </c>
      <c r="AH63" s="276">
        <f>SUM(AH62:$AV62)*$N63/100</f>
        <v>20843.954999999998</v>
      </c>
      <c r="AI63" s="276">
        <f>SUM(AI62:$AV62)*$N63/100</f>
        <v>19328.030999999999</v>
      </c>
      <c r="AJ63" s="276">
        <f>SUM(AJ62:$AV62)*$N63/100</f>
        <v>17812.107</v>
      </c>
      <c r="AK63" s="276">
        <f>SUM(AK62:$AV62)*$N63/100</f>
        <v>16296.182999999997</v>
      </c>
      <c r="AL63" s="276">
        <f>SUM(AL62:$AV62)*$N63/100</f>
        <v>14780.258999999998</v>
      </c>
      <c r="AM63" s="276">
        <f>SUM(AM62:$AV62)*$N63/100</f>
        <v>13264.334999999999</v>
      </c>
      <c r="AN63" s="276">
        <f>SUM(AN62:$AV62)*$N63/100</f>
        <v>11748.410999999998</v>
      </c>
      <c r="AO63" s="276">
        <f>SUM(AO62:$AV62)*$N63/100</f>
        <v>10232.486999999999</v>
      </c>
      <c r="AP63" s="276">
        <f>SUM(AP62:$AV62)*$N63/100</f>
        <v>8716.5630000000001</v>
      </c>
      <c r="AQ63" s="276">
        <f>SUM(AQ62:$AV62)*$N63/100</f>
        <v>7200.6389999999992</v>
      </c>
      <c r="AR63" s="276">
        <f>SUM(AR62:$AV62)*$N63/100</f>
        <v>5684.7150000000001</v>
      </c>
      <c r="AS63" s="276">
        <f>SUM(AS62:$AV62)*$N63/100</f>
        <v>4168.7910000000002</v>
      </c>
      <c r="AT63" s="276">
        <f>SUM(AT62:$AV62)*$N63/100</f>
        <v>2652.8669999999997</v>
      </c>
      <c r="AU63" s="276">
        <f>SUM(AU62:$AV62)*$N63/100</f>
        <v>1136.943</v>
      </c>
      <c r="AV63" s="276">
        <v>0</v>
      </c>
      <c r="AW63" s="276"/>
      <c r="AX63" s="276"/>
      <c r="AY63" s="277">
        <f t="shared" si="7"/>
        <v>591592.75499999989</v>
      </c>
      <c r="AZ63" s="250">
        <f t="shared" si="8"/>
        <v>0</v>
      </c>
      <c r="BA63" s="278">
        <f t="shared" si="9"/>
        <v>342219.84300000023</v>
      </c>
      <c r="BB63" s="277">
        <f t="shared" si="10"/>
        <v>591592.75500000024</v>
      </c>
      <c r="BD63" s="270" t="b">
        <f t="shared" si="11"/>
        <v>1</v>
      </c>
    </row>
    <row r="64" spans="2:57" s="270" customFormat="1" x14ac:dyDescent="0.25">
      <c r="B64" s="263" t="s">
        <v>756</v>
      </c>
      <c r="C64" s="263">
        <v>30</v>
      </c>
      <c r="D64" s="263" t="s">
        <v>914</v>
      </c>
      <c r="E64" s="263" t="s">
        <v>913</v>
      </c>
      <c r="F64" s="263" t="s">
        <v>912</v>
      </c>
      <c r="G64" s="263" t="s">
        <v>911</v>
      </c>
      <c r="H64" s="263" t="s">
        <v>910</v>
      </c>
      <c r="I64" s="263" t="s">
        <v>716</v>
      </c>
      <c r="J64" s="264">
        <v>347420.04</v>
      </c>
      <c r="K64" s="264">
        <v>319308.03999999998</v>
      </c>
      <c r="L64" s="264"/>
      <c r="M64" s="264"/>
      <c r="N64" s="265"/>
      <c r="O64" s="265">
        <v>3.2429999999999999</v>
      </c>
      <c r="P64" s="265"/>
      <c r="Q64" s="265" t="s">
        <v>702</v>
      </c>
      <c r="R64" s="266">
        <v>9394</v>
      </c>
      <c r="S64" s="266">
        <v>9394</v>
      </c>
      <c r="T64" s="267">
        <f t="shared" si="12"/>
        <v>18788</v>
      </c>
      <c r="U64" s="267">
        <v>18788</v>
      </c>
      <c r="V64" s="267">
        <v>18788</v>
      </c>
      <c r="W64" s="267">
        <v>18788</v>
      </c>
      <c r="X64" s="267">
        <v>18788</v>
      </c>
      <c r="Y64" s="267">
        <v>18788</v>
      </c>
      <c r="Z64" s="267">
        <v>18788</v>
      </c>
      <c r="AA64" s="267">
        <v>18788</v>
      </c>
      <c r="AB64" s="267">
        <v>18788</v>
      </c>
      <c r="AC64" s="267">
        <v>18788</v>
      </c>
      <c r="AD64" s="267">
        <v>18788</v>
      </c>
      <c r="AE64" s="267">
        <v>18788</v>
      </c>
      <c r="AF64" s="267">
        <v>18788</v>
      </c>
      <c r="AG64" s="267">
        <v>18788</v>
      </c>
      <c r="AH64" s="267">
        <v>18788</v>
      </c>
      <c r="AI64" s="267">
        <v>18788</v>
      </c>
      <c r="AJ64" s="267">
        <v>18788</v>
      </c>
      <c r="AK64" s="267">
        <v>9306.0400000000009</v>
      </c>
      <c r="AL64" s="267">
        <v>0</v>
      </c>
      <c r="AM64" s="267">
        <v>0</v>
      </c>
      <c r="AN64" s="267">
        <v>0</v>
      </c>
      <c r="AO64" s="267">
        <v>0</v>
      </c>
      <c r="AP64" s="267">
        <v>0</v>
      </c>
      <c r="AQ64" s="267">
        <v>0</v>
      </c>
      <c r="AR64" s="267">
        <v>0</v>
      </c>
      <c r="AS64" s="267">
        <v>0</v>
      </c>
      <c r="AT64" s="267">
        <v>0</v>
      </c>
      <c r="AU64" s="267">
        <v>0</v>
      </c>
      <c r="AV64" s="267">
        <v>0</v>
      </c>
      <c r="AW64" s="267"/>
      <c r="AX64" s="267"/>
      <c r="AY64" s="268">
        <f t="shared" si="7"/>
        <v>328702.03999999998</v>
      </c>
      <c r="AZ64" s="250">
        <f t="shared" si="8"/>
        <v>0</v>
      </c>
      <c r="BA64" s="269">
        <f t="shared" si="9"/>
        <v>197186.04</v>
      </c>
      <c r="BB64" s="268">
        <f t="shared" si="10"/>
        <v>328702.04000000004</v>
      </c>
      <c r="BD64" s="270" t="b">
        <f t="shared" si="11"/>
        <v>1</v>
      </c>
      <c r="BE64" s="271">
        <f>BB64-K64-R64</f>
        <v>5.8207660913467407E-11</v>
      </c>
    </row>
    <row r="65" spans="2:57" x14ac:dyDescent="0.25">
      <c r="B65" s="272" t="s">
        <v>756</v>
      </c>
      <c r="C65" s="272"/>
      <c r="D65" s="272"/>
      <c r="E65" s="272"/>
      <c r="F65" s="272"/>
      <c r="G65" s="272"/>
      <c r="H65" s="272"/>
      <c r="I65" s="272"/>
      <c r="J65" s="273"/>
      <c r="K65" s="273"/>
      <c r="L65" s="273" t="s">
        <v>909</v>
      </c>
      <c r="M65" s="273"/>
      <c r="N65" s="274">
        <f>SUM(O65:P65)</f>
        <v>5</v>
      </c>
      <c r="O65" s="280">
        <v>5</v>
      </c>
      <c r="P65" s="274">
        <f>$P$4</f>
        <v>0</v>
      </c>
      <c r="Q65" s="274" t="s">
        <v>701</v>
      </c>
      <c r="R65" s="275">
        <v>8069.3099999999995</v>
      </c>
      <c r="S65" s="275">
        <v>2641.66</v>
      </c>
      <c r="T65" s="276">
        <f t="shared" si="12"/>
        <v>10710.97</v>
      </c>
      <c r="U65" s="276">
        <f>SUM(U64:$AV64)*$N65/100</f>
        <v>15495.701999999999</v>
      </c>
      <c r="V65" s="276">
        <f>SUM(V64:$AV64)*$N65/100</f>
        <v>14556.302</v>
      </c>
      <c r="W65" s="276">
        <f>SUM(W64:$AV64)*$N65/100</f>
        <v>13616.902</v>
      </c>
      <c r="X65" s="276">
        <f>SUM(X64:$AV64)*$N65/100</f>
        <v>12677.502</v>
      </c>
      <c r="Y65" s="276">
        <f>SUM(Y64:$AV64)*$N65/100</f>
        <v>11738.101999999999</v>
      </c>
      <c r="Z65" s="276">
        <f>SUM(Z64:$AV64)*$N65/100</f>
        <v>10798.701999999999</v>
      </c>
      <c r="AA65" s="276">
        <f>SUM(AA64:$AV64)*$N65/100</f>
        <v>9859.3020000000015</v>
      </c>
      <c r="AB65" s="276">
        <f>SUM(AB64:$AV64)*$N65/100</f>
        <v>8919.902</v>
      </c>
      <c r="AC65" s="276">
        <f>SUM(AC64:$AV64)*$N65/100</f>
        <v>7980.5020000000004</v>
      </c>
      <c r="AD65" s="276">
        <f>SUM(AD64:$AV64)*$N65/100</f>
        <v>7041.1020000000008</v>
      </c>
      <c r="AE65" s="276">
        <f>SUM(AE64:$AV64)*$N65/100</f>
        <v>6101.7020000000011</v>
      </c>
      <c r="AF65" s="276">
        <f>SUM(AF64:$AV64)*$N65/100</f>
        <v>5162.3020000000006</v>
      </c>
      <c r="AG65" s="276">
        <f>SUM(AG64:$AV64)*$N65/100</f>
        <v>4222.902000000001</v>
      </c>
      <c r="AH65" s="276">
        <f>SUM(AH64:$AV64)*$N65/100</f>
        <v>3283.5020000000009</v>
      </c>
      <c r="AI65" s="276">
        <f>SUM(AI64:$AV64)*$N65/100</f>
        <v>2344.1020000000003</v>
      </c>
      <c r="AJ65" s="276">
        <f>SUM(AJ64:$AV64)*$N65/100</f>
        <v>1404.7020000000002</v>
      </c>
      <c r="AK65" s="276">
        <f>SUM(AK64:$AV64)*$N65/100</f>
        <v>465.30200000000002</v>
      </c>
      <c r="AL65" s="276">
        <v>0</v>
      </c>
      <c r="AM65" s="276">
        <v>0</v>
      </c>
      <c r="AN65" s="276">
        <v>0</v>
      </c>
      <c r="AO65" s="276">
        <v>0</v>
      </c>
      <c r="AP65" s="276">
        <v>0</v>
      </c>
      <c r="AQ65" s="276">
        <v>0</v>
      </c>
      <c r="AR65" s="276">
        <v>0</v>
      </c>
      <c r="AS65" s="276">
        <v>0</v>
      </c>
      <c r="AT65" s="276">
        <v>0</v>
      </c>
      <c r="AU65" s="276">
        <v>0</v>
      </c>
      <c r="AV65" s="276">
        <v>0</v>
      </c>
      <c r="AW65" s="276"/>
      <c r="AX65" s="276"/>
      <c r="AY65" s="277">
        <f t="shared" si="7"/>
        <v>146379.50400000002</v>
      </c>
      <c r="AZ65" s="250">
        <f t="shared" si="8"/>
        <v>0</v>
      </c>
      <c r="BA65" s="278">
        <f t="shared" si="9"/>
        <v>56785.322000000015</v>
      </c>
      <c r="BB65" s="277">
        <f t="shared" si="10"/>
        <v>146379.50400000002</v>
      </c>
      <c r="BD65" s="270" t="b">
        <f t="shared" si="11"/>
        <v>1</v>
      </c>
    </row>
    <row r="66" spans="2:57" s="270" customFormat="1" x14ac:dyDescent="0.25">
      <c r="B66" s="263" t="s">
        <v>754</v>
      </c>
      <c r="C66" s="263">
        <v>31</v>
      </c>
      <c r="D66" s="263" t="s">
        <v>908</v>
      </c>
      <c r="E66" s="263" t="s">
        <v>907</v>
      </c>
      <c r="F66" s="263" t="s">
        <v>906</v>
      </c>
      <c r="G66" s="263" t="s">
        <v>902</v>
      </c>
      <c r="H66" s="263" t="s">
        <v>901</v>
      </c>
      <c r="I66" s="263" t="s">
        <v>716</v>
      </c>
      <c r="J66" s="264">
        <v>53218</v>
      </c>
      <c r="K66" s="264">
        <v>25209</v>
      </c>
      <c r="L66" s="264"/>
      <c r="M66" s="264"/>
      <c r="N66" s="265"/>
      <c r="O66" s="265"/>
      <c r="P66" s="265"/>
      <c r="Q66" s="265" t="s">
        <v>702</v>
      </c>
      <c r="R66" s="266">
        <v>5602</v>
      </c>
      <c r="S66" s="266">
        <v>5602</v>
      </c>
      <c r="T66" s="267">
        <f t="shared" si="12"/>
        <v>11204</v>
      </c>
      <c r="U66" s="267">
        <v>11204</v>
      </c>
      <c r="V66" s="267">
        <v>8403</v>
      </c>
      <c r="W66" s="267">
        <v>0</v>
      </c>
      <c r="X66" s="267">
        <v>0</v>
      </c>
      <c r="Y66" s="267">
        <v>0</v>
      </c>
      <c r="Z66" s="267">
        <v>0</v>
      </c>
      <c r="AA66" s="267">
        <v>0</v>
      </c>
      <c r="AB66" s="267">
        <v>0</v>
      </c>
      <c r="AC66" s="267">
        <v>0</v>
      </c>
      <c r="AD66" s="267">
        <v>0</v>
      </c>
      <c r="AE66" s="267">
        <v>0</v>
      </c>
      <c r="AF66" s="267">
        <v>0</v>
      </c>
      <c r="AG66" s="267">
        <v>0</v>
      </c>
      <c r="AH66" s="267">
        <v>0</v>
      </c>
      <c r="AI66" s="267">
        <v>0</v>
      </c>
      <c r="AJ66" s="267">
        <v>0</v>
      </c>
      <c r="AK66" s="267">
        <v>0</v>
      </c>
      <c r="AL66" s="267">
        <v>0</v>
      </c>
      <c r="AM66" s="267">
        <v>0</v>
      </c>
      <c r="AN66" s="267">
        <v>0</v>
      </c>
      <c r="AO66" s="267">
        <v>0</v>
      </c>
      <c r="AP66" s="267">
        <v>0</v>
      </c>
      <c r="AQ66" s="267">
        <v>0</v>
      </c>
      <c r="AR66" s="267">
        <v>0</v>
      </c>
      <c r="AS66" s="267">
        <v>0</v>
      </c>
      <c r="AT66" s="267">
        <v>0</v>
      </c>
      <c r="AU66" s="267">
        <v>0</v>
      </c>
      <c r="AV66" s="267">
        <v>0</v>
      </c>
      <c r="AW66" s="267"/>
      <c r="AX66" s="267"/>
      <c r="AY66" s="268">
        <f t="shared" si="7"/>
        <v>30811</v>
      </c>
      <c r="AZ66" s="250">
        <f t="shared" si="8"/>
        <v>0</v>
      </c>
      <c r="BA66" s="269">
        <f t="shared" si="9"/>
        <v>0</v>
      </c>
      <c r="BB66" s="268">
        <f t="shared" si="10"/>
        <v>30811</v>
      </c>
      <c r="BD66" s="270" t="b">
        <f t="shared" si="11"/>
        <v>1</v>
      </c>
      <c r="BE66" s="271">
        <f>BB66-K66-R66</f>
        <v>0</v>
      </c>
    </row>
    <row r="67" spans="2:57" x14ac:dyDescent="0.25">
      <c r="B67" s="272" t="s">
        <v>754</v>
      </c>
      <c r="C67" s="272"/>
      <c r="D67" s="272"/>
      <c r="E67" s="272"/>
      <c r="F67" s="272"/>
      <c r="G67" s="272"/>
      <c r="H67" s="272"/>
      <c r="I67" s="272"/>
      <c r="J67" s="273"/>
      <c r="K67" s="273"/>
      <c r="L67" s="273">
        <v>0</v>
      </c>
      <c r="M67" s="273" t="s">
        <v>753</v>
      </c>
      <c r="N67" s="274">
        <f>SUM(O67:P67)</f>
        <v>0.25</v>
      </c>
      <c r="O67" s="274">
        <v>0.25</v>
      </c>
      <c r="P67" s="274">
        <f>$P$4</f>
        <v>0</v>
      </c>
      <c r="Q67" s="274" t="s">
        <v>701</v>
      </c>
      <c r="R67" s="275">
        <v>57.75</v>
      </c>
      <c r="S67" s="275">
        <v>15.89</v>
      </c>
      <c r="T67" s="276">
        <f t="shared" si="12"/>
        <v>73.64</v>
      </c>
      <c r="U67" s="276">
        <f>SUM(U66:$AV66)*$N67/100</f>
        <v>49.017499999999998</v>
      </c>
      <c r="V67" s="276">
        <f>SUM(V66:$AV66)*$N67/100</f>
        <v>21.0075</v>
      </c>
      <c r="W67" s="276">
        <v>0</v>
      </c>
      <c r="X67" s="276">
        <v>0</v>
      </c>
      <c r="Y67" s="276">
        <v>0</v>
      </c>
      <c r="Z67" s="276">
        <v>0</v>
      </c>
      <c r="AA67" s="276">
        <v>0</v>
      </c>
      <c r="AB67" s="276">
        <v>0</v>
      </c>
      <c r="AC67" s="276">
        <v>0</v>
      </c>
      <c r="AD67" s="276">
        <v>0</v>
      </c>
      <c r="AE67" s="276">
        <v>0</v>
      </c>
      <c r="AF67" s="276">
        <v>0</v>
      </c>
      <c r="AG67" s="276">
        <v>0</v>
      </c>
      <c r="AH67" s="276">
        <v>0</v>
      </c>
      <c r="AI67" s="276">
        <v>0</v>
      </c>
      <c r="AJ67" s="276">
        <v>0</v>
      </c>
      <c r="AK67" s="276">
        <v>0</v>
      </c>
      <c r="AL67" s="276">
        <v>0</v>
      </c>
      <c r="AM67" s="276">
        <v>0</v>
      </c>
      <c r="AN67" s="276">
        <v>0</v>
      </c>
      <c r="AO67" s="276">
        <v>0</v>
      </c>
      <c r="AP67" s="276">
        <v>0</v>
      </c>
      <c r="AQ67" s="276">
        <v>0</v>
      </c>
      <c r="AR67" s="276">
        <v>0</v>
      </c>
      <c r="AS67" s="276">
        <v>0</v>
      </c>
      <c r="AT67" s="276">
        <v>0</v>
      </c>
      <c r="AU67" s="276">
        <v>0</v>
      </c>
      <c r="AV67" s="276">
        <v>0</v>
      </c>
      <c r="AW67" s="276"/>
      <c r="AX67" s="276"/>
      <c r="AY67" s="277">
        <f t="shared" si="7"/>
        <v>143.66499999999999</v>
      </c>
      <c r="AZ67" s="250">
        <f t="shared" si="8"/>
        <v>0</v>
      </c>
      <c r="BA67" s="278">
        <f t="shared" si="9"/>
        <v>0</v>
      </c>
      <c r="BB67" s="277">
        <f t="shared" si="10"/>
        <v>143.66499999999999</v>
      </c>
      <c r="BD67" s="270" t="b">
        <f t="shared" si="11"/>
        <v>1</v>
      </c>
    </row>
    <row r="68" spans="2:57" s="270" customFormat="1" x14ac:dyDescent="0.25">
      <c r="B68" s="263" t="s">
        <v>754</v>
      </c>
      <c r="C68" s="263">
        <v>32</v>
      </c>
      <c r="D68" s="263" t="s">
        <v>905</v>
      </c>
      <c r="E68" s="263" t="s">
        <v>904</v>
      </c>
      <c r="F68" s="263" t="s">
        <v>903</v>
      </c>
      <c r="G68" s="263" t="s">
        <v>902</v>
      </c>
      <c r="H68" s="263" t="s">
        <v>901</v>
      </c>
      <c r="I68" s="263" t="s">
        <v>716</v>
      </c>
      <c r="J68" s="264">
        <v>46991.33</v>
      </c>
      <c r="K68" s="264">
        <v>22264.33</v>
      </c>
      <c r="L68" s="264"/>
      <c r="M68" s="264"/>
      <c r="N68" s="265"/>
      <c r="O68" s="265"/>
      <c r="P68" s="265"/>
      <c r="Q68" s="265" t="s">
        <v>702</v>
      </c>
      <c r="R68" s="266">
        <v>4948</v>
      </c>
      <c r="S68" s="266">
        <v>4948</v>
      </c>
      <c r="T68" s="267">
        <f t="shared" si="12"/>
        <v>9896</v>
      </c>
      <c r="U68" s="267">
        <v>9896</v>
      </c>
      <c r="V68" s="267">
        <v>7420.33</v>
      </c>
      <c r="W68" s="267">
        <v>0</v>
      </c>
      <c r="X68" s="267">
        <v>0</v>
      </c>
      <c r="Y68" s="267">
        <v>0</v>
      </c>
      <c r="Z68" s="267">
        <v>0</v>
      </c>
      <c r="AA68" s="267">
        <v>0</v>
      </c>
      <c r="AB68" s="267">
        <v>0</v>
      </c>
      <c r="AC68" s="267">
        <v>0</v>
      </c>
      <c r="AD68" s="267">
        <v>0</v>
      </c>
      <c r="AE68" s="267">
        <v>0</v>
      </c>
      <c r="AF68" s="267">
        <v>0</v>
      </c>
      <c r="AG68" s="267">
        <v>0</v>
      </c>
      <c r="AH68" s="267">
        <v>0</v>
      </c>
      <c r="AI68" s="267">
        <v>0</v>
      </c>
      <c r="AJ68" s="267">
        <v>0</v>
      </c>
      <c r="AK68" s="267">
        <v>0</v>
      </c>
      <c r="AL68" s="267">
        <v>0</v>
      </c>
      <c r="AM68" s="267">
        <v>0</v>
      </c>
      <c r="AN68" s="267">
        <v>0</v>
      </c>
      <c r="AO68" s="267">
        <v>0</v>
      </c>
      <c r="AP68" s="267">
        <v>0</v>
      </c>
      <c r="AQ68" s="267">
        <v>0</v>
      </c>
      <c r="AR68" s="267">
        <v>0</v>
      </c>
      <c r="AS68" s="267">
        <v>0</v>
      </c>
      <c r="AT68" s="267">
        <v>0</v>
      </c>
      <c r="AU68" s="267">
        <v>0</v>
      </c>
      <c r="AV68" s="267">
        <v>0</v>
      </c>
      <c r="AW68" s="267"/>
      <c r="AX68" s="267"/>
      <c r="AY68" s="268">
        <f t="shared" si="7"/>
        <v>27212.33</v>
      </c>
      <c r="AZ68" s="250">
        <f t="shared" si="8"/>
        <v>0</v>
      </c>
      <c r="BA68" s="269">
        <f t="shared" si="9"/>
        <v>0</v>
      </c>
      <c r="BB68" s="268">
        <f t="shared" si="10"/>
        <v>27212.33</v>
      </c>
      <c r="BD68" s="270" t="b">
        <f t="shared" si="11"/>
        <v>1</v>
      </c>
      <c r="BE68" s="271">
        <f>BB68-K68-R68</f>
        <v>0</v>
      </c>
    </row>
    <row r="69" spans="2:57" x14ac:dyDescent="0.25">
      <c r="B69" s="272" t="s">
        <v>754</v>
      </c>
      <c r="C69" s="272"/>
      <c r="D69" s="272"/>
      <c r="E69" s="272"/>
      <c r="F69" s="272"/>
      <c r="G69" s="272"/>
      <c r="H69" s="272"/>
      <c r="I69" s="272"/>
      <c r="J69" s="273"/>
      <c r="K69" s="273"/>
      <c r="L69" s="273">
        <v>0</v>
      </c>
      <c r="M69" s="273" t="s">
        <v>753</v>
      </c>
      <c r="N69" s="274">
        <f>SUM(O69:P69)</f>
        <v>0.25</v>
      </c>
      <c r="O69" s="274">
        <v>0.25</v>
      </c>
      <c r="P69" s="274">
        <f>$P$4</f>
        <v>0</v>
      </c>
      <c r="Q69" s="274" t="s">
        <v>701</v>
      </c>
      <c r="R69" s="275">
        <v>51</v>
      </c>
      <c r="S69" s="275">
        <v>14.03</v>
      </c>
      <c r="T69" s="276">
        <f t="shared" si="12"/>
        <v>65.03</v>
      </c>
      <c r="U69" s="276">
        <f>SUM(U68:$AV68)*$N69/100</f>
        <v>43.290825000000005</v>
      </c>
      <c r="V69" s="276">
        <f>SUM(V68:$AV68)*$N69/100</f>
        <v>18.550825</v>
      </c>
      <c r="W69" s="276">
        <v>0</v>
      </c>
      <c r="X69" s="276">
        <v>0</v>
      </c>
      <c r="Y69" s="276">
        <v>0</v>
      </c>
      <c r="Z69" s="276">
        <v>0</v>
      </c>
      <c r="AA69" s="276">
        <v>0</v>
      </c>
      <c r="AB69" s="276">
        <v>0</v>
      </c>
      <c r="AC69" s="276">
        <v>0</v>
      </c>
      <c r="AD69" s="276">
        <v>0</v>
      </c>
      <c r="AE69" s="276">
        <v>0</v>
      </c>
      <c r="AF69" s="276">
        <v>0</v>
      </c>
      <c r="AG69" s="276">
        <v>0</v>
      </c>
      <c r="AH69" s="276">
        <v>0</v>
      </c>
      <c r="AI69" s="276">
        <v>0</v>
      </c>
      <c r="AJ69" s="276">
        <v>0</v>
      </c>
      <c r="AK69" s="276">
        <v>0</v>
      </c>
      <c r="AL69" s="276">
        <v>0</v>
      </c>
      <c r="AM69" s="276">
        <v>0</v>
      </c>
      <c r="AN69" s="276">
        <v>0</v>
      </c>
      <c r="AO69" s="276">
        <v>0</v>
      </c>
      <c r="AP69" s="276">
        <v>0</v>
      </c>
      <c r="AQ69" s="276">
        <v>0</v>
      </c>
      <c r="AR69" s="276">
        <v>0</v>
      </c>
      <c r="AS69" s="276">
        <v>0</v>
      </c>
      <c r="AT69" s="276">
        <v>0</v>
      </c>
      <c r="AU69" s="276">
        <v>0</v>
      </c>
      <c r="AV69" s="276">
        <v>0</v>
      </c>
      <c r="AW69" s="276"/>
      <c r="AX69" s="276"/>
      <c r="AY69" s="277">
        <f t="shared" si="7"/>
        <v>126.87165000000002</v>
      </c>
      <c r="AZ69" s="250">
        <f t="shared" si="8"/>
        <v>0</v>
      </c>
      <c r="BA69" s="278">
        <f t="shared" si="9"/>
        <v>0</v>
      </c>
      <c r="BB69" s="277">
        <f t="shared" si="10"/>
        <v>126.87165000000002</v>
      </c>
      <c r="BD69" s="270" t="b">
        <f t="shared" si="11"/>
        <v>1</v>
      </c>
    </row>
    <row r="70" spans="2:57" s="270" customFormat="1" x14ac:dyDescent="0.25">
      <c r="B70" s="263" t="s">
        <v>756</v>
      </c>
      <c r="C70" s="263">
        <v>33</v>
      </c>
      <c r="D70" s="263" t="s">
        <v>900</v>
      </c>
      <c r="E70" s="263" t="s">
        <v>899</v>
      </c>
      <c r="F70" s="263" t="s">
        <v>898</v>
      </c>
      <c r="G70" s="263" t="s">
        <v>892</v>
      </c>
      <c r="H70" s="263" t="s">
        <v>897</v>
      </c>
      <c r="I70" s="263" t="s">
        <v>716</v>
      </c>
      <c r="J70" s="264">
        <v>9703992</v>
      </c>
      <c r="K70" s="264">
        <v>9485777.9199999999</v>
      </c>
      <c r="L70" s="264"/>
      <c r="M70" s="264"/>
      <c r="N70" s="265"/>
      <c r="O70" s="265">
        <v>4.1559999999999997</v>
      </c>
      <c r="P70" s="265"/>
      <c r="Q70" s="265" t="s">
        <v>702</v>
      </c>
      <c r="R70" s="266">
        <v>171645</v>
      </c>
      <c r="S70" s="266">
        <v>171754</v>
      </c>
      <c r="T70" s="267">
        <f t="shared" si="12"/>
        <v>343399</v>
      </c>
      <c r="U70" s="267">
        <v>343508</v>
      </c>
      <c r="V70" s="267">
        <v>343508</v>
      </c>
      <c r="W70" s="267">
        <v>343508</v>
      </c>
      <c r="X70" s="267">
        <v>343508</v>
      </c>
      <c r="Y70" s="267">
        <v>343508</v>
      </c>
      <c r="Z70" s="267">
        <v>343508</v>
      </c>
      <c r="AA70" s="267">
        <v>343508</v>
      </c>
      <c r="AB70" s="267">
        <v>343508</v>
      </c>
      <c r="AC70" s="267">
        <v>343508</v>
      </c>
      <c r="AD70" s="267">
        <v>343508</v>
      </c>
      <c r="AE70" s="267">
        <v>343508</v>
      </c>
      <c r="AF70" s="267">
        <v>343508</v>
      </c>
      <c r="AG70" s="267">
        <v>343508</v>
      </c>
      <c r="AH70" s="267">
        <v>343508</v>
      </c>
      <c r="AI70" s="267">
        <v>343508</v>
      </c>
      <c r="AJ70" s="267">
        <v>343508</v>
      </c>
      <c r="AK70" s="267">
        <v>343508</v>
      </c>
      <c r="AL70" s="267">
        <v>343508</v>
      </c>
      <c r="AM70" s="267">
        <v>343508</v>
      </c>
      <c r="AN70" s="267">
        <v>343508</v>
      </c>
      <c r="AO70" s="267">
        <v>343508</v>
      </c>
      <c r="AP70" s="267">
        <v>343508</v>
      </c>
      <c r="AQ70" s="267">
        <v>343508</v>
      </c>
      <c r="AR70" s="267">
        <v>343508</v>
      </c>
      <c r="AS70" s="267">
        <v>343508</v>
      </c>
      <c r="AT70" s="267">
        <v>343508</v>
      </c>
      <c r="AU70" s="267">
        <v>343508</v>
      </c>
      <c r="AV70" s="267">
        <v>39307.919999999998</v>
      </c>
      <c r="AW70" s="267"/>
      <c r="AX70" s="267"/>
      <c r="AY70" s="268">
        <f t="shared" ref="AY70:AY101" si="13">SUM(T70:AX70)</f>
        <v>9657422.9199999999</v>
      </c>
      <c r="AZ70" s="250">
        <f t="shared" ref="AZ70:AZ101" si="14">AY70-SUM(T70:AX70)</f>
        <v>0</v>
      </c>
      <c r="BA70" s="269">
        <f t="shared" ref="BA70:BA101" si="15">SUM(AA70:AX70)</f>
        <v>7252975.9199999999</v>
      </c>
      <c r="BB70" s="268">
        <f t="shared" ref="BB70:BB101" si="16">SUM(T70:Z70,BA70)</f>
        <v>9657422.9199999999</v>
      </c>
      <c r="BD70" s="270" t="b">
        <f t="shared" ref="BD70:BD101" si="17">AY70=BB70</f>
        <v>1</v>
      </c>
      <c r="BE70" s="271">
        <f>BB70-K70-R70</f>
        <v>0</v>
      </c>
    </row>
    <row r="71" spans="2:57" x14ac:dyDescent="0.25">
      <c r="B71" s="272" t="s">
        <v>756</v>
      </c>
      <c r="C71" s="272"/>
      <c r="D71" s="272"/>
      <c r="E71" s="272"/>
      <c r="F71" s="272"/>
      <c r="G71" s="272"/>
      <c r="H71" s="272"/>
      <c r="I71" s="272"/>
      <c r="J71" s="273"/>
      <c r="K71" s="273"/>
      <c r="L71" s="273" t="s">
        <v>896</v>
      </c>
      <c r="M71" s="273"/>
      <c r="N71" s="274">
        <f>SUM(O71:P71)</f>
        <v>4.75</v>
      </c>
      <c r="O71" s="280">
        <v>4.75</v>
      </c>
      <c r="P71" s="274">
        <f>$P$4</f>
        <v>0</v>
      </c>
      <c r="Q71" s="274" t="s">
        <v>701</v>
      </c>
      <c r="R71" s="275">
        <v>182887.93</v>
      </c>
      <c r="S71" s="275">
        <v>100638.34</v>
      </c>
      <c r="T71" s="276">
        <f t="shared" si="12"/>
        <v>283526.27</v>
      </c>
      <c r="U71" s="276">
        <f>SUM(U70:$AV70)*$N71/100</f>
        <v>442416.13619999995</v>
      </c>
      <c r="V71" s="276">
        <f>SUM(V70:$AV70)*$N71/100</f>
        <v>426099.50619999995</v>
      </c>
      <c r="W71" s="276">
        <f>SUM(W70:$AV70)*$N71/100</f>
        <v>409782.8762</v>
      </c>
      <c r="X71" s="276">
        <f>SUM(X70:$AV70)*$N71/100</f>
        <v>393466.24619999999</v>
      </c>
      <c r="Y71" s="276">
        <f>SUM(Y70:$AV70)*$N71/100</f>
        <v>377149.61619999999</v>
      </c>
      <c r="Z71" s="276">
        <f>SUM(Z70:$AV70)*$N71/100</f>
        <v>360832.98619999998</v>
      </c>
      <c r="AA71" s="276">
        <f>SUM(AA70:$AV70)*$N71/100</f>
        <v>344516.35619999998</v>
      </c>
      <c r="AB71" s="276">
        <f>SUM(AB70:$AV70)*$N71/100</f>
        <v>328199.72620000003</v>
      </c>
      <c r="AC71" s="276">
        <f>SUM(AC70:$AV70)*$N71/100</f>
        <v>311883.09620000003</v>
      </c>
      <c r="AD71" s="276">
        <f>SUM(AD70:$AV70)*$N71/100</f>
        <v>295566.46620000002</v>
      </c>
      <c r="AE71" s="276">
        <f>SUM(AE70:$AV70)*$N71/100</f>
        <v>279249.83620000002</v>
      </c>
      <c r="AF71" s="276">
        <f>SUM(AF70:$AV70)*$N71/100</f>
        <v>262933.20620000002</v>
      </c>
      <c r="AG71" s="276">
        <f>SUM(AG70:$AV70)*$N71/100</f>
        <v>246616.57620000001</v>
      </c>
      <c r="AH71" s="276">
        <f>SUM(AH70:$AV70)*$N71/100</f>
        <v>230299.94620000001</v>
      </c>
      <c r="AI71" s="276">
        <f>SUM(AI70:$AV70)*$N71/100</f>
        <v>213983.3162</v>
      </c>
      <c r="AJ71" s="276">
        <f>SUM(AJ70:$AV70)*$N71/100</f>
        <v>197666.6862</v>
      </c>
      <c r="AK71" s="276">
        <f>SUM(AK70:$AV70)*$N71/100</f>
        <v>181350.05620000002</v>
      </c>
      <c r="AL71" s="276">
        <f>SUM(AL70:$AV70)*$N71/100</f>
        <v>165033.42619999999</v>
      </c>
      <c r="AM71" s="276">
        <f>SUM(AM70:$AV70)*$N71/100</f>
        <v>148716.79619999998</v>
      </c>
      <c r="AN71" s="276">
        <f>SUM(AN70:$AV70)*$N71/100</f>
        <v>132400.16619999998</v>
      </c>
      <c r="AO71" s="276">
        <f>SUM(AO70:$AV70)*$N71/100</f>
        <v>116083.53619999999</v>
      </c>
      <c r="AP71" s="276">
        <f>SUM(AP70:$AV70)*$N71/100</f>
        <v>99766.906199999998</v>
      </c>
      <c r="AQ71" s="276">
        <f>SUM(AQ70:$AV70)*$N71/100</f>
        <v>83450.276199999993</v>
      </c>
      <c r="AR71" s="276">
        <f>SUM(AR70:$AV70)*$N71/100</f>
        <v>67133.646199999988</v>
      </c>
      <c r="AS71" s="276">
        <f>SUM(AS70:$AV70)*$N71/100</f>
        <v>50817.016199999991</v>
      </c>
      <c r="AT71" s="276">
        <f>SUM(AT70:$AV70)*$N71/100</f>
        <v>34500.386200000001</v>
      </c>
      <c r="AU71" s="276">
        <f>SUM(AU70:$AV70)*$N71/100</f>
        <v>18183.7562</v>
      </c>
      <c r="AV71" s="276">
        <f>SUM(AV70:$AV70)*$N71/100</f>
        <v>1867.1261999999999</v>
      </c>
      <c r="AW71" s="276"/>
      <c r="AX71" s="276"/>
      <c r="AY71" s="277">
        <f t="shared" si="13"/>
        <v>6503491.9435999999</v>
      </c>
      <c r="AZ71" s="250">
        <f t="shared" si="14"/>
        <v>0</v>
      </c>
      <c r="BA71" s="278">
        <f t="shared" si="15"/>
        <v>3810218.3064000001</v>
      </c>
      <c r="BB71" s="277">
        <f t="shared" si="16"/>
        <v>6503491.9435999999</v>
      </c>
      <c r="BD71" s="270" t="b">
        <f t="shared" si="17"/>
        <v>1</v>
      </c>
    </row>
    <row r="72" spans="2:57" s="270" customFormat="1" x14ac:dyDescent="0.25">
      <c r="B72" s="263" t="s">
        <v>756</v>
      </c>
      <c r="C72" s="263">
        <v>34</v>
      </c>
      <c r="D72" s="263" t="s">
        <v>895</v>
      </c>
      <c r="E72" s="263" t="s">
        <v>894</v>
      </c>
      <c r="F72" s="263" t="s">
        <v>893</v>
      </c>
      <c r="G72" s="263" t="s">
        <v>892</v>
      </c>
      <c r="H72" s="263" t="s">
        <v>891</v>
      </c>
      <c r="I72" s="263" t="s">
        <v>716</v>
      </c>
      <c r="J72" s="264">
        <v>43430</v>
      </c>
      <c r="K72" s="264">
        <v>6572</v>
      </c>
      <c r="L72" s="264"/>
      <c r="M72" s="264"/>
      <c r="N72" s="265"/>
      <c r="O72" s="265"/>
      <c r="P72" s="265"/>
      <c r="Q72" s="265" t="s">
        <v>702</v>
      </c>
      <c r="R72" s="266">
        <v>424</v>
      </c>
      <c r="S72" s="266">
        <v>424</v>
      </c>
      <c r="T72" s="267">
        <f t="shared" si="12"/>
        <v>848</v>
      </c>
      <c r="U72" s="267">
        <v>848</v>
      </c>
      <c r="V72" s="267">
        <v>848</v>
      </c>
      <c r="W72" s="267">
        <v>848</v>
      </c>
      <c r="X72" s="267">
        <v>848</v>
      </c>
      <c r="Y72" s="267">
        <v>848</v>
      </c>
      <c r="Z72" s="267">
        <v>848</v>
      </c>
      <c r="AA72" s="267">
        <v>848</v>
      </c>
      <c r="AB72" s="267">
        <v>212</v>
      </c>
      <c r="AC72" s="267">
        <v>0</v>
      </c>
      <c r="AD72" s="267">
        <v>0</v>
      </c>
      <c r="AE72" s="267">
        <v>0</v>
      </c>
      <c r="AF72" s="267">
        <v>0</v>
      </c>
      <c r="AG72" s="267">
        <v>0</v>
      </c>
      <c r="AH72" s="267">
        <v>0</v>
      </c>
      <c r="AI72" s="267">
        <v>0</v>
      </c>
      <c r="AJ72" s="267">
        <v>0</v>
      </c>
      <c r="AK72" s="267">
        <v>0</v>
      </c>
      <c r="AL72" s="267">
        <v>0</v>
      </c>
      <c r="AM72" s="267">
        <v>0</v>
      </c>
      <c r="AN72" s="267">
        <v>0</v>
      </c>
      <c r="AO72" s="267">
        <v>0</v>
      </c>
      <c r="AP72" s="267">
        <v>0</v>
      </c>
      <c r="AQ72" s="267">
        <v>0</v>
      </c>
      <c r="AR72" s="267">
        <v>0</v>
      </c>
      <c r="AS72" s="267">
        <v>0</v>
      </c>
      <c r="AT72" s="267">
        <v>0</v>
      </c>
      <c r="AU72" s="267">
        <v>0</v>
      </c>
      <c r="AV72" s="267">
        <v>0</v>
      </c>
      <c r="AW72" s="267"/>
      <c r="AX72" s="267"/>
      <c r="AY72" s="268">
        <f t="shared" si="13"/>
        <v>6996</v>
      </c>
      <c r="AZ72" s="250">
        <f t="shared" si="14"/>
        <v>0</v>
      </c>
      <c r="BA72" s="269">
        <f t="shared" si="15"/>
        <v>1060</v>
      </c>
      <c r="BB72" s="268">
        <f t="shared" si="16"/>
        <v>6996</v>
      </c>
      <c r="BD72" s="270" t="b">
        <f t="shared" si="17"/>
        <v>1</v>
      </c>
      <c r="BE72" s="271">
        <f>BB72-K72-R72</f>
        <v>0</v>
      </c>
    </row>
    <row r="73" spans="2:57" x14ac:dyDescent="0.25">
      <c r="B73" s="272" t="s">
        <v>756</v>
      </c>
      <c r="C73" s="272"/>
      <c r="D73" s="272"/>
      <c r="E73" s="272"/>
      <c r="F73" s="272"/>
      <c r="G73" s="272"/>
      <c r="H73" s="272"/>
      <c r="I73" s="272"/>
      <c r="J73" s="273"/>
      <c r="K73" s="273"/>
      <c r="L73" s="273">
        <v>0</v>
      </c>
      <c r="M73" s="273" t="s">
        <v>753</v>
      </c>
      <c r="N73" s="274">
        <f>SUM(O73:P73)</f>
        <v>0.25</v>
      </c>
      <c r="O73" s="274">
        <v>0.25</v>
      </c>
      <c r="P73" s="274">
        <f>$P$4</f>
        <v>0</v>
      </c>
      <c r="Q73" s="274" t="s">
        <v>701</v>
      </c>
      <c r="R73" s="275">
        <v>13.21</v>
      </c>
      <c r="S73" s="275">
        <v>4.1900000000000004</v>
      </c>
      <c r="T73" s="276">
        <f t="shared" si="12"/>
        <v>17.400000000000002</v>
      </c>
      <c r="U73" s="276">
        <f>SUM(U72:$AV72)*$N73/100</f>
        <v>15.37</v>
      </c>
      <c r="V73" s="276">
        <f>SUM(V72:$AV72)*$N73/100</f>
        <v>13.25</v>
      </c>
      <c r="W73" s="276">
        <f>SUM(W72:$AV72)*$N73/100</f>
        <v>11.13</v>
      </c>
      <c r="X73" s="276">
        <f>SUM(X72:$AV72)*$N73/100</f>
        <v>9.01</v>
      </c>
      <c r="Y73" s="276">
        <f>SUM(Y72:$AV72)*$N73/100</f>
        <v>6.89</v>
      </c>
      <c r="Z73" s="276">
        <f>SUM(Z72:$AV72)*$N73/100</f>
        <v>4.7699999999999996</v>
      </c>
      <c r="AA73" s="276">
        <f>SUM(AA72:$AV72)*$N73/100</f>
        <v>2.65</v>
      </c>
      <c r="AB73" s="276">
        <f>SUM(AB72:$AV72)*$N73/100</f>
        <v>0.53</v>
      </c>
      <c r="AC73" s="276">
        <v>0</v>
      </c>
      <c r="AD73" s="276">
        <v>0</v>
      </c>
      <c r="AE73" s="276">
        <v>0</v>
      </c>
      <c r="AF73" s="276">
        <v>0</v>
      </c>
      <c r="AG73" s="276">
        <v>0</v>
      </c>
      <c r="AH73" s="276">
        <v>0</v>
      </c>
      <c r="AI73" s="276">
        <v>0</v>
      </c>
      <c r="AJ73" s="276">
        <v>0</v>
      </c>
      <c r="AK73" s="276">
        <v>0</v>
      </c>
      <c r="AL73" s="276">
        <v>0</v>
      </c>
      <c r="AM73" s="276">
        <v>0</v>
      </c>
      <c r="AN73" s="276">
        <v>0</v>
      </c>
      <c r="AO73" s="276">
        <v>0</v>
      </c>
      <c r="AP73" s="276">
        <v>0</v>
      </c>
      <c r="AQ73" s="276">
        <v>0</v>
      </c>
      <c r="AR73" s="276">
        <v>0</v>
      </c>
      <c r="AS73" s="276">
        <v>0</v>
      </c>
      <c r="AT73" s="276">
        <v>0</v>
      </c>
      <c r="AU73" s="276">
        <v>0</v>
      </c>
      <c r="AV73" s="276">
        <v>0</v>
      </c>
      <c r="AW73" s="276"/>
      <c r="AX73" s="276"/>
      <c r="AY73" s="277">
        <f t="shared" si="13"/>
        <v>81.000000000000014</v>
      </c>
      <c r="AZ73" s="250">
        <f t="shared" si="14"/>
        <v>0</v>
      </c>
      <c r="BA73" s="278">
        <f t="shared" si="15"/>
        <v>3.1799999999999997</v>
      </c>
      <c r="BB73" s="277">
        <f t="shared" si="16"/>
        <v>81</v>
      </c>
      <c r="BD73" s="270" t="b">
        <f t="shared" si="17"/>
        <v>1</v>
      </c>
    </row>
    <row r="74" spans="2:57" s="270" customFormat="1" x14ac:dyDescent="0.25">
      <c r="B74" s="263" t="s">
        <v>756</v>
      </c>
      <c r="C74" s="263">
        <v>35</v>
      </c>
      <c r="D74" s="263" t="s">
        <v>890</v>
      </c>
      <c r="E74" s="263" t="s">
        <v>889</v>
      </c>
      <c r="F74" s="263" t="s">
        <v>888</v>
      </c>
      <c r="G74" s="263" t="s">
        <v>887</v>
      </c>
      <c r="H74" s="263" t="s">
        <v>886</v>
      </c>
      <c r="I74" s="263" t="s">
        <v>716</v>
      </c>
      <c r="J74" s="264">
        <v>400000</v>
      </c>
      <c r="K74" s="264">
        <v>379509</v>
      </c>
      <c r="L74" s="264"/>
      <c r="M74" s="264"/>
      <c r="N74" s="265"/>
      <c r="O74" s="265">
        <v>4.242</v>
      </c>
      <c r="P74" s="265"/>
      <c r="Q74" s="265" t="s">
        <v>702</v>
      </c>
      <c r="R74" s="266">
        <v>6838</v>
      </c>
      <c r="S74" s="266">
        <v>6838</v>
      </c>
      <c r="T74" s="267">
        <f t="shared" si="12"/>
        <v>13676</v>
      </c>
      <c r="U74" s="267">
        <v>13676</v>
      </c>
      <c r="V74" s="267">
        <v>13676</v>
      </c>
      <c r="W74" s="267">
        <v>13676</v>
      </c>
      <c r="X74" s="267">
        <v>13676</v>
      </c>
      <c r="Y74" s="267">
        <v>13676</v>
      </c>
      <c r="Z74" s="267">
        <v>13676</v>
      </c>
      <c r="AA74" s="267">
        <v>13676</v>
      </c>
      <c r="AB74" s="267">
        <v>13676</v>
      </c>
      <c r="AC74" s="267">
        <v>13676</v>
      </c>
      <c r="AD74" s="267">
        <v>13676</v>
      </c>
      <c r="AE74" s="267">
        <v>13676</v>
      </c>
      <c r="AF74" s="267">
        <v>13676</v>
      </c>
      <c r="AG74" s="267">
        <v>13676</v>
      </c>
      <c r="AH74" s="267">
        <v>13676</v>
      </c>
      <c r="AI74" s="267">
        <v>13676</v>
      </c>
      <c r="AJ74" s="267">
        <v>13676</v>
      </c>
      <c r="AK74" s="267">
        <v>13676</v>
      </c>
      <c r="AL74" s="267">
        <v>13676</v>
      </c>
      <c r="AM74" s="267">
        <v>13676</v>
      </c>
      <c r="AN74" s="267">
        <v>13676</v>
      </c>
      <c r="AO74" s="267">
        <v>13676</v>
      </c>
      <c r="AP74" s="267">
        <v>13676</v>
      </c>
      <c r="AQ74" s="267">
        <v>13676</v>
      </c>
      <c r="AR74" s="267">
        <v>13676</v>
      </c>
      <c r="AS74" s="267">
        <v>13676</v>
      </c>
      <c r="AT74" s="267">
        <v>13676</v>
      </c>
      <c r="AU74" s="267">
        <v>13676</v>
      </c>
      <c r="AV74" s="267">
        <v>3419</v>
      </c>
      <c r="AW74" s="267"/>
      <c r="AX74" s="267"/>
      <c r="AY74" s="268">
        <f t="shared" si="13"/>
        <v>386347</v>
      </c>
      <c r="AZ74" s="250">
        <f t="shared" si="14"/>
        <v>0</v>
      </c>
      <c r="BA74" s="269">
        <f t="shared" si="15"/>
        <v>290615</v>
      </c>
      <c r="BB74" s="268">
        <f t="shared" si="16"/>
        <v>386347</v>
      </c>
      <c r="BD74" s="270" t="b">
        <f t="shared" si="17"/>
        <v>1</v>
      </c>
      <c r="BE74" s="271">
        <f>BB74-K74-R74</f>
        <v>0</v>
      </c>
    </row>
    <row r="75" spans="2:57" x14ac:dyDescent="0.25">
      <c r="B75" s="272" t="s">
        <v>756</v>
      </c>
      <c r="C75" s="272"/>
      <c r="D75" s="272"/>
      <c r="E75" s="272"/>
      <c r="F75" s="272"/>
      <c r="G75" s="272"/>
      <c r="H75" s="272"/>
      <c r="I75" s="272"/>
      <c r="J75" s="273"/>
      <c r="K75" s="273"/>
      <c r="L75" s="273" t="s">
        <v>885</v>
      </c>
      <c r="M75" s="273"/>
      <c r="N75" s="274">
        <f>SUM(O75:P75)</f>
        <v>4.5999999999999996</v>
      </c>
      <c r="O75" s="280">
        <v>4.5999999999999996</v>
      </c>
      <c r="P75" s="274">
        <f>$P$4</f>
        <v>0</v>
      </c>
      <c r="Q75" s="274" t="s">
        <v>701</v>
      </c>
      <c r="R75" s="275">
        <v>6157.64</v>
      </c>
      <c r="S75" s="275">
        <v>4109.7</v>
      </c>
      <c r="T75" s="276">
        <f t="shared" si="12"/>
        <v>10267.34</v>
      </c>
      <c r="U75" s="276">
        <f>SUM(U74:$AV74)*$N75/100</f>
        <v>17142.865999999998</v>
      </c>
      <c r="V75" s="276">
        <f>SUM(V74:$AV74)*$N75/100</f>
        <v>16513.769999999997</v>
      </c>
      <c r="W75" s="276">
        <f>SUM(W74:$AV74)*$N75/100</f>
        <v>15884.673999999999</v>
      </c>
      <c r="X75" s="276">
        <f>SUM(X74:$AV74)*$N75/100</f>
        <v>15255.577999999998</v>
      </c>
      <c r="Y75" s="276">
        <f>SUM(Y74:$AV74)*$N75/100</f>
        <v>14626.482</v>
      </c>
      <c r="Z75" s="276">
        <f>SUM(Z74:$AV74)*$N75/100</f>
        <v>13997.385999999999</v>
      </c>
      <c r="AA75" s="276">
        <f>SUM(AA74:$AV74)*$N75/100</f>
        <v>13368.29</v>
      </c>
      <c r="AB75" s="276">
        <f>SUM(AB74:$AV74)*$N75/100</f>
        <v>12739.194</v>
      </c>
      <c r="AC75" s="276">
        <f>SUM(AC74:$AV74)*$N75/100</f>
        <v>12110.097999999998</v>
      </c>
      <c r="AD75" s="276">
        <f>SUM(AD74:$AV74)*$N75/100</f>
        <v>11481.002</v>
      </c>
      <c r="AE75" s="276">
        <f>SUM(AE74:$AV74)*$N75/100</f>
        <v>10851.905999999999</v>
      </c>
      <c r="AF75" s="276">
        <f>SUM(AF74:$AV74)*$N75/100</f>
        <v>10222.81</v>
      </c>
      <c r="AG75" s="276">
        <f>SUM(AG74:$AV74)*$N75/100</f>
        <v>9593.7139999999999</v>
      </c>
      <c r="AH75" s="276">
        <f>SUM(AH74:$AV74)*$N75/100</f>
        <v>8964.6179999999986</v>
      </c>
      <c r="AI75" s="276">
        <f>SUM(AI74:$AV74)*$N75/100</f>
        <v>8335.521999999999</v>
      </c>
      <c r="AJ75" s="276">
        <f>SUM(AJ74:$AV74)*$N75/100</f>
        <v>7706.4259999999995</v>
      </c>
      <c r="AK75" s="276">
        <f>SUM(AK74:$AV74)*$N75/100</f>
        <v>7077.33</v>
      </c>
      <c r="AL75" s="276">
        <f>SUM(AL74:$AV74)*$N75/100</f>
        <v>6448.2339999999995</v>
      </c>
      <c r="AM75" s="276">
        <f>SUM(AM74:$AV74)*$N75/100</f>
        <v>5819.137999999999</v>
      </c>
      <c r="AN75" s="276">
        <f>SUM(AN74:$AV74)*$N75/100</f>
        <v>5190.0419999999995</v>
      </c>
      <c r="AO75" s="276">
        <f>SUM(AO74:$AV74)*$N75/100</f>
        <v>4560.9459999999999</v>
      </c>
      <c r="AP75" s="276">
        <f>SUM(AP74:$AV74)*$N75/100</f>
        <v>3931.8499999999995</v>
      </c>
      <c r="AQ75" s="276">
        <f>SUM(AQ74:$AV74)*$N75/100</f>
        <v>3302.7539999999995</v>
      </c>
      <c r="AR75" s="276">
        <f>SUM(AR74:$AV74)*$N75/100</f>
        <v>2673.6579999999999</v>
      </c>
      <c r="AS75" s="276">
        <f>SUM(AS74:$AV74)*$N75/100</f>
        <v>2044.5619999999999</v>
      </c>
      <c r="AT75" s="276">
        <f>SUM(AT74:$AV74)*$N75/100</f>
        <v>1415.4659999999997</v>
      </c>
      <c r="AU75" s="276">
        <f>SUM(AU74:$AV74)*$N75/100</f>
        <v>786.37</v>
      </c>
      <c r="AV75" s="276">
        <f>SUM(AV74:$AV74)*$N75/100</f>
        <v>157.274</v>
      </c>
      <c r="AW75" s="276"/>
      <c r="AX75" s="276"/>
      <c r="AY75" s="277">
        <f t="shared" si="13"/>
        <v>252469.29999999996</v>
      </c>
      <c r="AZ75" s="250">
        <f t="shared" si="14"/>
        <v>0</v>
      </c>
      <c r="BA75" s="278">
        <f t="shared" si="15"/>
        <v>148781.20399999997</v>
      </c>
      <c r="BB75" s="277">
        <f t="shared" si="16"/>
        <v>252469.29999999996</v>
      </c>
      <c r="BD75" s="270" t="b">
        <f t="shared" si="17"/>
        <v>1</v>
      </c>
    </row>
    <row r="76" spans="2:57" s="270" customFormat="1" x14ac:dyDescent="0.25">
      <c r="B76" s="263" t="s">
        <v>756</v>
      </c>
      <c r="C76" s="263">
        <v>36</v>
      </c>
      <c r="D76" s="263" t="s">
        <v>884</v>
      </c>
      <c r="E76" s="263" t="s">
        <v>883</v>
      </c>
      <c r="F76" s="263" t="s">
        <v>882</v>
      </c>
      <c r="G76" s="263" t="s">
        <v>881</v>
      </c>
      <c r="H76" s="263" t="s">
        <v>880</v>
      </c>
      <c r="I76" s="263" t="s">
        <v>716</v>
      </c>
      <c r="J76" s="264">
        <v>192902.34</v>
      </c>
      <c r="K76" s="264">
        <v>62660.34</v>
      </c>
      <c r="L76" s="264"/>
      <c r="M76" s="264"/>
      <c r="N76" s="265"/>
      <c r="O76" s="265"/>
      <c r="P76" s="265"/>
      <c r="Q76" s="265" t="s">
        <v>702</v>
      </c>
      <c r="R76" s="266">
        <v>43416</v>
      </c>
      <c r="S76" s="266">
        <v>43416</v>
      </c>
      <c r="T76" s="267">
        <f t="shared" si="12"/>
        <v>86832</v>
      </c>
      <c r="U76" s="267">
        <v>19244.34</v>
      </c>
      <c r="V76" s="267">
        <v>0</v>
      </c>
      <c r="W76" s="267">
        <v>0</v>
      </c>
      <c r="X76" s="267">
        <v>0</v>
      </c>
      <c r="Y76" s="267">
        <v>0</v>
      </c>
      <c r="Z76" s="267">
        <v>0</v>
      </c>
      <c r="AA76" s="267">
        <v>0</v>
      </c>
      <c r="AB76" s="267">
        <v>0</v>
      </c>
      <c r="AC76" s="267">
        <v>0</v>
      </c>
      <c r="AD76" s="267">
        <v>0</v>
      </c>
      <c r="AE76" s="267">
        <v>0</v>
      </c>
      <c r="AF76" s="267">
        <v>0</v>
      </c>
      <c r="AG76" s="267">
        <v>0</v>
      </c>
      <c r="AH76" s="267">
        <v>0</v>
      </c>
      <c r="AI76" s="267">
        <v>0</v>
      </c>
      <c r="AJ76" s="267">
        <v>0</v>
      </c>
      <c r="AK76" s="267">
        <v>0</v>
      </c>
      <c r="AL76" s="267">
        <v>0</v>
      </c>
      <c r="AM76" s="267">
        <v>0</v>
      </c>
      <c r="AN76" s="267">
        <v>0</v>
      </c>
      <c r="AO76" s="267">
        <v>0</v>
      </c>
      <c r="AP76" s="267">
        <v>0</v>
      </c>
      <c r="AQ76" s="267">
        <v>0</v>
      </c>
      <c r="AR76" s="267">
        <v>0</v>
      </c>
      <c r="AS76" s="267">
        <v>0</v>
      </c>
      <c r="AT76" s="267">
        <v>0</v>
      </c>
      <c r="AU76" s="267">
        <v>0</v>
      </c>
      <c r="AV76" s="267">
        <v>0</v>
      </c>
      <c r="AW76" s="267"/>
      <c r="AX76" s="267"/>
      <c r="AY76" s="268">
        <f t="shared" si="13"/>
        <v>106076.34</v>
      </c>
      <c r="AZ76" s="250">
        <f t="shared" si="14"/>
        <v>0</v>
      </c>
      <c r="BA76" s="269">
        <f t="shared" si="15"/>
        <v>0</v>
      </c>
      <c r="BB76" s="268">
        <f t="shared" si="16"/>
        <v>106076.34</v>
      </c>
      <c r="BD76" s="270" t="b">
        <f t="shared" si="17"/>
        <v>1</v>
      </c>
      <c r="BE76" s="271">
        <f>BB76-K76-R76</f>
        <v>0</v>
      </c>
    </row>
    <row r="77" spans="2:57" x14ac:dyDescent="0.25">
      <c r="B77" s="272" t="s">
        <v>756</v>
      </c>
      <c r="C77" s="272"/>
      <c r="D77" s="272"/>
      <c r="E77" s="272"/>
      <c r="F77" s="272"/>
      <c r="G77" s="272"/>
      <c r="H77" s="272"/>
      <c r="I77" s="272"/>
      <c r="J77" s="273"/>
      <c r="K77" s="273"/>
      <c r="L77" s="273">
        <v>0</v>
      </c>
      <c r="M77" s="273" t="s">
        <v>753</v>
      </c>
      <c r="N77" s="274">
        <f>SUM(O77:P77)</f>
        <v>0.25</v>
      </c>
      <c r="O77" s="274">
        <v>0.25</v>
      </c>
      <c r="P77" s="274">
        <f>$P$4</f>
        <v>0</v>
      </c>
      <c r="Q77" s="274" t="s">
        <v>701</v>
      </c>
      <c r="R77" s="275">
        <v>195.98</v>
      </c>
      <c r="S77" s="275">
        <v>38.380000000000003</v>
      </c>
      <c r="T77" s="276">
        <f t="shared" si="12"/>
        <v>234.35999999999999</v>
      </c>
      <c r="U77" s="276">
        <f>SUM(U76:$AV76)*$N77/100</f>
        <v>48.110849999999999</v>
      </c>
      <c r="V77" s="276">
        <v>0</v>
      </c>
      <c r="W77" s="276">
        <v>0</v>
      </c>
      <c r="X77" s="276">
        <v>0</v>
      </c>
      <c r="Y77" s="276">
        <v>0</v>
      </c>
      <c r="Z77" s="276">
        <v>0</v>
      </c>
      <c r="AA77" s="276">
        <v>0</v>
      </c>
      <c r="AB77" s="276">
        <v>0</v>
      </c>
      <c r="AC77" s="276">
        <v>0</v>
      </c>
      <c r="AD77" s="276">
        <v>0</v>
      </c>
      <c r="AE77" s="276">
        <v>0</v>
      </c>
      <c r="AF77" s="276">
        <v>0</v>
      </c>
      <c r="AG77" s="276">
        <v>0</v>
      </c>
      <c r="AH77" s="276">
        <v>0</v>
      </c>
      <c r="AI77" s="276">
        <v>0</v>
      </c>
      <c r="AJ77" s="276">
        <v>0</v>
      </c>
      <c r="AK77" s="276">
        <v>0</v>
      </c>
      <c r="AL77" s="276">
        <v>0</v>
      </c>
      <c r="AM77" s="276">
        <v>0</v>
      </c>
      <c r="AN77" s="276">
        <v>0</v>
      </c>
      <c r="AO77" s="276">
        <v>0</v>
      </c>
      <c r="AP77" s="276">
        <v>0</v>
      </c>
      <c r="AQ77" s="276">
        <v>0</v>
      </c>
      <c r="AR77" s="276">
        <v>0</v>
      </c>
      <c r="AS77" s="276">
        <v>0</v>
      </c>
      <c r="AT77" s="276">
        <v>0</v>
      </c>
      <c r="AU77" s="276">
        <v>0</v>
      </c>
      <c r="AV77" s="276">
        <v>0</v>
      </c>
      <c r="AW77" s="276"/>
      <c r="AX77" s="276"/>
      <c r="AY77" s="277">
        <f t="shared" si="13"/>
        <v>282.47084999999998</v>
      </c>
      <c r="AZ77" s="250">
        <f t="shared" si="14"/>
        <v>0</v>
      </c>
      <c r="BA77" s="278">
        <f t="shared" si="15"/>
        <v>0</v>
      </c>
      <c r="BB77" s="277">
        <f t="shared" si="16"/>
        <v>282.47084999999998</v>
      </c>
      <c r="BD77" s="270" t="b">
        <f t="shared" si="17"/>
        <v>1</v>
      </c>
    </row>
    <row r="78" spans="2:57" s="270" customFormat="1" x14ac:dyDescent="0.25">
      <c r="B78" s="263" t="s">
        <v>756</v>
      </c>
      <c r="C78" s="263">
        <v>37</v>
      </c>
      <c r="D78" s="263" t="s">
        <v>879</v>
      </c>
      <c r="E78" s="263" t="s">
        <v>878</v>
      </c>
      <c r="F78" s="263" t="s">
        <v>877</v>
      </c>
      <c r="G78" s="263" t="s">
        <v>876</v>
      </c>
      <c r="H78" s="263" t="s">
        <v>875</v>
      </c>
      <c r="I78" s="263" t="s">
        <v>716</v>
      </c>
      <c r="J78" s="264">
        <v>279650</v>
      </c>
      <c r="K78" s="264">
        <v>265401</v>
      </c>
      <c r="L78" s="264"/>
      <c r="M78" s="264"/>
      <c r="N78" s="265"/>
      <c r="O78" s="265"/>
      <c r="P78" s="265"/>
      <c r="Q78" s="265" t="s">
        <v>702</v>
      </c>
      <c r="R78" s="266">
        <v>4782</v>
      </c>
      <c r="S78" s="266">
        <v>4782</v>
      </c>
      <c r="T78" s="267">
        <f t="shared" si="12"/>
        <v>9564</v>
      </c>
      <c r="U78" s="267">
        <v>9564</v>
      </c>
      <c r="V78" s="267">
        <v>9564</v>
      </c>
      <c r="W78" s="267">
        <v>9564</v>
      </c>
      <c r="X78" s="267">
        <v>9564</v>
      </c>
      <c r="Y78" s="267">
        <v>9564</v>
      </c>
      <c r="Z78" s="267">
        <v>9564</v>
      </c>
      <c r="AA78" s="267">
        <v>9564</v>
      </c>
      <c r="AB78" s="267">
        <v>9564</v>
      </c>
      <c r="AC78" s="267">
        <v>9564</v>
      </c>
      <c r="AD78" s="267">
        <v>9564</v>
      </c>
      <c r="AE78" s="267">
        <v>9564</v>
      </c>
      <c r="AF78" s="267">
        <v>9564</v>
      </c>
      <c r="AG78" s="267">
        <v>9564</v>
      </c>
      <c r="AH78" s="267">
        <v>9564</v>
      </c>
      <c r="AI78" s="267">
        <v>9564</v>
      </c>
      <c r="AJ78" s="267">
        <v>9564</v>
      </c>
      <c r="AK78" s="267">
        <v>9564</v>
      </c>
      <c r="AL78" s="267">
        <v>9564</v>
      </c>
      <c r="AM78" s="267">
        <v>9564</v>
      </c>
      <c r="AN78" s="267">
        <v>9564</v>
      </c>
      <c r="AO78" s="267">
        <v>9564</v>
      </c>
      <c r="AP78" s="267">
        <v>9564</v>
      </c>
      <c r="AQ78" s="267">
        <v>9564</v>
      </c>
      <c r="AR78" s="267">
        <v>9564</v>
      </c>
      <c r="AS78" s="267">
        <v>9564</v>
      </c>
      <c r="AT78" s="267">
        <v>9564</v>
      </c>
      <c r="AU78" s="267">
        <v>9564</v>
      </c>
      <c r="AV78" s="267">
        <v>2391</v>
      </c>
      <c r="AW78" s="267"/>
      <c r="AX78" s="267"/>
      <c r="AY78" s="268">
        <f t="shared" si="13"/>
        <v>270183</v>
      </c>
      <c r="AZ78" s="250">
        <f t="shared" si="14"/>
        <v>0</v>
      </c>
      <c r="BA78" s="269">
        <f t="shared" si="15"/>
        <v>203235</v>
      </c>
      <c r="BB78" s="268">
        <f t="shared" si="16"/>
        <v>270183</v>
      </c>
      <c r="BD78" s="270" t="b">
        <f t="shared" si="17"/>
        <v>1</v>
      </c>
      <c r="BE78" s="271">
        <f>BB78-K78-R78</f>
        <v>0</v>
      </c>
    </row>
    <row r="79" spans="2:57" x14ac:dyDescent="0.25">
      <c r="B79" s="272" t="s">
        <v>756</v>
      </c>
      <c r="C79" s="272"/>
      <c r="D79" s="272"/>
      <c r="E79" s="272"/>
      <c r="F79" s="272"/>
      <c r="G79" s="272"/>
      <c r="H79" s="272"/>
      <c r="I79" s="272"/>
      <c r="J79" s="273"/>
      <c r="K79" s="273"/>
      <c r="L79" s="273" t="s">
        <v>874</v>
      </c>
      <c r="M79" s="273"/>
      <c r="N79" s="274">
        <f>SUM(O79:P79)</f>
        <v>4.2030000000000003</v>
      </c>
      <c r="O79" s="274">
        <v>4.2030000000000003</v>
      </c>
      <c r="P79" s="274">
        <f>$P$4</f>
        <v>0</v>
      </c>
      <c r="Q79" s="274" t="s">
        <v>701</v>
      </c>
      <c r="R79" s="275">
        <v>3429.71</v>
      </c>
      <c r="S79" s="275">
        <v>2847.6</v>
      </c>
      <c r="T79" s="276">
        <f t="shared" si="12"/>
        <v>6277.3099999999995</v>
      </c>
      <c r="U79" s="276">
        <f>SUM(U78:$AV78)*$N79/100</f>
        <v>10953.816570000001</v>
      </c>
      <c r="V79" s="276">
        <f>SUM(V78:$AV78)*$N79/100</f>
        <v>10551.84165</v>
      </c>
      <c r="W79" s="276">
        <f>SUM(W78:$AV78)*$N79/100</f>
        <v>10149.866730000002</v>
      </c>
      <c r="X79" s="276">
        <f>SUM(X78:$AV78)*$N79/100</f>
        <v>9747.891810000001</v>
      </c>
      <c r="Y79" s="276">
        <f>SUM(Y78:$AV78)*$N79/100</f>
        <v>9345.9168900000004</v>
      </c>
      <c r="Z79" s="276">
        <f>SUM(Z78:$AV78)*$N79/100</f>
        <v>8943.9419699999999</v>
      </c>
      <c r="AA79" s="276">
        <f>SUM(AA78:$AV78)*$N79/100</f>
        <v>8541.9670500000011</v>
      </c>
      <c r="AB79" s="276">
        <f>SUM(AB78:$AV78)*$N79/100</f>
        <v>8139.9921300000015</v>
      </c>
      <c r="AC79" s="276">
        <f>SUM(AC78:$AV78)*$N79/100</f>
        <v>7738.01721</v>
      </c>
      <c r="AD79" s="276">
        <f>SUM(AD78:$AV78)*$N79/100</f>
        <v>7336.0422900000003</v>
      </c>
      <c r="AE79" s="276">
        <f>SUM(AE78:$AV78)*$N79/100</f>
        <v>6934.0673700000007</v>
      </c>
      <c r="AF79" s="276">
        <f>SUM(AF78:$AV78)*$N79/100</f>
        <v>6532.0924500000001</v>
      </c>
      <c r="AG79" s="276">
        <f>SUM(AG78:$AV78)*$N79/100</f>
        <v>6130.1175300000004</v>
      </c>
      <c r="AH79" s="276">
        <f>SUM(AH78:$AV78)*$N79/100</f>
        <v>5728.1426100000008</v>
      </c>
      <c r="AI79" s="276">
        <f>SUM(AI78:$AV78)*$N79/100</f>
        <v>5326.1676900000011</v>
      </c>
      <c r="AJ79" s="276">
        <f>SUM(AJ78:$AV78)*$N79/100</f>
        <v>4924.1927700000006</v>
      </c>
      <c r="AK79" s="276">
        <f>SUM(AK78:$AV78)*$N79/100</f>
        <v>4522.21785</v>
      </c>
      <c r="AL79" s="276">
        <f>SUM(AL78:$AV78)*$N79/100</f>
        <v>4120.2429300000003</v>
      </c>
      <c r="AM79" s="276">
        <f>SUM(AM78:$AV78)*$N79/100</f>
        <v>3718.2680100000002</v>
      </c>
      <c r="AN79" s="276">
        <f>SUM(AN78:$AV78)*$N79/100</f>
        <v>3316.2930900000001</v>
      </c>
      <c r="AO79" s="276">
        <f>SUM(AO78:$AV78)*$N79/100</f>
        <v>2914.3181700000005</v>
      </c>
      <c r="AP79" s="276">
        <f>SUM(AP78:$AV78)*$N79/100</f>
        <v>2512.3432499999999</v>
      </c>
      <c r="AQ79" s="276">
        <f>SUM(AQ78:$AV78)*$N79/100</f>
        <v>2110.3683300000002</v>
      </c>
      <c r="AR79" s="276">
        <f>SUM(AR78:$AV78)*$N79/100</f>
        <v>1708.3934100000001</v>
      </c>
      <c r="AS79" s="276">
        <f>SUM(AS78:$AV78)*$N79/100</f>
        <v>1306.41849</v>
      </c>
      <c r="AT79" s="276">
        <f>SUM(AT78:$AV78)*$N79/100</f>
        <v>904.44357000000002</v>
      </c>
      <c r="AU79" s="276">
        <f>SUM(AU78:$AV78)*$N79/100</f>
        <v>502.46865000000003</v>
      </c>
      <c r="AV79" s="276">
        <f>SUM(AV78:$AV78)*$N79/100</f>
        <v>100.49373000000001</v>
      </c>
      <c r="AW79" s="276"/>
      <c r="AX79" s="276"/>
      <c r="AY79" s="277">
        <f t="shared" si="13"/>
        <v>161037.65419999999</v>
      </c>
      <c r="AZ79" s="250">
        <f t="shared" si="14"/>
        <v>0</v>
      </c>
      <c r="BA79" s="278">
        <f t="shared" si="15"/>
        <v>95067.068580000036</v>
      </c>
      <c r="BB79" s="277">
        <f t="shared" si="16"/>
        <v>161037.65420000005</v>
      </c>
      <c r="BD79" s="270" t="b">
        <f t="shared" si="17"/>
        <v>1</v>
      </c>
    </row>
    <row r="80" spans="2:57" s="270" customFormat="1" x14ac:dyDescent="0.25">
      <c r="B80" s="263" t="s">
        <v>756</v>
      </c>
      <c r="C80" s="263">
        <v>38</v>
      </c>
      <c r="D80" s="263" t="s">
        <v>873</v>
      </c>
      <c r="E80" s="263" t="s">
        <v>872</v>
      </c>
      <c r="F80" s="263" t="s">
        <v>871</v>
      </c>
      <c r="G80" s="263" t="s">
        <v>870</v>
      </c>
      <c r="H80" s="263" t="s">
        <v>770</v>
      </c>
      <c r="I80" s="263" t="s">
        <v>716</v>
      </c>
      <c r="J80" s="264">
        <v>2075409</v>
      </c>
      <c r="K80" s="264">
        <v>1486222</v>
      </c>
      <c r="L80" s="264"/>
      <c r="M80" s="264"/>
      <c r="N80" s="265"/>
      <c r="O80" s="265"/>
      <c r="P80" s="265"/>
      <c r="Q80" s="265" t="s">
        <v>702</v>
      </c>
      <c r="R80" s="266">
        <v>75020</v>
      </c>
      <c r="S80" s="266">
        <v>75020</v>
      </c>
      <c r="T80" s="267">
        <f t="shared" si="12"/>
        <v>150040</v>
      </c>
      <c r="U80" s="267">
        <v>128252</v>
      </c>
      <c r="V80" s="267">
        <v>123200</v>
      </c>
      <c r="W80" s="267">
        <v>121648</v>
      </c>
      <c r="X80" s="267">
        <v>117000</v>
      </c>
      <c r="Y80" s="267">
        <v>117000</v>
      </c>
      <c r="Z80" s="267">
        <v>117000</v>
      </c>
      <c r="AA80" s="267">
        <v>117000</v>
      </c>
      <c r="AB80" s="267">
        <v>110320</v>
      </c>
      <c r="AC80" s="267">
        <v>91212</v>
      </c>
      <c r="AD80" s="267">
        <v>82616</v>
      </c>
      <c r="AE80" s="267">
        <v>82616</v>
      </c>
      <c r="AF80" s="267">
        <v>82616</v>
      </c>
      <c r="AG80" s="267">
        <v>75860</v>
      </c>
      <c r="AH80" s="267">
        <v>36908</v>
      </c>
      <c r="AI80" s="267">
        <v>7954</v>
      </c>
      <c r="AJ80" s="267">
        <v>0</v>
      </c>
      <c r="AK80" s="267">
        <v>0</v>
      </c>
      <c r="AL80" s="267">
        <v>0</v>
      </c>
      <c r="AM80" s="267">
        <v>0</v>
      </c>
      <c r="AN80" s="267">
        <v>0</v>
      </c>
      <c r="AO80" s="267">
        <v>0</v>
      </c>
      <c r="AP80" s="267">
        <v>0</v>
      </c>
      <c r="AQ80" s="267">
        <v>0</v>
      </c>
      <c r="AR80" s="267">
        <v>0</v>
      </c>
      <c r="AS80" s="267">
        <v>0</v>
      </c>
      <c r="AT80" s="267">
        <v>0</v>
      </c>
      <c r="AU80" s="267">
        <v>0</v>
      </c>
      <c r="AV80" s="267">
        <v>0</v>
      </c>
      <c r="AW80" s="267"/>
      <c r="AX80" s="267"/>
      <c r="AY80" s="268">
        <f t="shared" si="13"/>
        <v>1561242</v>
      </c>
      <c r="AZ80" s="250">
        <f t="shared" si="14"/>
        <v>0</v>
      </c>
      <c r="BA80" s="269">
        <f t="shared" si="15"/>
        <v>687102</v>
      </c>
      <c r="BB80" s="268">
        <f t="shared" si="16"/>
        <v>1561242</v>
      </c>
      <c r="BD80" s="270" t="b">
        <f t="shared" si="17"/>
        <v>1</v>
      </c>
      <c r="BE80" s="271">
        <f>BB80-K80-R80</f>
        <v>0</v>
      </c>
    </row>
    <row r="81" spans="2:57" x14ac:dyDescent="0.25">
      <c r="B81" s="272" t="s">
        <v>756</v>
      </c>
      <c r="C81" s="272"/>
      <c r="D81" s="272"/>
      <c r="E81" s="272"/>
      <c r="F81" s="272"/>
      <c r="G81" s="272"/>
      <c r="H81" s="272"/>
      <c r="I81" s="272"/>
      <c r="J81" s="273"/>
      <c r="K81" s="273"/>
      <c r="L81" s="273" t="s">
        <v>776</v>
      </c>
      <c r="M81" s="273"/>
      <c r="N81" s="274">
        <f>SUM(O81:P81)</f>
        <v>4.0750000000000002</v>
      </c>
      <c r="O81" s="274">
        <v>4.0750000000000002</v>
      </c>
      <c r="P81" s="274">
        <f>$P$4</f>
        <v>0</v>
      </c>
      <c r="Q81" s="274" t="s">
        <v>701</v>
      </c>
      <c r="R81" s="275">
        <v>13337.62</v>
      </c>
      <c r="S81" s="275">
        <v>14483.98</v>
      </c>
      <c r="T81" s="276">
        <f t="shared" si="12"/>
        <v>27821.599999999999</v>
      </c>
      <c r="U81" s="276">
        <f>SUM(U80:$AV80)*$N81/100</f>
        <v>57506.481500000002</v>
      </c>
      <c r="V81" s="276">
        <f>SUM(V80:$AV80)*$N81/100</f>
        <v>52280.212500000001</v>
      </c>
      <c r="W81" s="276">
        <f>SUM(W80:$AV80)*$N81/100</f>
        <v>47259.8125</v>
      </c>
      <c r="X81" s="276">
        <f>SUM(X80:$AV80)*$N81/100</f>
        <v>42302.656500000005</v>
      </c>
      <c r="Y81" s="276">
        <f>SUM(Y80:$AV80)*$N81/100</f>
        <v>37534.906500000005</v>
      </c>
      <c r="Z81" s="276">
        <f>SUM(Z80:$AV80)*$N81/100</f>
        <v>32767.156500000005</v>
      </c>
      <c r="AA81" s="276">
        <f>SUM(AA80:$AV80)*$N81/100</f>
        <v>27999.406499999997</v>
      </c>
      <c r="AB81" s="276">
        <f>SUM(AB80:$AV80)*$N81/100</f>
        <v>23231.656499999997</v>
      </c>
      <c r="AC81" s="276">
        <f>SUM(AC80:$AV80)*$N81/100</f>
        <v>18736.1165</v>
      </c>
      <c r="AD81" s="276">
        <f>SUM(AD80:$AV80)*$N81/100</f>
        <v>15019.227500000001</v>
      </c>
      <c r="AE81" s="276">
        <f>SUM(AE80:$AV80)*$N81/100</f>
        <v>11652.6255</v>
      </c>
      <c r="AF81" s="276">
        <f>SUM(AF80:$AV80)*$N81/100</f>
        <v>8286.0235000000011</v>
      </c>
      <c r="AG81" s="276">
        <f>SUM(AG80:$AV80)*$N81/100</f>
        <v>4919.4215000000004</v>
      </c>
      <c r="AH81" s="276">
        <f>SUM(AH80:$AV80)*$N81/100</f>
        <v>1828.1264999999999</v>
      </c>
      <c r="AI81" s="276">
        <f>SUM(AI80:$AV80)*$N81/100</f>
        <v>324.12550000000005</v>
      </c>
      <c r="AJ81" s="276">
        <v>0</v>
      </c>
      <c r="AK81" s="276">
        <v>0</v>
      </c>
      <c r="AL81" s="276">
        <v>0</v>
      </c>
      <c r="AM81" s="276">
        <v>0</v>
      </c>
      <c r="AN81" s="276">
        <v>0</v>
      </c>
      <c r="AO81" s="276">
        <v>0</v>
      </c>
      <c r="AP81" s="276">
        <v>0</v>
      </c>
      <c r="AQ81" s="276">
        <v>0</v>
      </c>
      <c r="AR81" s="276">
        <v>0</v>
      </c>
      <c r="AS81" s="276">
        <v>0</v>
      </c>
      <c r="AT81" s="276">
        <v>0</v>
      </c>
      <c r="AU81" s="276">
        <v>0</v>
      </c>
      <c r="AV81" s="276">
        <v>0</v>
      </c>
      <c r="AW81" s="276"/>
      <c r="AX81" s="276"/>
      <c r="AY81" s="277">
        <f t="shared" si="13"/>
        <v>409469.55550000002</v>
      </c>
      <c r="AZ81" s="250">
        <f t="shared" si="14"/>
        <v>0</v>
      </c>
      <c r="BA81" s="278">
        <f t="shared" si="15"/>
        <v>111996.72949999999</v>
      </c>
      <c r="BB81" s="277">
        <f t="shared" si="16"/>
        <v>409469.55550000002</v>
      </c>
      <c r="BD81" s="270" t="b">
        <f t="shared" si="17"/>
        <v>1</v>
      </c>
    </row>
    <row r="82" spans="2:57" s="270" customFormat="1" x14ac:dyDescent="0.25">
      <c r="B82" s="263" t="s">
        <v>756</v>
      </c>
      <c r="C82" s="263">
        <v>39</v>
      </c>
      <c r="D82" s="263" t="s">
        <v>869</v>
      </c>
      <c r="E82" s="263" t="s">
        <v>868</v>
      </c>
      <c r="F82" s="263" t="s">
        <v>867</v>
      </c>
      <c r="G82" s="263" t="s">
        <v>866</v>
      </c>
      <c r="H82" s="263" t="s">
        <v>865</v>
      </c>
      <c r="I82" s="263" t="s">
        <v>716</v>
      </c>
      <c r="J82" s="264">
        <v>617703</v>
      </c>
      <c r="K82" s="264">
        <v>586320</v>
      </c>
      <c r="L82" s="264"/>
      <c r="M82" s="264"/>
      <c r="N82" s="265"/>
      <c r="O82" s="265"/>
      <c r="P82" s="265"/>
      <c r="Q82" s="265" t="s">
        <v>702</v>
      </c>
      <c r="R82" s="266">
        <v>10470</v>
      </c>
      <c r="S82" s="266">
        <v>10470</v>
      </c>
      <c r="T82" s="267">
        <f t="shared" si="12"/>
        <v>20940</v>
      </c>
      <c r="U82" s="267">
        <v>20940</v>
      </c>
      <c r="V82" s="267">
        <v>20940</v>
      </c>
      <c r="W82" s="267">
        <v>20940</v>
      </c>
      <c r="X82" s="267">
        <v>20940</v>
      </c>
      <c r="Y82" s="267">
        <v>20940</v>
      </c>
      <c r="Z82" s="267">
        <v>20940</v>
      </c>
      <c r="AA82" s="267">
        <v>20940</v>
      </c>
      <c r="AB82" s="267">
        <v>20940</v>
      </c>
      <c r="AC82" s="267">
        <v>20940</v>
      </c>
      <c r="AD82" s="267">
        <v>20940</v>
      </c>
      <c r="AE82" s="267">
        <v>20940</v>
      </c>
      <c r="AF82" s="267">
        <v>20940</v>
      </c>
      <c r="AG82" s="267">
        <v>20940</v>
      </c>
      <c r="AH82" s="267">
        <v>20940</v>
      </c>
      <c r="AI82" s="267">
        <v>20940</v>
      </c>
      <c r="AJ82" s="267">
        <v>20940</v>
      </c>
      <c r="AK82" s="267">
        <v>20940</v>
      </c>
      <c r="AL82" s="267">
        <v>20940</v>
      </c>
      <c r="AM82" s="267">
        <v>20940</v>
      </c>
      <c r="AN82" s="267">
        <v>20940</v>
      </c>
      <c r="AO82" s="267">
        <v>20940</v>
      </c>
      <c r="AP82" s="267">
        <v>20940</v>
      </c>
      <c r="AQ82" s="267">
        <v>20940</v>
      </c>
      <c r="AR82" s="267">
        <v>20940</v>
      </c>
      <c r="AS82" s="267">
        <v>20940</v>
      </c>
      <c r="AT82" s="267">
        <v>20940</v>
      </c>
      <c r="AU82" s="267">
        <v>20940</v>
      </c>
      <c r="AV82" s="267">
        <v>10470</v>
      </c>
      <c r="AW82" s="267"/>
      <c r="AX82" s="267"/>
      <c r="AY82" s="268">
        <f t="shared" si="13"/>
        <v>596790</v>
      </c>
      <c r="AZ82" s="250">
        <f t="shared" si="14"/>
        <v>0</v>
      </c>
      <c r="BA82" s="269">
        <f t="shared" si="15"/>
        <v>450210</v>
      </c>
      <c r="BB82" s="268">
        <f t="shared" si="16"/>
        <v>596790</v>
      </c>
      <c r="BD82" s="270" t="b">
        <f t="shared" si="17"/>
        <v>1</v>
      </c>
      <c r="BE82" s="271">
        <f>BB82-K82-R82</f>
        <v>0</v>
      </c>
    </row>
    <row r="83" spans="2:57" x14ac:dyDescent="0.25">
      <c r="B83" s="272" t="s">
        <v>756</v>
      </c>
      <c r="C83" s="272"/>
      <c r="D83" s="272"/>
      <c r="E83" s="272"/>
      <c r="F83" s="272"/>
      <c r="G83" s="272"/>
      <c r="H83" s="272"/>
      <c r="I83" s="272"/>
      <c r="J83" s="273"/>
      <c r="K83" s="273"/>
      <c r="L83" s="273" t="s">
        <v>864</v>
      </c>
      <c r="M83" s="273"/>
      <c r="N83" s="274">
        <f>SUM(O83:P83)</f>
        <v>4.5049999999999999</v>
      </c>
      <c r="O83" s="274">
        <v>4.5049999999999999</v>
      </c>
      <c r="P83" s="274">
        <f>$P$4</f>
        <v>0</v>
      </c>
      <c r="Q83" s="274" t="s">
        <v>701</v>
      </c>
      <c r="R83" s="275">
        <v>7353.73</v>
      </c>
      <c r="S83" s="275">
        <v>6742.97</v>
      </c>
      <c r="T83" s="276">
        <f t="shared" si="12"/>
        <v>14096.7</v>
      </c>
      <c r="U83" s="276">
        <f>SUM(U82:$AV82)*$N83/100</f>
        <v>25942.0425</v>
      </c>
      <c r="V83" s="276">
        <f>SUM(V82:$AV82)*$N83/100</f>
        <v>24998.695499999998</v>
      </c>
      <c r="W83" s="276">
        <f>SUM(W82:$AV82)*$N83/100</f>
        <v>24055.3485</v>
      </c>
      <c r="X83" s="276">
        <f>SUM(X82:$AV82)*$N83/100</f>
        <v>23112.001499999998</v>
      </c>
      <c r="Y83" s="276">
        <f>SUM(Y82:$AV82)*$N83/100</f>
        <v>22168.654499999997</v>
      </c>
      <c r="Z83" s="276">
        <f>SUM(Z82:$AV82)*$N83/100</f>
        <v>21225.307499999999</v>
      </c>
      <c r="AA83" s="276">
        <f>SUM(AA82:$AV82)*$N83/100</f>
        <v>20281.960500000001</v>
      </c>
      <c r="AB83" s="276">
        <f>SUM(AB82:$AV82)*$N83/100</f>
        <v>19338.613499999999</v>
      </c>
      <c r="AC83" s="276">
        <f>SUM(AC82:$AV82)*$N83/100</f>
        <v>18395.266499999998</v>
      </c>
      <c r="AD83" s="276">
        <f>SUM(AD82:$AV82)*$N83/100</f>
        <v>17451.9195</v>
      </c>
      <c r="AE83" s="276">
        <f>SUM(AE82:$AV82)*$N83/100</f>
        <v>16508.572499999998</v>
      </c>
      <c r="AF83" s="276">
        <f>SUM(AF82:$AV82)*$N83/100</f>
        <v>15565.2255</v>
      </c>
      <c r="AG83" s="276">
        <f>SUM(AG82:$AV82)*$N83/100</f>
        <v>14621.878499999999</v>
      </c>
      <c r="AH83" s="276">
        <f>SUM(AH82:$AV82)*$N83/100</f>
        <v>13678.531499999999</v>
      </c>
      <c r="AI83" s="276">
        <f>SUM(AI82:$AV82)*$N83/100</f>
        <v>12735.184499999999</v>
      </c>
      <c r="AJ83" s="276">
        <f>SUM(AJ82:$AV82)*$N83/100</f>
        <v>11791.8375</v>
      </c>
      <c r="AK83" s="276">
        <f>SUM(AK82:$AV82)*$N83/100</f>
        <v>10848.4905</v>
      </c>
      <c r="AL83" s="276">
        <f>SUM(AL82:$AV82)*$N83/100</f>
        <v>9905.1435000000001</v>
      </c>
      <c r="AM83" s="276">
        <f>SUM(AM82:$AV82)*$N83/100</f>
        <v>8961.7965000000004</v>
      </c>
      <c r="AN83" s="276">
        <f>SUM(AN82:$AV82)*$N83/100</f>
        <v>8018.4494999999997</v>
      </c>
      <c r="AO83" s="276">
        <f>SUM(AO82:$AV82)*$N83/100</f>
        <v>7075.1025</v>
      </c>
      <c r="AP83" s="276">
        <f>SUM(AP82:$AV82)*$N83/100</f>
        <v>6131.7554999999993</v>
      </c>
      <c r="AQ83" s="276">
        <f>SUM(AQ82:$AV82)*$N83/100</f>
        <v>5188.4084999999995</v>
      </c>
      <c r="AR83" s="276">
        <f>SUM(AR82:$AV82)*$N83/100</f>
        <v>4245.0614999999998</v>
      </c>
      <c r="AS83" s="276">
        <f>SUM(AS82:$AV82)*$N83/100</f>
        <v>3301.7145</v>
      </c>
      <c r="AT83" s="276">
        <f>SUM(AT82:$AV82)*$N83/100</f>
        <v>2358.3674999999998</v>
      </c>
      <c r="AU83" s="276">
        <f>SUM(AU82:$AV82)*$N83/100</f>
        <v>1415.0204999999999</v>
      </c>
      <c r="AV83" s="276">
        <f>SUM(AV82:$AV82)*$N83/100</f>
        <v>471.67349999999999</v>
      </c>
      <c r="AW83" s="276"/>
      <c r="AX83" s="276"/>
      <c r="AY83" s="277">
        <f t="shared" si="13"/>
        <v>383888.72399999987</v>
      </c>
      <c r="AZ83" s="250">
        <f t="shared" si="14"/>
        <v>0</v>
      </c>
      <c r="BA83" s="278">
        <f t="shared" si="15"/>
        <v>228289.97400000002</v>
      </c>
      <c r="BB83" s="277">
        <f t="shared" si="16"/>
        <v>383888.72399999999</v>
      </c>
      <c r="BD83" s="270" t="b">
        <f t="shared" si="17"/>
        <v>1</v>
      </c>
    </row>
    <row r="84" spans="2:57" s="270" customFormat="1" x14ac:dyDescent="0.25">
      <c r="B84" s="263" t="s">
        <v>756</v>
      </c>
      <c r="C84" s="263">
        <v>40</v>
      </c>
      <c r="D84" s="263" t="s">
        <v>863</v>
      </c>
      <c r="E84" s="263" t="s">
        <v>862</v>
      </c>
      <c r="F84" s="263" t="s">
        <v>861</v>
      </c>
      <c r="G84" s="263" t="s">
        <v>857</v>
      </c>
      <c r="H84" s="263" t="s">
        <v>856</v>
      </c>
      <c r="I84" s="263" t="s">
        <v>716</v>
      </c>
      <c r="J84" s="264">
        <v>131926.07</v>
      </c>
      <c r="K84" s="264">
        <v>121795.07</v>
      </c>
      <c r="L84" s="264"/>
      <c r="M84" s="264"/>
      <c r="N84" s="265"/>
      <c r="O84" s="265"/>
      <c r="P84" s="265"/>
      <c r="Q84" s="265" t="s">
        <v>702</v>
      </c>
      <c r="R84" s="266">
        <v>3386</v>
      </c>
      <c r="S84" s="266">
        <v>3386</v>
      </c>
      <c r="T84" s="267">
        <f t="shared" si="12"/>
        <v>6772</v>
      </c>
      <c r="U84" s="267">
        <v>6772</v>
      </c>
      <c r="V84" s="267">
        <v>6772</v>
      </c>
      <c r="W84" s="267">
        <v>6772</v>
      </c>
      <c r="X84" s="267">
        <v>6772</v>
      </c>
      <c r="Y84" s="267">
        <v>6772</v>
      </c>
      <c r="Z84" s="267">
        <v>6772</v>
      </c>
      <c r="AA84" s="267">
        <v>6772</v>
      </c>
      <c r="AB84" s="267">
        <v>6772</v>
      </c>
      <c r="AC84" s="267">
        <v>6772</v>
      </c>
      <c r="AD84" s="267">
        <v>6772</v>
      </c>
      <c r="AE84" s="267">
        <v>6772</v>
      </c>
      <c r="AF84" s="267">
        <v>6772</v>
      </c>
      <c r="AG84" s="267">
        <v>6772</v>
      </c>
      <c r="AH84" s="267">
        <v>6772</v>
      </c>
      <c r="AI84" s="267">
        <v>6772</v>
      </c>
      <c r="AJ84" s="267">
        <v>6772</v>
      </c>
      <c r="AK84" s="267">
        <v>6772</v>
      </c>
      <c r="AL84" s="267">
        <v>3285.0699999999997</v>
      </c>
      <c r="AM84" s="267">
        <v>0</v>
      </c>
      <c r="AN84" s="267">
        <v>0</v>
      </c>
      <c r="AO84" s="267">
        <v>0</v>
      </c>
      <c r="AP84" s="267">
        <v>0</v>
      </c>
      <c r="AQ84" s="267">
        <v>0</v>
      </c>
      <c r="AR84" s="267">
        <v>0</v>
      </c>
      <c r="AS84" s="267">
        <v>0</v>
      </c>
      <c r="AT84" s="267">
        <v>0</v>
      </c>
      <c r="AU84" s="267">
        <v>0</v>
      </c>
      <c r="AV84" s="267">
        <v>0</v>
      </c>
      <c r="AW84" s="267"/>
      <c r="AX84" s="267"/>
      <c r="AY84" s="268">
        <f t="shared" si="13"/>
        <v>125181.07</v>
      </c>
      <c r="AZ84" s="250">
        <f t="shared" si="14"/>
        <v>0</v>
      </c>
      <c r="BA84" s="269">
        <f t="shared" si="15"/>
        <v>77777.070000000007</v>
      </c>
      <c r="BB84" s="268">
        <f t="shared" si="16"/>
        <v>125181.07</v>
      </c>
      <c r="BD84" s="270" t="b">
        <f t="shared" si="17"/>
        <v>1</v>
      </c>
      <c r="BE84" s="271">
        <f>BB84-K84-R84</f>
        <v>0</v>
      </c>
    </row>
    <row r="85" spans="2:57" x14ac:dyDescent="0.25">
      <c r="B85" s="272" t="s">
        <v>756</v>
      </c>
      <c r="C85" s="272"/>
      <c r="D85" s="272"/>
      <c r="E85" s="272"/>
      <c r="F85" s="272"/>
      <c r="G85" s="272"/>
      <c r="H85" s="272"/>
      <c r="I85" s="272"/>
      <c r="J85" s="273"/>
      <c r="K85" s="273"/>
      <c r="L85" s="273" t="s">
        <v>855</v>
      </c>
      <c r="M85" s="273"/>
      <c r="N85" s="274">
        <f>SUM(O85:P85)</f>
        <v>4.41</v>
      </c>
      <c r="O85" s="274">
        <v>4.41</v>
      </c>
      <c r="P85" s="274">
        <f>$P$4</f>
        <v>0</v>
      </c>
      <c r="Q85" s="274" t="s">
        <v>701</v>
      </c>
      <c r="R85" s="275">
        <v>1202.1199999999999</v>
      </c>
      <c r="S85" s="275">
        <v>1370.35</v>
      </c>
      <c r="T85" s="276">
        <f t="shared" si="12"/>
        <v>2572.4699999999998</v>
      </c>
      <c r="U85" s="276">
        <f>SUM(U84:$AV84)*$N85/100</f>
        <v>5221.8399870000003</v>
      </c>
      <c r="V85" s="276">
        <f>SUM(V84:$AV84)*$N85/100</f>
        <v>4923.1947870000004</v>
      </c>
      <c r="W85" s="276">
        <f>SUM(W84:$AV84)*$N85/100</f>
        <v>4624.5495870000004</v>
      </c>
      <c r="X85" s="276">
        <f>SUM(X84:$AV84)*$N85/100</f>
        <v>4325.9043870000005</v>
      </c>
      <c r="Y85" s="276">
        <f>SUM(Y84:$AV84)*$N85/100</f>
        <v>4027.2591870000006</v>
      </c>
      <c r="Z85" s="276">
        <f>SUM(Z84:$AV84)*$N85/100</f>
        <v>3728.6139870000002</v>
      </c>
      <c r="AA85" s="276">
        <f>SUM(AA84:$AV84)*$N85/100</f>
        <v>3429.9687870000007</v>
      </c>
      <c r="AB85" s="276">
        <f>SUM(AB84:$AV84)*$N85/100</f>
        <v>3131.3235870000003</v>
      </c>
      <c r="AC85" s="276">
        <f>SUM(AC84:$AV84)*$N85/100</f>
        <v>2832.6783870000004</v>
      </c>
      <c r="AD85" s="276">
        <f>SUM(AD84:$AV84)*$N85/100</f>
        <v>2534.033187</v>
      </c>
      <c r="AE85" s="276">
        <f>SUM(AE84:$AV84)*$N85/100</f>
        <v>2235.3879870000001</v>
      </c>
      <c r="AF85" s="276">
        <f>SUM(AF84:$AV84)*$N85/100</f>
        <v>1936.7427869999999</v>
      </c>
      <c r="AG85" s="276">
        <f>SUM(AG84:$AV84)*$N85/100</f>
        <v>1638.097587</v>
      </c>
      <c r="AH85" s="276">
        <f>SUM(AH84:$AV84)*$N85/100</f>
        <v>1339.4523870000003</v>
      </c>
      <c r="AI85" s="276">
        <f>SUM(AI84:$AV84)*$N85/100</f>
        <v>1040.8071869999999</v>
      </c>
      <c r="AJ85" s="276">
        <f>SUM(AJ84:$AV84)*$N85/100</f>
        <v>742.16198700000007</v>
      </c>
      <c r="AK85" s="276">
        <f>SUM(AK84:$AV84)*$N85/100</f>
        <v>443.51678699999997</v>
      </c>
      <c r="AL85" s="276">
        <f>SUM(AL84:$AV84)*$N85/100</f>
        <v>144.87158700000001</v>
      </c>
      <c r="AM85" s="276">
        <v>0</v>
      </c>
      <c r="AN85" s="276">
        <v>0</v>
      </c>
      <c r="AO85" s="276">
        <v>0</v>
      </c>
      <c r="AP85" s="276">
        <v>0</v>
      </c>
      <c r="AQ85" s="276">
        <v>0</v>
      </c>
      <c r="AR85" s="276">
        <v>0</v>
      </c>
      <c r="AS85" s="276">
        <v>0</v>
      </c>
      <c r="AT85" s="276">
        <v>0</v>
      </c>
      <c r="AU85" s="276">
        <v>0</v>
      </c>
      <c r="AV85" s="276">
        <v>0</v>
      </c>
      <c r="AW85" s="276"/>
      <c r="AX85" s="276"/>
      <c r="AY85" s="277">
        <f t="shared" si="13"/>
        <v>50872.874166000001</v>
      </c>
      <c r="AZ85" s="250">
        <f t="shared" si="14"/>
        <v>0</v>
      </c>
      <c r="BA85" s="278">
        <f t="shared" si="15"/>
        <v>21449.042244</v>
      </c>
      <c r="BB85" s="277">
        <f t="shared" si="16"/>
        <v>50872.874166000009</v>
      </c>
      <c r="BD85" s="270" t="b">
        <f t="shared" si="17"/>
        <v>1</v>
      </c>
    </row>
    <row r="86" spans="2:57" s="270" customFormat="1" x14ac:dyDescent="0.25">
      <c r="B86" s="263" t="s">
        <v>756</v>
      </c>
      <c r="C86" s="263">
        <v>41</v>
      </c>
      <c r="D86" s="263" t="s">
        <v>860</v>
      </c>
      <c r="E86" s="263" t="s">
        <v>859</v>
      </c>
      <c r="F86" s="263" t="s">
        <v>858</v>
      </c>
      <c r="G86" s="263" t="s">
        <v>857</v>
      </c>
      <c r="H86" s="263" t="s">
        <v>856</v>
      </c>
      <c r="I86" s="263" t="s">
        <v>716</v>
      </c>
      <c r="J86" s="264">
        <v>145332</v>
      </c>
      <c r="K86" s="264">
        <v>134208</v>
      </c>
      <c r="L86" s="264"/>
      <c r="M86" s="264"/>
      <c r="N86" s="265"/>
      <c r="O86" s="265"/>
      <c r="P86" s="265"/>
      <c r="Q86" s="265" t="s">
        <v>702</v>
      </c>
      <c r="R86" s="266">
        <v>3728</v>
      </c>
      <c r="S86" s="266">
        <v>3728</v>
      </c>
      <c r="T86" s="267">
        <f t="shared" si="12"/>
        <v>7456</v>
      </c>
      <c r="U86" s="267">
        <v>7456</v>
      </c>
      <c r="V86" s="267">
        <v>7456</v>
      </c>
      <c r="W86" s="267">
        <v>7456</v>
      </c>
      <c r="X86" s="267">
        <v>7456</v>
      </c>
      <c r="Y86" s="267">
        <v>7456</v>
      </c>
      <c r="Z86" s="267">
        <v>7456</v>
      </c>
      <c r="AA86" s="267">
        <v>7456</v>
      </c>
      <c r="AB86" s="267">
        <v>7456</v>
      </c>
      <c r="AC86" s="267">
        <v>7456</v>
      </c>
      <c r="AD86" s="267">
        <v>7456</v>
      </c>
      <c r="AE86" s="267">
        <v>7456</v>
      </c>
      <c r="AF86" s="267">
        <v>7456</v>
      </c>
      <c r="AG86" s="267">
        <v>7456</v>
      </c>
      <c r="AH86" s="267">
        <v>7456</v>
      </c>
      <c r="AI86" s="267">
        <v>7456</v>
      </c>
      <c r="AJ86" s="267">
        <v>7456</v>
      </c>
      <c r="AK86" s="267">
        <v>7456</v>
      </c>
      <c r="AL86" s="267">
        <v>3728</v>
      </c>
      <c r="AM86" s="267">
        <v>0</v>
      </c>
      <c r="AN86" s="267">
        <v>0</v>
      </c>
      <c r="AO86" s="267">
        <v>0</v>
      </c>
      <c r="AP86" s="267">
        <v>0</v>
      </c>
      <c r="AQ86" s="267">
        <v>0</v>
      </c>
      <c r="AR86" s="267">
        <v>0</v>
      </c>
      <c r="AS86" s="267">
        <v>0</v>
      </c>
      <c r="AT86" s="267">
        <v>0</v>
      </c>
      <c r="AU86" s="267">
        <v>0</v>
      </c>
      <c r="AV86" s="267">
        <v>0</v>
      </c>
      <c r="AW86" s="267"/>
      <c r="AX86" s="267"/>
      <c r="AY86" s="268">
        <f t="shared" si="13"/>
        <v>137936</v>
      </c>
      <c r="AZ86" s="250">
        <f t="shared" si="14"/>
        <v>0</v>
      </c>
      <c r="BA86" s="269">
        <f t="shared" si="15"/>
        <v>85744</v>
      </c>
      <c r="BB86" s="268">
        <f t="shared" si="16"/>
        <v>137936</v>
      </c>
      <c r="BD86" s="270" t="b">
        <f t="shared" si="17"/>
        <v>1</v>
      </c>
      <c r="BE86" s="271">
        <f>BB86-K86-R86</f>
        <v>0</v>
      </c>
    </row>
    <row r="87" spans="2:57" x14ac:dyDescent="0.25">
      <c r="B87" s="272" t="s">
        <v>756</v>
      </c>
      <c r="C87" s="272"/>
      <c r="D87" s="272"/>
      <c r="E87" s="272"/>
      <c r="F87" s="272"/>
      <c r="G87" s="272"/>
      <c r="H87" s="272"/>
      <c r="I87" s="272"/>
      <c r="J87" s="273"/>
      <c r="K87" s="273"/>
      <c r="L87" s="273" t="s">
        <v>855</v>
      </c>
      <c r="M87" s="273"/>
      <c r="N87" s="274">
        <f>SUM(O87:P87)</f>
        <v>4.41</v>
      </c>
      <c r="O87" s="274">
        <v>4.41</v>
      </c>
      <c r="P87" s="274">
        <f>$P$4</f>
        <v>0</v>
      </c>
      <c r="Q87" s="274" t="s">
        <v>701</v>
      </c>
      <c r="R87" s="275">
        <v>1324.6100000000001</v>
      </c>
      <c r="S87" s="275">
        <v>1510.01</v>
      </c>
      <c r="T87" s="276">
        <f t="shared" si="12"/>
        <v>2834.62</v>
      </c>
      <c r="U87" s="276">
        <f>SUM(U86:$AV86)*$N87/100</f>
        <v>5754.1680000000006</v>
      </c>
      <c r="V87" s="276">
        <f>SUM(V86:$AV86)*$N87/100</f>
        <v>5425.3584000000001</v>
      </c>
      <c r="W87" s="276">
        <f>SUM(W86:$AV86)*$N87/100</f>
        <v>5096.5488000000005</v>
      </c>
      <c r="X87" s="276">
        <f>SUM(X86:$AV86)*$N87/100</f>
        <v>4767.7392</v>
      </c>
      <c r="Y87" s="276">
        <f>SUM(Y86:$AV86)*$N87/100</f>
        <v>4438.9296000000004</v>
      </c>
      <c r="Z87" s="276">
        <f>SUM(Z86:$AV86)*$N87/100</f>
        <v>4110.12</v>
      </c>
      <c r="AA87" s="276">
        <f>SUM(AA86:$AV86)*$N87/100</f>
        <v>3781.3104000000003</v>
      </c>
      <c r="AB87" s="276">
        <f>SUM(AB86:$AV86)*$N87/100</f>
        <v>3452.5008000000003</v>
      </c>
      <c r="AC87" s="276">
        <f>SUM(AC86:$AV86)*$N87/100</f>
        <v>3123.6911999999998</v>
      </c>
      <c r="AD87" s="276">
        <f>SUM(AD86:$AV86)*$N87/100</f>
        <v>2794.8816000000002</v>
      </c>
      <c r="AE87" s="276">
        <f>SUM(AE86:$AV86)*$N87/100</f>
        <v>2466.0720000000001</v>
      </c>
      <c r="AF87" s="276">
        <f>SUM(AF86:$AV86)*$N87/100</f>
        <v>2137.2624000000001</v>
      </c>
      <c r="AG87" s="276">
        <f>SUM(AG86:$AV86)*$N87/100</f>
        <v>1808.4528</v>
      </c>
      <c r="AH87" s="276">
        <f>SUM(AH86:$AV86)*$N87/100</f>
        <v>1479.6432</v>
      </c>
      <c r="AI87" s="276">
        <f>SUM(AI86:$AV86)*$N87/100</f>
        <v>1150.8335999999999</v>
      </c>
      <c r="AJ87" s="276">
        <f>SUM(AJ86:$AV86)*$N87/100</f>
        <v>822.02400000000011</v>
      </c>
      <c r="AK87" s="276">
        <f>SUM(AK86:$AV86)*$N87/100</f>
        <v>493.21440000000001</v>
      </c>
      <c r="AL87" s="276">
        <f>SUM(AL86:$AV86)*$N87/100</f>
        <v>164.40479999999999</v>
      </c>
      <c r="AM87" s="276">
        <v>0</v>
      </c>
      <c r="AN87" s="276">
        <v>0</v>
      </c>
      <c r="AO87" s="276">
        <v>0</v>
      </c>
      <c r="AP87" s="276">
        <v>0</v>
      </c>
      <c r="AQ87" s="276">
        <v>0</v>
      </c>
      <c r="AR87" s="276">
        <v>0</v>
      </c>
      <c r="AS87" s="276">
        <v>0</v>
      </c>
      <c r="AT87" s="276">
        <v>0</v>
      </c>
      <c r="AU87" s="276">
        <v>0</v>
      </c>
      <c r="AV87" s="276">
        <v>0</v>
      </c>
      <c r="AW87" s="276"/>
      <c r="AX87" s="276"/>
      <c r="AY87" s="277">
        <f t="shared" si="13"/>
        <v>56101.775199999989</v>
      </c>
      <c r="AZ87" s="250">
        <f t="shared" si="14"/>
        <v>0</v>
      </c>
      <c r="BA87" s="278">
        <f t="shared" si="15"/>
        <v>23674.291200000003</v>
      </c>
      <c r="BB87" s="277">
        <f t="shared" si="16"/>
        <v>56101.775200000004</v>
      </c>
      <c r="BD87" s="270" t="b">
        <f t="shared" si="17"/>
        <v>1</v>
      </c>
    </row>
    <row r="88" spans="2:57" s="270" customFormat="1" x14ac:dyDescent="0.25">
      <c r="B88" s="263" t="s">
        <v>754</v>
      </c>
      <c r="C88" s="263">
        <v>42</v>
      </c>
      <c r="D88" s="263" t="s">
        <v>854</v>
      </c>
      <c r="E88" s="263" t="s">
        <v>853</v>
      </c>
      <c r="F88" s="263" t="s">
        <v>852</v>
      </c>
      <c r="G88" s="263" t="s">
        <v>851</v>
      </c>
      <c r="H88" s="263" t="s">
        <v>850</v>
      </c>
      <c r="I88" s="263" t="s">
        <v>716</v>
      </c>
      <c r="J88" s="264">
        <v>141294</v>
      </c>
      <c r="K88" s="264">
        <v>96681</v>
      </c>
      <c r="L88" s="264"/>
      <c r="M88" s="264"/>
      <c r="N88" s="265"/>
      <c r="O88" s="265"/>
      <c r="P88" s="265"/>
      <c r="Q88" s="265" t="s">
        <v>702</v>
      </c>
      <c r="R88" s="266">
        <v>14874</v>
      </c>
      <c r="S88" s="266">
        <v>14874</v>
      </c>
      <c r="T88" s="267">
        <f t="shared" si="12"/>
        <v>29748</v>
      </c>
      <c r="U88" s="267">
        <v>29748</v>
      </c>
      <c r="V88" s="267">
        <v>29748</v>
      </c>
      <c r="W88" s="267">
        <v>22311</v>
      </c>
      <c r="X88" s="267">
        <v>0</v>
      </c>
      <c r="Y88" s="267">
        <v>0</v>
      </c>
      <c r="Z88" s="267">
        <v>0</v>
      </c>
      <c r="AA88" s="267">
        <v>0</v>
      </c>
      <c r="AB88" s="267">
        <v>0</v>
      </c>
      <c r="AC88" s="267">
        <v>0</v>
      </c>
      <c r="AD88" s="267">
        <v>0</v>
      </c>
      <c r="AE88" s="267">
        <v>0</v>
      </c>
      <c r="AF88" s="267">
        <v>0</v>
      </c>
      <c r="AG88" s="267">
        <v>0</v>
      </c>
      <c r="AH88" s="267">
        <v>0</v>
      </c>
      <c r="AI88" s="267">
        <v>0</v>
      </c>
      <c r="AJ88" s="267">
        <v>0</v>
      </c>
      <c r="AK88" s="267">
        <v>0</v>
      </c>
      <c r="AL88" s="267">
        <v>0</v>
      </c>
      <c r="AM88" s="267">
        <v>0</v>
      </c>
      <c r="AN88" s="267">
        <v>0</v>
      </c>
      <c r="AO88" s="267">
        <v>0</v>
      </c>
      <c r="AP88" s="267">
        <v>0</v>
      </c>
      <c r="AQ88" s="267">
        <v>0</v>
      </c>
      <c r="AR88" s="267">
        <v>0</v>
      </c>
      <c r="AS88" s="267">
        <v>0</v>
      </c>
      <c r="AT88" s="267">
        <v>0</v>
      </c>
      <c r="AU88" s="267">
        <v>0</v>
      </c>
      <c r="AV88" s="267">
        <v>0</v>
      </c>
      <c r="AW88" s="267"/>
      <c r="AX88" s="267"/>
      <c r="AY88" s="268">
        <f t="shared" si="13"/>
        <v>111555</v>
      </c>
      <c r="AZ88" s="250">
        <f t="shared" si="14"/>
        <v>0</v>
      </c>
      <c r="BA88" s="269">
        <f t="shared" si="15"/>
        <v>0</v>
      </c>
      <c r="BB88" s="268">
        <f t="shared" si="16"/>
        <v>111555</v>
      </c>
      <c r="BD88" s="270" t="b">
        <f t="shared" si="17"/>
        <v>1</v>
      </c>
      <c r="BE88" s="271">
        <f>BB88-K88-R88</f>
        <v>0</v>
      </c>
    </row>
    <row r="89" spans="2:57" x14ac:dyDescent="0.25">
      <c r="B89" s="272" t="s">
        <v>754</v>
      </c>
      <c r="C89" s="272"/>
      <c r="D89" s="272"/>
      <c r="E89" s="272"/>
      <c r="F89" s="272"/>
      <c r="G89" s="272"/>
      <c r="H89" s="272"/>
      <c r="I89" s="272"/>
      <c r="J89" s="273"/>
      <c r="K89" s="273"/>
      <c r="L89" s="273">
        <v>0</v>
      </c>
      <c r="M89" s="273" t="s">
        <v>753</v>
      </c>
      <c r="N89" s="274">
        <f>SUM(O89:P89)</f>
        <v>0.25</v>
      </c>
      <c r="O89" s="274">
        <v>0.25</v>
      </c>
      <c r="P89" s="274">
        <f>$P$4</f>
        <v>0</v>
      </c>
      <c r="Q89" s="274" t="s">
        <v>701</v>
      </c>
      <c r="R89" s="275">
        <v>209.75</v>
      </c>
      <c r="S89" s="275">
        <v>61.2</v>
      </c>
      <c r="T89" s="276">
        <f t="shared" si="12"/>
        <v>270.95</v>
      </c>
      <c r="U89" s="276">
        <f>SUM(U88:$AV88)*$N89/100</f>
        <v>204.51750000000001</v>
      </c>
      <c r="V89" s="276">
        <f>SUM(V88:$AV88)*$N89/100</f>
        <v>130.14750000000001</v>
      </c>
      <c r="W89" s="276">
        <f>SUM(W88:$AV88)*$N89/100</f>
        <v>55.777500000000003</v>
      </c>
      <c r="X89" s="276">
        <v>0</v>
      </c>
      <c r="Y89" s="276">
        <v>0</v>
      </c>
      <c r="Z89" s="276">
        <v>0</v>
      </c>
      <c r="AA89" s="276">
        <v>0</v>
      </c>
      <c r="AB89" s="276">
        <v>0</v>
      </c>
      <c r="AC89" s="276">
        <v>0</v>
      </c>
      <c r="AD89" s="276">
        <v>0</v>
      </c>
      <c r="AE89" s="276">
        <v>0</v>
      </c>
      <c r="AF89" s="276">
        <v>0</v>
      </c>
      <c r="AG89" s="276">
        <v>0</v>
      </c>
      <c r="AH89" s="276">
        <v>0</v>
      </c>
      <c r="AI89" s="276">
        <v>0</v>
      </c>
      <c r="AJ89" s="276">
        <v>0</v>
      </c>
      <c r="AK89" s="276">
        <v>0</v>
      </c>
      <c r="AL89" s="276">
        <v>0</v>
      </c>
      <c r="AM89" s="276">
        <v>0</v>
      </c>
      <c r="AN89" s="276">
        <v>0</v>
      </c>
      <c r="AO89" s="276">
        <v>0</v>
      </c>
      <c r="AP89" s="276">
        <v>0</v>
      </c>
      <c r="AQ89" s="276">
        <v>0</v>
      </c>
      <c r="AR89" s="276">
        <v>0</v>
      </c>
      <c r="AS89" s="276">
        <v>0</v>
      </c>
      <c r="AT89" s="276">
        <v>0</v>
      </c>
      <c r="AU89" s="276">
        <v>0</v>
      </c>
      <c r="AV89" s="276">
        <v>0</v>
      </c>
      <c r="AW89" s="276"/>
      <c r="AX89" s="276"/>
      <c r="AY89" s="277">
        <f t="shared" si="13"/>
        <v>661.39250000000004</v>
      </c>
      <c r="AZ89" s="250">
        <f t="shared" si="14"/>
        <v>0</v>
      </c>
      <c r="BA89" s="278">
        <f t="shared" si="15"/>
        <v>0</v>
      </c>
      <c r="BB89" s="277">
        <f t="shared" si="16"/>
        <v>661.39250000000004</v>
      </c>
      <c r="BD89" s="270" t="b">
        <f t="shared" si="17"/>
        <v>1</v>
      </c>
    </row>
    <row r="90" spans="2:57" s="270" customFormat="1" x14ac:dyDescent="0.25">
      <c r="B90" s="263" t="s">
        <v>754</v>
      </c>
      <c r="C90" s="263">
        <v>43</v>
      </c>
      <c r="D90" s="263" t="s">
        <v>544</v>
      </c>
      <c r="E90" s="263" t="s">
        <v>849</v>
      </c>
      <c r="F90" s="263" t="s">
        <v>848</v>
      </c>
      <c r="G90" s="263" t="s">
        <v>840</v>
      </c>
      <c r="H90" s="263" t="s">
        <v>847</v>
      </c>
      <c r="I90" s="263" t="s">
        <v>716</v>
      </c>
      <c r="J90" s="264">
        <v>186392</v>
      </c>
      <c r="K90" s="264">
        <v>164720</v>
      </c>
      <c r="L90" s="264"/>
      <c r="M90" s="264"/>
      <c r="N90" s="265"/>
      <c r="O90" s="265">
        <v>3.4460000000000002</v>
      </c>
      <c r="P90" s="265"/>
      <c r="Q90" s="265" t="s">
        <v>702</v>
      </c>
      <c r="R90" s="266">
        <v>8680</v>
      </c>
      <c r="S90" s="266">
        <v>8680</v>
      </c>
      <c r="T90" s="267">
        <f t="shared" si="12"/>
        <v>17360</v>
      </c>
      <c r="U90" s="267">
        <v>17360</v>
      </c>
      <c r="V90" s="267">
        <v>15080</v>
      </c>
      <c r="W90" s="267">
        <v>8240</v>
      </c>
      <c r="X90" s="267">
        <v>8240</v>
      </c>
      <c r="Y90" s="267">
        <v>8240</v>
      </c>
      <c r="Z90" s="267">
        <v>8240</v>
      </c>
      <c r="AA90" s="267">
        <v>8240</v>
      </c>
      <c r="AB90" s="267">
        <v>8240</v>
      </c>
      <c r="AC90" s="267">
        <v>8240</v>
      </c>
      <c r="AD90" s="267">
        <v>8240</v>
      </c>
      <c r="AE90" s="267">
        <v>8240</v>
      </c>
      <c r="AF90" s="267">
        <v>8240</v>
      </c>
      <c r="AG90" s="267">
        <v>8240</v>
      </c>
      <c r="AH90" s="267">
        <v>8240</v>
      </c>
      <c r="AI90" s="267">
        <v>8240</v>
      </c>
      <c r="AJ90" s="267">
        <v>8240</v>
      </c>
      <c r="AK90" s="267">
        <v>8240</v>
      </c>
      <c r="AL90" s="267">
        <v>0</v>
      </c>
      <c r="AM90" s="267">
        <v>0</v>
      </c>
      <c r="AN90" s="267">
        <v>0</v>
      </c>
      <c r="AO90" s="267">
        <v>0</v>
      </c>
      <c r="AP90" s="267">
        <v>0</v>
      </c>
      <c r="AQ90" s="267">
        <v>0</v>
      </c>
      <c r="AR90" s="267">
        <v>0</v>
      </c>
      <c r="AS90" s="267">
        <v>0</v>
      </c>
      <c r="AT90" s="267">
        <v>0</v>
      </c>
      <c r="AU90" s="267">
        <v>0</v>
      </c>
      <c r="AV90" s="267">
        <v>0</v>
      </c>
      <c r="AW90" s="267"/>
      <c r="AX90" s="267"/>
      <c r="AY90" s="268">
        <f t="shared" si="13"/>
        <v>173400</v>
      </c>
      <c r="AZ90" s="250">
        <f t="shared" si="14"/>
        <v>0</v>
      </c>
      <c r="BA90" s="269">
        <f t="shared" si="15"/>
        <v>90640</v>
      </c>
      <c r="BB90" s="268">
        <f t="shared" si="16"/>
        <v>173400</v>
      </c>
      <c r="BD90" s="270" t="b">
        <f t="shared" si="17"/>
        <v>1</v>
      </c>
      <c r="BE90" s="271">
        <f>BB90-K90-R90</f>
        <v>0</v>
      </c>
    </row>
    <row r="91" spans="2:57" x14ac:dyDescent="0.25">
      <c r="B91" s="272" t="s">
        <v>754</v>
      </c>
      <c r="C91" s="272"/>
      <c r="D91" s="272"/>
      <c r="E91" s="272"/>
      <c r="F91" s="272"/>
      <c r="G91" s="272"/>
      <c r="H91" s="272"/>
      <c r="I91" s="272"/>
      <c r="J91" s="273"/>
      <c r="K91" s="273"/>
      <c r="L91" s="273" t="s">
        <v>838</v>
      </c>
      <c r="M91" s="273"/>
      <c r="N91" s="274">
        <f>SUM(O91:P91)</f>
        <v>4.5999999999999996</v>
      </c>
      <c r="O91" s="280">
        <v>4.5999999999999996</v>
      </c>
      <c r="P91" s="274">
        <f>$P$4</f>
        <v>0</v>
      </c>
      <c r="Q91" s="274" t="s">
        <v>701</v>
      </c>
      <c r="R91" s="275">
        <v>3538.87</v>
      </c>
      <c r="S91" s="275">
        <v>1446.03</v>
      </c>
      <c r="T91" s="276">
        <f t="shared" ref="T91:T122" si="18">SUM(R91:S91)</f>
        <v>4984.8999999999996</v>
      </c>
      <c r="U91" s="276">
        <f>SUM(U90:$AV90)*$N91/100</f>
        <v>7177.84</v>
      </c>
      <c r="V91" s="276">
        <f>SUM(V90:$AV90)*$N91/100</f>
        <v>6379.28</v>
      </c>
      <c r="W91" s="276">
        <f>SUM(W90:$AV90)*$N91/100</f>
        <v>5685.6</v>
      </c>
      <c r="X91" s="276">
        <f>SUM(X90:$AV90)*$N91/100</f>
        <v>5306.56</v>
      </c>
      <c r="Y91" s="276">
        <f>SUM(Y90:$AV90)*$N91/100</f>
        <v>4927.5199999999995</v>
      </c>
      <c r="Z91" s="276">
        <f>SUM(Z90:$AV90)*$N91/100</f>
        <v>4548.4799999999996</v>
      </c>
      <c r="AA91" s="276">
        <f>SUM(AA90:$AV90)*$N91/100</f>
        <v>4169.4399999999996</v>
      </c>
      <c r="AB91" s="276">
        <f>SUM(AB90:$AV90)*$N91/100</f>
        <v>3790.3999999999996</v>
      </c>
      <c r="AC91" s="276">
        <f>SUM(AC90:$AV90)*$N91/100</f>
        <v>3411.36</v>
      </c>
      <c r="AD91" s="276">
        <f>SUM(AD90:$AV90)*$N91/100</f>
        <v>3032.32</v>
      </c>
      <c r="AE91" s="276">
        <f>SUM(AE90:$AV90)*$N91/100</f>
        <v>2653.28</v>
      </c>
      <c r="AF91" s="276">
        <f>SUM(AF90:$AV90)*$N91/100</f>
        <v>2274.2399999999998</v>
      </c>
      <c r="AG91" s="276">
        <f>SUM(AG90:$AV90)*$N91/100</f>
        <v>1895.1999999999998</v>
      </c>
      <c r="AH91" s="276">
        <f>SUM(AH90:$AV90)*$N91/100</f>
        <v>1516.16</v>
      </c>
      <c r="AI91" s="276">
        <f>SUM(AI90:$AV90)*$N91/100</f>
        <v>1137.1199999999999</v>
      </c>
      <c r="AJ91" s="276">
        <f>SUM(AJ90:$AV90)*$N91/100</f>
        <v>758.08</v>
      </c>
      <c r="AK91" s="276">
        <f>SUM(AK90:$AV90)*$N91/100</f>
        <v>379.04</v>
      </c>
      <c r="AL91" s="276">
        <v>0</v>
      </c>
      <c r="AM91" s="276">
        <v>0</v>
      </c>
      <c r="AN91" s="276">
        <v>0</v>
      </c>
      <c r="AO91" s="276">
        <v>0</v>
      </c>
      <c r="AP91" s="276">
        <v>0</v>
      </c>
      <c r="AQ91" s="276">
        <v>0</v>
      </c>
      <c r="AR91" s="276">
        <v>0</v>
      </c>
      <c r="AS91" s="276">
        <v>0</v>
      </c>
      <c r="AT91" s="276">
        <v>0</v>
      </c>
      <c r="AU91" s="276">
        <v>0</v>
      </c>
      <c r="AV91" s="276">
        <v>0</v>
      </c>
      <c r="AW91" s="276"/>
      <c r="AX91" s="276"/>
      <c r="AY91" s="277">
        <f t="shared" si="13"/>
        <v>64026.820000000014</v>
      </c>
      <c r="AZ91" s="250">
        <f t="shared" si="14"/>
        <v>0</v>
      </c>
      <c r="BA91" s="278">
        <f t="shared" si="15"/>
        <v>25016.640000000003</v>
      </c>
      <c r="BB91" s="277">
        <f t="shared" si="16"/>
        <v>64026.820000000007</v>
      </c>
      <c r="BD91" s="270" t="b">
        <f t="shared" si="17"/>
        <v>1</v>
      </c>
    </row>
    <row r="92" spans="2:57" s="270" customFormat="1" x14ac:dyDescent="0.25">
      <c r="B92" s="263" t="s">
        <v>754</v>
      </c>
      <c r="C92" s="263">
        <v>44</v>
      </c>
      <c r="D92" s="263" t="s">
        <v>846</v>
      </c>
      <c r="E92" s="263" t="s">
        <v>845</v>
      </c>
      <c r="F92" s="263" t="s">
        <v>844</v>
      </c>
      <c r="G92" s="263" t="s">
        <v>840</v>
      </c>
      <c r="H92" s="263" t="s">
        <v>839</v>
      </c>
      <c r="I92" s="263" t="s">
        <v>716</v>
      </c>
      <c r="J92" s="264">
        <v>697002</v>
      </c>
      <c r="K92" s="264">
        <v>623662</v>
      </c>
      <c r="L92" s="264"/>
      <c r="M92" s="264"/>
      <c r="N92" s="265"/>
      <c r="O92" s="265">
        <v>3.302</v>
      </c>
      <c r="P92" s="265"/>
      <c r="Q92" s="265" t="s">
        <v>702</v>
      </c>
      <c r="R92" s="266">
        <v>36686</v>
      </c>
      <c r="S92" s="266">
        <v>36686</v>
      </c>
      <c r="T92" s="267">
        <f t="shared" si="18"/>
        <v>73372</v>
      </c>
      <c r="U92" s="267">
        <v>73372</v>
      </c>
      <c r="V92" s="267">
        <v>73372</v>
      </c>
      <c r="W92" s="267">
        <v>73372</v>
      </c>
      <c r="X92" s="267">
        <v>73372</v>
      </c>
      <c r="Y92" s="267">
        <v>73372</v>
      </c>
      <c r="Z92" s="267">
        <v>73372</v>
      </c>
      <c r="AA92" s="267">
        <v>73372</v>
      </c>
      <c r="AB92" s="267">
        <v>73372</v>
      </c>
      <c r="AC92" s="267">
        <v>0</v>
      </c>
      <c r="AD92" s="267">
        <v>0</v>
      </c>
      <c r="AE92" s="267">
        <v>0</v>
      </c>
      <c r="AF92" s="267">
        <v>0</v>
      </c>
      <c r="AG92" s="267">
        <v>0</v>
      </c>
      <c r="AH92" s="267">
        <v>0</v>
      </c>
      <c r="AI92" s="267">
        <v>0</v>
      </c>
      <c r="AJ92" s="267">
        <v>0</v>
      </c>
      <c r="AK92" s="267">
        <v>0</v>
      </c>
      <c r="AL92" s="267">
        <v>0</v>
      </c>
      <c r="AM92" s="267">
        <v>0</v>
      </c>
      <c r="AN92" s="267">
        <v>0</v>
      </c>
      <c r="AO92" s="267">
        <v>0</v>
      </c>
      <c r="AP92" s="267">
        <v>0</v>
      </c>
      <c r="AQ92" s="267">
        <v>0</v>
      </c>
      <c r="AR92" s="267">
        <v>0</v>
      </c>
      <c r="AS92" s="267">
        <v>0</v>
      </c>
      <c r="AT92" s="267">
        <v>0</v>
      </c>
      <c r="AU92" s="267">
        <v>0</v>
      </c>
      <c r="AV92" s="267">
        <v>0</v>
      </c>
      <c r="AW92" s="267"/>
      <c r="AX92" s="267"/>
      <c r="AY92" s="268">
        <f t="shared" si="13"/>
        <v>660348</v>
      </c>
      <c r="AZ92" s="250">
        <f t="shared" si="14"/>
        <v>0</v>
      </c>
      <c r="BA92" s="269">
        <f t="shared" si="15"/>
        <v>146744</v>
      </c>
      <c r="BB92" s="268">
        <f t="shared" si="16"/>
        <v>660348</v>
      </c>
      <c r="BD92" s="270" t="b">
        <f t="shared" si="17"/>
        <v>1</v>
      </c>
      <c r="BE92" s="271">
        <f>BB92-K92-R92</f>
        <v>0</v>
      </c>
    </row>
    <row r="93" spans="2:57" x14ac:dyDescent="0.25">
      <c r="B93" s="272" t="s">
        <v>754</v>
      </c>
      <c r="C93" s="272"/>
      <c r="D93" s="272"/>
      <c r="E93" s="272"/>
      <c r="F93" s="272"/>
      <c r="G93" s="272"/>
      <c r="H93" s="272"/>
      <c r="I93" s="272"/>
      <c r="J93" s="273"/>
      <c r="K93" s="273"/>
      <c r="L93" s="273" t="s">
        <v>838</v>
      </c>
      <c r="M93" s="273"/>
      <c r="N93" s="274">
        <f>SUM(O93:P93)</f>
        <v>4.4000000000000004</v>
      </c>
      <c r="O93" s="280">
        <v>4.4000000000000004</v>
      </c>
      <c r="P93" s="274">
        <f>$P$4</f>
        <v>0</v>
      </c>
      <c r="Q93" s="274" t="s">
        <v>701</v>
      </c>
      <c r="R93" s="275">
        <v>12683.64</v>
      </c>
      <c r="S93" s="275">
        <v>5244.23</v>
      </c>
      <c r="T93" s="276">
        <f t="shared" si="18"/>
        <v>17927.87</v>
      </c>
      <c r="U93" s="276">
        <f>SUM(U92:$AV92)*$N93/100</f>
        <v>25826.944000000003</v>
      </c>
      <c r="V93" s="276">
        <f>SUM(V92:$AV92)*$N93/100</f>
        <v>22598.576000000001</v>
      </c>
      <c r="W93" s="276">
        <f>SUM(W92:$AV92)*$N93/100</f>
        <v>19370.207999999999</v>
      </c>
      <c r="X93" s="276">
        <f>SUM(X92:$AV92)*$N93/100</f>
        <v>16141.840000000002</v>
      </c>
      <c r="Y93" s="276">
        <f>SUM(Y92:$AV92)*$N93/100</f>
        <v>12913.472000000002</v>
      </c>
      <c r="Z93" s="276">
        <f>SUM(Z92:$AV92)*$N93/100</f>
        <v>9685.1039999999994</v>
      </c>
      <c r="AA93" s="276">
        <f>SUM(AA92:$AV92)*$N93/100</f>
        <v>6456.7360000000008</v>
      </c>
      <c r="AB93" s="276">
        <f>SUM(AB92:$AV92)*$N93/100</f>
        <v>3228.3680000000004</v>
      </c>
      <c r="AC93" s="276">
        <v>0</v>
      </c>
      <c r="AD93" s="276">
        <v>0</v>
      </c>
      <c r="AE93" s="276">
        <v>0</v>
      </c>
      <c r="AF93" s="276">
        <v>0</v>
      </c>
      <c r="AG93" s="276">
        <v>0</v>
      </c>
      <c r="AH93" s="276">
        <v>0</v>
      </c>
      <c r="AI93" s="276">
        <v>0</v>
      </c>
      <c r="AJ93" s="276">
        <v>0</v>
      </c>
      <c r="AK93" s="276">
        <v>0</v>
      </c>
      <c r="AL93" s="276">
        <v>0</v>
      </c>
      <c r="AM93" s="276">
        <v>0</v>
      </c>
      <c r="AN93" s="276">
        <v>0</v>
      </c>
      <c r="AO93" s="276">
        <v>0</v>
      </c>
      <c r="AP93" s="276">
        <v>0</v>
      </c>
      <c r="AQ93" s="276">
        <v>0</v>
      </c>
      <c r="AR93" s="276">
        <v>0</v>
      </c>
      <c r="AS93" s="276">
        <v>0</v>
      </c>
      <c r="AT93" s="276">
        <v>0</v>
      </c>
      <c r="AU93" s="276">
        <v>0</v>
      </c>
      <c r="AV93" s="276">
        <v>0</v>
      </c>
      <c r="AW93" s="276"/>
      <c r="AX93" s="276"/>
      <c r="AY93" s="277">
        <f t="shared" si="13"/>
        <v>134149.11799999999</v>
      </c>
      <c r="AZ93" s="250">
        <f t="shared" si="14"/>
        <v>0</v>
      </c>
      <c r="BA93" s="278">
        <f t="shared" si="15"/>
        <v>9685.1040000000012</v>
      </c>
      <c r="BB93" s="277">
        <f t="shared" si="16"/>
        <v>134149.11799999999</v>
      </c>
      <c r="BD93" s="270" t="b">
        <f t="shared" si="17"/>
        <v>1</v>
      </c>
    </row>
    <row r="94" spans="2:57" s="270" customFormat="1" x14ac:dyDescent="0.25">
      <c r="B94" s="263" t="s">
        <v>754</v>
      </c>
      <c r="C94" s="263">
        <v>45</v>
      </c>
      <c r="D94" s="263" t="s">
        <v>843</v>
      </c>
      <c r="E94" s="263" t="s">
        <v>842</v>
      </c>
      <c r="F94" s="263" t="s">
        <v>841</v>
      </c>
      <c r="G94" s="263" t="s">
        <v>840</v>
      </c>
      <c r="H94" s="263" t="s">
        <v>839</v>
      </c>
      <c r="I94" s="263" t="s">
        <v>716</v>
      </c>
      <c r="J94" s="264">
        <v>559121.98</v>
      </c>
      <c r="K94" s="264">
        <v>471865.86</v>
      </c>
      <c r="L94" s="264"/>
      <c r="M94" s="264"/>
      <c r="N94" s="265"/>
      <c r="O94" s="265">
        <v>3.302</v>
      </c>
      <c r="P94" s="265"/>
      <c r="Q94" s="265" t="s">
        <v>702</v>
      </c>
      <c r="R94" s="266">
        <v>29058</v>
      </c>
      <c r="S94" s="266">
        <v>29058</v>
      </c>
      <c r="T94" s="267">
        <f t="shared" si="18"/>
        <v>58116</v>
      </c>
      <c r="U94" s="267">
        <v>58116</v>
      </c>
      <c r="V94" s="267">
        <v>58116</v>
      </c>
      <c r="W94" s="267">
        <v>58116</v>
      </c>
      <c r="X94" s="267">
        <v>58116</v>
      </c>
      <c r="Y94" s="267">
        <v>58116</v>
      </c>
      <c r="Z94" s="267">
        <v>58116</v>
      </c>
      <c r="AA94" s="267">
        <v>58116</v>
      </c>
      <c r="AB94" s="267">
        <v>35995.86</v>
      </c>
      <c r="AC94" s="267">
        <v>0</v>
      </c>
      <c r="AD94" s="267">
        <v>0</v>
      </c>
      <c r="AE94" s="267">
        <v>0</v>
      </c>
      <c r="AF94" s="267">
        <v>0</v>
      </c>
      <c r="AG94" s="267">
        <v>0</v>
      </c>
      <c r="AH94" s="267">
        <v>0</v>
      </c>
      <c r="AI94" s="267">
        <v>0</v>
      </c>
      <c r="AJ94" s="267">
        <v>0</v>
      </c>
      <c r="AK94" s="267">
        <v>0</v>
      </c>
      <c r="AL94" s="267">
        <v>0</v>
      </c>
      <c r="AM94" s="267">
        <v>0</v>
      </c>
      <c r="AN94" s="267">
        <v>0</v>
      </c>
      <c r="AO94" s="267">
        <v>0</v>
      </c>
      <c r="AP94" s="267">
        <v>0</v>
      </c>
      <c r="AQ94" s="267">
        <v>0</v>
      </c>
      <c r="AR94" s="267">
        <v>0</v>
      </c>
      <c r="AS94" s="267">
        <v>0</v>
      </c>
      <c r="AT94" s="267">
        <v>0</v>
      </c>
      <c r="AU94" s="267">
        <v>0</v>
      </c>
      <c r="AV94" s="267">
        <v>0</v>
      </c>
      <c r="AW94" s="267"/>
      <c r="AX94" s="267"/>
      <c r="AY94" s="268">
        <f t="shared" si="13"/>
        <v>500923.86</v>
      </c>
      <c r="AZ94" s="250">
        <f t="shared" si="14"/>
        <v>0</v>
      </c>
      <c r="BA94" s="269">
        <f t="shared" si="15"/>
        <v>94111.86</v>
      </c>
      <c r="BB94" s="268">
        <f t="shared" si="16"/>
        <v>500923.86</v>
      </c>
      <c r="BD94" s="270" t="b">
        <f t="shared" si="17"/>
        <v>1</v>
      </c>
      <c r="BE94" s="271">
        <f>BB94-K94-R94</f>
        <v>0</v>
      </c>
    </row>
    <row r="95" spans="2:57" x14ac:dyDescent="0.25">
      <c r="B95" s="272" t="s">
        <v>754</v>
      </c>
      <c r="C95" s="272"/>
      <c r="D95" s="272"/>
      <c r="E95" s="272"/>
      <c r="F95" s="272"/>
      <c r="G95" s="272"/>
      <c r="H95" s="272"/>
      <c r="I95" s="272"/>
      <c r="J95" s="273"/>
      <c r="K95" s="273"/>
      <c r="L95" s="273" t="s">
        <v>838</v>
      </c>
      <c r="M95" s="273"/>
      <c r="N95" s="274">
        <f>SUM(O95:P95)</f>
        <v>4.4000000000000004</v>
      </c>
      <c r="O95" s="280">
        <v>4.4000000000000004</v>
      </c>
      <c r="P95" s="274">
        <f>$P$4</f>
        <v>0</v>
      </c>
      <c r="Q95" s="274" t="s">
        <v>701</v>
      </c>
      <c r="R95" s="275">
        <v>9717.24</v>
      </c>
      <c r="S95" s="275">
        <v>3967.16</v>
      </c>
      <c r="T95" s="276">
        <f t="shared" si="18"/>
        <v>13684.4</v>
      </c>
      <c r="U95" s="276">
        <f>SUM(U94:$AV94)*$N95/100</f>
        <v>19483.545839999999</v>
      </c>
      <c r="V95" s="276">
        <f>SUM(V94:$AV94)*$N95/100</f>
        <v>16926.44184</v>
      </c>
      <c r="W95" s="276">
        <f>SUM(W94:$AV94)*$N95/100</f>
        <v>14369.33784</v>
      </c>
      <c r="X95" s="276">
        <f>SUM(X94:$AV94)*$N95/100</f>
        <v>11812.233840000001</v>
      </c>
      <c r="Y95" s="276">
        <f>SUM(Y94:$AV94)*$N95/100</f>
        <v>9255.1298400000014</v>
      </c>
      <c r="Z95" s="276">
        <f>SUM(Z94:$AV94)*$N95/100</f>
        <v>6698.0258400000002</v>
      </c>
      <c r="AA95" s="276">
        <f>SUM(AA94:$AV94)*$N95/100</f>
        <v>4140.92184</v>
      </c>
      <c r="AB95" s="276">
        <f>SUM(AB94:$AV94)*$N95/100</f>
        <v>1583.8178400000002</v>
      </c>
      <c r="AC95" s="276">
        <v>0</v>
      </c>
      <c r="AD95" s="276">
        <v>0</v>
      </c>
      <c r="AE95" s="276">
        <v>0</v>
      </c>
      <c r="AF95" s="276">
        <v>0</v>
      </c>
      <c r="AG95" s="276">
        <v>0</v>
      </c>
      <c r="AH95" s="276">
        <v>0</v>
      </c>
      <c r="AI95" s="276">
        <v>0</v>
      </c>
      <c r="AJ95" s="276">
        <v>0</v>
      </c>
      <c r="AK95" s="276">
        <v>0</v>
      </c>
      <c r="AL95" s="276">
        <v>0</v>
      </c>
      <c r="AM95" s="276">
        <v>0</v>
      </c>
      <c r="AN95" s="276">
        <v>0</v>
      </c>
      <c r="AO95" s="276">
        <v>0</v>
      </c>
      <c r="AP95" s="276">
        <v>0</v>
      </c>
      <c r="AQ95" s="276">
        <v>0</v>
      </c>
      <c r="AR95" s="276">
        <v>0</v>
      </c>
      <c r="AS95" s="276">
        <v>0</v>
      </c>
      <c r="AT95" s="276">
        <v>0</v>
      </c>
      <c r="AU95" s="276">
        <v>0</v>
      </c>
      <c r="AV95" s="276">
        <v>0</v>
      </c>
      <c r="AW95" s="276"/>
      <c r="AX95" s="276"/>
      <c r="AY95" s="277">
        <f t="shared" si="13"/>
        <v>97953.854720000018</v>
      </c>
      <c r="AZ95" s="250">
        <f t="shared" si="14"/>
        <v>0</v>
      </c>
      <c r="BA95" s="278">
        <f t="shared" si="15"/>
        <v>5724.7396800000006</v>
      </c>
      <c r="BB95" s="277">
        <f t="shared" si="16"/>
        <v>97953.854720000018</v>
      </c>
      <c r="BD95" s="270" t="b">
        <f t="shared" si="17"/>
        <v>1</v>
      </c>
    </row>
    <row r="96" spans="2:57" s="270" customFormat="1" x14ac:dyDescent="0.25">
      <c r="B96" s="263" t="s">
        <v>756</v>
      </c>
      <c r="C96" s="263">
        <v>46</v>
      </c>
      <c r="D96" s="263" t="s">
        <v>837</v>
      </c>
      <c r="E96" s="263" t="s">
        <v>836</v>
      </c>
      <c r="F96" s="263" t="s">
        <v>835</v>
      </c>
      <c r="G96" s="263" t="s">
        <v>834</v>
      </c>
      <c r="H96" s="263" t="s">
        <v>833</v>
      </c>
      <c r="I96" s="263" t="s">
        <v>716</v>
      </c>
      <c r="J96" s="264">
        <v>247902</v>
      </c>
      <c r="K96" s="264">
        <v>216916</v>
      </c>
      <c r="L96" s="264"/>
      <c r="M96" s="264"/>
      <c r="N96" s="265"/>
      <c r="O96" s="265">
        <v>3.6269999999999998</v>
      </c>
      <c r="P96" s="265"/>
      <c r="Q96" s="265" t="s">
        <v>702</v>
      </c>
      <c r="R96" s="266">
        <v>30988</v>
      </c>
      <c r="S96" s="266">
        <v>30988</v>
      </c>
      <c r="T96" s="267">
        <f t="shared" si="18"/>
        <v>61976</v>
      </c>
      <c r="U96" s="267">
        <v>61976</v>
      </c>
      <c r="V96" s="267">
        <v>61976</v>
      </c>
      <c r="W96" s="267">
        <v>61976</v>
      </c>
      <c r="X96" s="267">
        <v>0</v>
      </c>
      <c r="Y96" s="267">
        <v>0</v>
      </c>
      <c r="Z96" s="267">
        <v>0</v>
      </c>
      <c r="AA96" s="267">
        <v>0</v>
      </c>
      <c r="AB96" s="267">
        <v>0</v>
      </c>
      <c r="AC96" s="267">
        <v>0</v>
      </c>
      <c r="AD96" s="267">
        <v>0</v>
      </c>
      <c r="AE96" s="267">
        <v>0</v>
      </c>
      <c r="AF96" s="267">
        <v>0</v>
      </c>
      <c r="AG96" s="267">
        <v>0</v>
      </c>
      <c r="AH96" s="267">
        <v>0</v>
      </c>
      <c r="AI96" s="267">
        <v>0</v>
      </c>
      <c r="AJ96" s="267">
        <v>0</v>
      </c>
      <c r="AK96" s="267">
        <v>0</v>
      </c>
      <c r="AL96" s="267">
        <v>0</v>
      </c>
      <c r="AM96" s="267">
        <v>0</v>
      </c>
      <c r="AN96" s="267">
        <v>0</v>
      </c>
      <c r="AO96" s="267">
        <v>0</v>
      </c>
      <c r="AP96" s="267">
        <v>0</v>
      </c>
      <c r="AQ96" s="267">
        <v>0</v>
      </c>
      <c r="AR96" s="267">
        <v>0</v>
      </c>
      <c r="AS96" s="267">
        <v>0</v>
      </c>
      <c r="AT96" s="267">
        <v>0</v>
      </c>
      <c r="AU96" s="267">
        <v>0</v>
      </c>
      <c r="AV96" s="267">
        <v>0</v>
      </c>
      <c r="AW96" s="267"/>
      <c r="AX96" s="267"/>
      <c r="AY96" s="268">
        <f t="shared" si="13"/>
        <v>247904</v>
      </c>
      <c r="AZ96" s="250">
        <f t="shared" si="14"/>
        <v>0</v>
      </c>
      <c r="BA96" s="269">
        <f t="shared" si="15"/>
        <v>0</v>
      </c>
      <c r="BB96" s="268">
        <f t="shared" si="16"/>
        <v>247904</v>
      </c>
      <c r="BD96" s="270" t="b">
        <f t="shared" si="17"/>
        <v>1</v>
      </c>
      <c r="BE96" s="271">
        <f>BB96-K96-R96</f>
        <v>0</v>
      </c>
    </row>
    <row r="97" spans="2:57" x14ac:dyDescent="0.25">
      <c r="B97" s="272" t="s">
        <v>756</v>
      </c>
      <c r="C97" s="272"/>
      <c r="D97" s="272"/>
      <c r="E97" s="272"/>
      <c r="F97" s="272"/>
      <c r="G97" s="272"/>
      <c r="H97" s="272"/>
      <c r="I97" s="272"/>
      <c r="J97" s="273"/>
      <c r="K97" s="273"/>
      <c r="L97" s="273" t="s">
        <v>832</v>
      </c>
      <c r="M97" s="273"/>
      <c r="N97" s="274">
        <f>SUM(O97:P97)</f>
        <v>4.0999999999999996</v>
      </c>
      <c r="O97" s="280">
        <v>4.0999999999999996</v>
      </c>
      <c r="P97" s="274">
        <f>$P$4</f>
        <v>0</v>
      </c>
      <c r="Q97" s="274" t="s">
        <v>701</v>
      </c>
      <c r="R97" s="275">
        <v>4671.8600000000006</v>
      </c>
      <c r="S97" s="275">
        <v>1993.43</v>
      </c>
      <c r="T97" s="276">
        <f t="shared" si="18"/>
        <v>6665.2900000000009</v>
      </c>
      <c r="U97" s="276">
        <f>SUM(U96:$AV96)*$N97/100</f>
        <v>7623.0479999999989</v>
      </c>
      <c r="V97" s="276">
        <v>5336.22</v>
      </c>
      <c r="W97" s="276">
        <v>2449.1499999999996</v>
      </c>
      <c r="X97" s="276">
        <v>160.5</v>
      </c>
      <c r="Y97" s="276">
        <v>0</v>
      </c>
      <c r="Z97" s="276">
        <v>0</v>
      </c>
      <c r="AA97" s="276">
        <v>0</v>
      </c>
      <c r="AB97" s="276">
        <v>0</v>
      </c>
      <c r="AC97" s="276">
        <v>0</v>
      </c>
      <c r="AD97" s="276">
        <v>0</v>
      </c>
      <c r="AE97" s="276">
        <v>0</v>
      </c>
      <c r="AF97" s="276">
        <v>0</v>
      </c>
      <c r="AG97" s="276">
        <v>0</v>
      </c>
      <c r="AH97" s="276">
        <v>0</v>
      </c>
      <c r="AI97" s="276">
        <v>0</v>
      </c>
      <c r="AJ97" s="276">
        <v>0</v>
      </c>
      <c r="AK97" s="276">
        <v>0</v>
      </c>
      <c r="AL97" s="276">
        <v>0</v>
      </c>
      <c r="AM97" s="276">
        <v>0</v>
      </c>
      <c r="AN97" s="276">
        <v>0</v>
      </c>
      <c r="AO97" s="276">
        <v>0</v>
      </c>
      <c r="AP97" s="276">
        <v>0</v>
      </c>
      <c r="AQ97" s="276">
        <v>0</v>
      </c>
      <c r="AR97" s="276">
        <v>0</v>
      </c>
      <c r="AS97" s="276">
        <v>0</v>
      </c>
      <c r="AT97" s="276">
        <v>0</v>
      </c>
      <c r="AU97" s="276">
        <v>0</v>
      </c>
      <c r="AV97" s="276">
        <v>0</v>
      </c>
      <c r="AW97" s="276"/>
      <c r="AX97" s="276"/>
      <c r="AY97" s="277">
        <f t="shared" si="13"/>
        <v>22234.207999999999</v>
      </c>
      <c r="AZ97" s="250">
        <f t="shared" si="14"/>
        <v>0</v>
      </c>
      <c r="BA97" s="278">
        <f t="shared" si="15"/>
        <v>0</v>
      </c>
      <c r="BB97" s="277">
        <f t="shared" si="16"/>
        <v>22234.207999999999</v>
      </c>
      <c r="BD97" s="270" t="b">
        <f t="shared" si="17"/>
        <v>1</v>
      </c>
    </row>
    <row r="98" spans="2:57" s="270" customFormat="1" x14ac:dyDescent="0.25">
      <c r="B98" s="263" t="s">
        <v>756</v>
      </c>
      <c r="C98" s="263">
        <v>47</v>
      </c>
      <c r="D98" s="263" t="s">
        <v>752</v>
      </c>
      <c r="E98" s="263" t="s">
        <v>831</v>
      </c>
      <c r="F98" s="263" t="s">
        <v>830</v>
      </c>
      <c r="G98" s="263" t="s">
        <v>825</v>
      </c>
      <c r="H98" s="263" t="s">
        <v>829</v>
      </c>
      <c r="I98" s="263" t="s">
        <v>716</v>
      </c>
      <c r="J98" s="264">
        <v>178121</v>
      </c>
      <c r="K98" s="264">
        <v>99533.52</v>
      </c>
      <c r="L98" s="264"/>
      <c r="M98" s="264"/>
      <c r="N98" s="265"/>
      <c r="O98" s="265"/>
      <c r="P98" s="265"/>
      <c r="Q98" s="265" t="s">
        <v>702</v>
      </c>
      <c r="R98" s="266">
        <f>6250+72338</f>
        <v>78588</v>
      </c>
      <c r="S98" s="266">
        <v>6250</v>
      </c>
      <c r="T98" s="267">
        <f t="shared" si="18"/>
        <v>84838</v>
      </c>
      <c r="U98" s="267">
        <v>12500</v>
      </c>
      <c r="V98" s="267">
        <v>12500</v>
      </c>
      <c r="W98" s="267">
        <v>12500</v>
      </c>
      <c r="X98" s="267">
        <v>12500</v>
      </c>
      <c r="Y98" s="267">
        <v>12500</v>
      </c>
      <c r="Z98" s="267">
        <v>12500</v>
      </c>
      <c r="AA98" s="267">
        <v>12500</v>
      </c>
      <c r="AB98" s="267">
        <v>5783.52</v>
      </c>
      <c r="AC98" s="267">
        <v>0</v>
      </c>
      <c r="AD98" s="267">
        <v>0</v>
      </c>
      <c r="AE98" s="267">
        <v>0</v>
      </c>
      <c r="AF98" s="267">
        <v>0</v>
      </c>
      <c r="AG98" s="267">
        <v>0</v>
      </c>
      <c r="AH98" s="267">
        <v>0</v>
      </c>
      <c r="AI98" s="267">
        <v>0</v>
      </c>
      <c r="AJ98" s="267">
        <v>0</v>
      </c>
      <c r="AK98" s="267">
        <v>0</v>
      </c>
      <c r="AL98" s="267">
        <v>0</v>
      </c>
      <c r="AM98" s="267">
        <v>0</v>
      </c>
      <c r="AN98" s="267">
        <v>0</v>
      </c>
      <c r="AO98" s="267">
        <v>0</v>
      </c>
      <c r="AP98" s="267">
        <v>0</v>
      </c>
      <c r="AQ98" s="267">
        <v>0</v>
      </c>
      <c r="AR98" s="267">
        <v>0</v>
      </c>
      <c r="AS98" s="267">
        <v>0</v>
      </c>
      <c r="AT98" s="267">
        <v>0</v>
      </c>
      <c r="AU98" s="267">
        <v>0</v>
      </c>
      <c r="AV98" s="267">
        <v>0</v>
      </c>
      <c r="AW98" s="267"/>
      <c r="AX98" s="267"/>
      <c r="AY98" s="268">
        <f t="shared" si="13"/>
        <v>178121.52</v>
      </c>
      <c r="AZ98" s="250">
        <f t="shared" si="14"/>
        <v>0</v>
      </c>
      <c r="BA98" s="269">
        <f t="shared" si="15"/>
        <v>18283.52</v>
      </c>
      <c r="BB98" s="268">
        <f t="shared" si="16"/>
        <v>178121.52</v>
      </c>
      <c r="BD98" s="270" t="b">
        <f t="shared" si="17"/>
        <v>1</v>
      </c>
      <c r="BE98" s="271">
        <f>BB98-K98-R98</f>
        <v>0</v>
      </c>
    </row>
    <row r="99" spans="2:57" x14ac:dyDescent="0.25">
      <c r="B99" s="272" t="s">
        <v>756</v>
      </c>
      <c r="C99" s="272"/>
      <c r="D99" s="272"/>
      <c r="E99" s="272"/>
      <c r="F99" s="272"/>
      <c r="G99" s="272"/>
      <c r="H99" s="272"/>
      <c r="I99" s="272"/>
      <c r="J99" s="273"/>
      <c r="K99" s="273"/>
      <c r="L99" s="273" t="s">
        <v>763</v>
      </c>
      <c r="M99" s="273"/>
      <c r="N99" s="274">
        <f>SUM(O99:P99)</f>
        <v>3.9020000000000001</v>
      </c>
      <c r="O99" s="274">
        <v>3.9020000000000001</v>
      </c>
      <c r="P99" s="274">
        <f>$P$4</f>
        <v>0</v>
      </c>
      <c r="Q99" s="274" t="s">
        <v>701</v>
      </c>
      <c r="R99" s="275">
        <v>1807.31</v>
      </c>
      <c r="S99" s="275">
        <v>988.8</v>
      </c>
      <c r="T99" s="276">
        <f t="shared" si="18"/>
        <v>2796.1099999999997</v>
      </c>
      <c r="U99" s="276">
        <f>SUM(U98:$AV98)*$N99/100</f>
        <v>3639.9229504000004</v>
      </c>
      <c r="V99" s="276">
        <f>SUM(V98:$AV98)*$N99/100</f>
        <v>3152.1729504000004</v>
      </c>
      <c r="W99" s="276">
        <f>SUM(W98:$AV98)*$N99/100</f>
        <v>2664.4229504</v>
      </c>
      <c r="X99" s="276">
        <f>SUM(X98:$AV98)*$N99/100</f>
        <v>2176.6729504000004</v>
      </c>
      <c r="Y99" s="276">
        <f>SUM(Y98:$AV98)*$N99/100</f>
        <v>1688.9229504000002</v>
      </c>
      <c r="Z99" s="276">
        <f>SUM(Z98:$AV98)*$N99/100</f>
        <v>1201.1729504000002</v>
      </c>
      <c r="AA99" s="276">
        <f>SUM(AA98:$AV98)*$N99/100</f>
        <v>713.42295039999999</v>
      </c>
      <c r="AB99" s="276">
        <f>SUM(AB98:$AV98)*$N99/100</f>
        <v>225.67295040000002</v>
      </c>
      <c r="AC99" s="276">
        <v>0</v>
      </c>
      <c r="AD99" s="276">
        <v>0</v>
      </c>
      <c r="AE99" s="276">
        <v>0</v>
      </c>
      <c r="AF99" s="276">
        <v>0</v>
      </c>
      <c r="AG99" s="276">
        <v>0</v>
      </c>
      <c r="AH99" s="276">
        <v>0</v>
      </c>
      <c r="AI99" s="276">
        <v>0</v>
      </c>
      <c r="AJ99" s="276">
        <v>0</v>
      </c>
      <c r="AK99" s="276">
        <v>0</v>
      </c>
      <c r="AL99" s="276">
        <v>0</v>
      </c>
      <c r="AM99" s="276">
        <v>0</v>
      </c>
      <c r="AN99" s="276">
        <v>0</v>
      </c>
      <c r="AO99" s="276">
        <v>0</v>
      </c>
      <c r="AP99" s="276">
        <v>0</v>
      </c>
      <c r="AQ99" s="276">
        <v>0</v>
      </c>
      <c r="AR99" s="276">
        <v>0</v>
      </c>
      <c r="AS99" s="276">
        <v>0</v>
      </c>
      <c r="AT99" s="276">
        <v>0</v>
      </c>
      <c r="AU99" s="276">
        <v>0</v>
      </c>
      <c r="AV99" s="276">
        <v>0</v>
      </c>
      <c r="AW99" s="276"/>
      <c r="AX99" s="276"/>
      <c r="AY99" s="277">
        <f t="shared" si="13"/>
        <v>18258.493603199997</v>
      </c>
      <c r="AZ99" s="250">
        <f t="shared" si="14"/>
        <v>0</v>
      </c>
      <c r="BA99" s="278">
        <f t="shared" si="15"/>
        <v>939.09590079999998</v>
      </c>
      <c r="BB99" s="277">
        <f t="shared" si="16"/>
        <v>18258.493603199997</v>
      </c>
      <c r="BD99" s="270" t="b">
        <f t="shared" si="17"/>
        <v>1</v>
      </c>
    </row>
    <row r="100" spans="2:57" s="270" customFormat="1" x14ac:dyDescent="0.25">
      <c r="B100" s="263" t="s">
        <v>756</v>
      </c>
      <c r="C100" s="263">
        <v>48</v>
      </c>
      <c r="D100" s="263" t="s">
        <v>828</v>
      </c>
      <c r="E100" s="263" t="s">
        <v>827</v>
      </c>
      <c r="F100" s="263" t="s">
        <v>826</v>
      </c>
      <c r="G100" s="263" t="s">
        <v>825</v>
      </c>
      <c r="H100" s="263" t="s">
        <v>824</v>
      </c>
      <c r="I100" s="263" t="s">
        <v>716</v>
      </c>
      <c r="J100" s="264">
        <v>48155</v>
      </c>
      <c r="K100" s="264">
        <v>1701.58</v>
      </c>
      <c r="L100" s="264"/>
      <c r="M100" s="264"/>
      <c r="N100" s="265"/>
      <c r="O100" s="265"/>
      <c r="P100" s="265"/>
      <c r="Q100" s="265" t="s">
        <v>702</v>
      </c>
      <c r="R100" s="266">
        <v>3568</v>
      </c>
      <c r="S100" s="266">
        <v>1701.58</v>
      </c>
      <c r="T100" s="267">
        <f t="shared" si="18"/>
        <v>5269.58</v>
      </c>
      <c r="U100" s="267">
        <v>0</v>
      </c>
      <c r="V100" s="267">
        <v>0</v>
      </c>
      <c r="W100" s="267">
        <v>0</v>
      </c>
      <c r="X100" s="267">
        <v>0</v>
      </c>
      <c r="Y100" s="267">
        <v>0</v>
      </c>
      <c r="Z100" s="267">
        <v>0</v>
      </c>
      <c r="AA100" s="267">
        <v>0</v>
      </c>
      <c r="AB100" s="267">
        <v>0</v>
      </c>
      <c r="AC100" s="267">
        <v>0</v>
      </c>
      <c r="AD100" s="267">
        <v>0</v>
      </c>
      <c r="AE100" s="267">
        <v>0</v>
      </c>
      <c r="AF100" s="267">
        <v>0</v>
      </c>
      <c r="AG100" s="267">
        <v>0</v>
      </c>
      <c r="AH100" s="267">
        <v>0</v>
      </c>
      <c r="AI100" s="267">
        <v>0</v>
      </c>
      <c r="AJ100" s="267">
        <v>0</v>
      </c>
      <c r="AK100" s="267">
        <v>0</v>
      </c>
      <c r="AL100" s="267">
        <v>0</v>
      </c>
      <c r="AM100" s="267">
        <v>0</v>
      </c>
      <c r="AN100" s="267">
        <v>0</v>
      </c>
      <c r="AO100" s="267">
        <v>0</v>
      </c>
      <c r="AP100" s="267">
        <v>0</v>
      </c>
      <c r="AQ100" s="267">
        <v>0</v>
      </c>
      <c r="AR100" s="267">
        <v>0</v>
      </c>
      <c r="AS100" s="267">
        <v>0</v>
      </c>
      <c r="AT100" s="267">
        <v>0</v>
      </c>
      <c r="AU100" s="267">
        <v>0</v>
      </c>
      <c r="AV100" s="267">
        <v>0</v>
      </c>
      <c r="AW100" s="267"/>
      <c r="AX100" s="267"/>
      <c r="AY100" s="268">
        <f t="shared" si="13"/>
        <v>5269.58</v>
      </c>
      <c r="AZ100" s="250">
        <f t="shared" si="14"/>
        <v>0</v>
      </c>
      <c r="BA100" s="269">
        <f t="shared" si="15"/>
        <v>0</v>
      </c>
      <c r="BB100" s="268">
        <f t="shared" si="16"/>
        <v>5269.58</v>
      </c>
      <c r="BD100" s="270" t="b">
        <f t="shared" si="17"/>
        <v>1</v>
      </c>
      <c r="BE100" s="271">
        <f>BB100-K100-R100</f>
        <v>0</v>
      </c>
    </row>
    <row r="101" spans="2:57" x14ac:dyDescent="0.25">
      <c r="B101" s="272" t="s">
        <v>756</v>
      </c>
      <c r="C101" s="272"/>
      <c r="D101" s="272"/>
      <c r="E101" s="272"/>
      <c r="F101" s="272"/>
      <c r="G101" s="272"/>
      <c r="H101" s="272"/>
      <c r="I101" s="272"/>
      <c r="J101" s="273"/>
      <c r="K101" s="273"/>
      <c r="L101" s="273" t="s">
        <v>763</v>
      </c>
      <c r="M101" s="273"/>
      <c r="N101" s="274">
        <f>SUM(O101:P101)</f>
        <v>3.7269999999999999</v>
      </c>
      <c r="O101" s="274">
        <v>3.7269999999999999</v>
      </c>
      <c r="P101" s="274">
        <f>$P$4</f>
        <v>0</v>
      </c>
      <c r="Q101" s="274" t="s">
        <v>701</v>
      </c>
      <c r="R101" s="275">
        <v>90.08</v>
      </c>
      <c r="S101" s="275">
        <v>14.27</v>
      </c>
      <c r="T101" s="276">
        <f t="shared" si="18"/>
        <v>104.35</v>
      </c>
      <c r="U101" s="276">
        <v>0</v>
      </c>
      <c r="V101" s="276">
        <v>0</v>
      </c>
      <c r="W101" s="276">
        <v>0</v>
      </c>
      <c r="X101" s="276">
        <v>0</v>
      </c>
      <c r="Y101" s="276">
        <v>0</v>
      </c>
      <c r="Z101" s="276">
        <v>0</v>
      </c>
      <c r="AA101" s="276">
        <v>0</v>
      </c>
      <c r="AB101" s="276">
        <v>0</v>
      </c>
      <c r="AC101" s="276">
        <v>0</v>
      </c>
      <c r="AD101" s="276">
        <v>0</v>
      </c>
      <c r="AE101" s="276">
        <v>0</v>
      </c>
      <c r="AF101" s="276">
        <v>0</v>
      </c>
      <c r="AG101" s="276">
        <v>0</v>
      </c>
      <c r="AH101" s="276">
        <v>0</v>
      </c>
      <c r="AI101" s="276">
        <v>0</v>
      </c>
      <c r="AJ101" s="276">
        <v>0</v>
      </c>
      <c r="AK101" s="276">
        <v>0</v>
      </c>
      <c r="AL101" s="276">
        <v>0</v>
      </c>
      <c r="AM101" s="276">
        <v>0</v>
      </c>
      <c r="AN101" s="276">
        <v>0</v>
      </c>
      <c r="AO101" s="276">
        <v>0</v>
      </c>
      <c r="AP101" s="276">
        <v>0</v>
      </c>
      <c r="AQ101" s="276">
        <v>0</v>
      </c>
      <c r="AR101" s="276">
        <v>0</v>
      </c>
      <c r="AS101" s="276">
        <v>0</v>
      </c>
      <c r="AT101" s="276">
        <v>0</v>
      </c>
      <c r="AU101" s="276">
        <v>0</v>
      </c>
      <c r="AV101" s="276">
        <v>0</v>
      </c>
      <c r="AW101" s="276"/>
      <c r="AX101" s="276"/>
      <c r="AY101" s="277">
        <f t="shared" si="13"/>
        <v>104.35</v>
      </c>
      <c r="AZ101" s="250">
        <f t="shared" si="14"/>
        <v>0</v>
      </c>
      <c r="BA101" s="278">
        <f t="shared" si="15"/>
        <v>0</v>
      </c>
      <c r="BB101" s="277">
        <f t="shared" si="16"/>
        <v>104.35</v>
      </c>
      <c r="BD101" s="270" t="b">
        <f t="shared" si="17"/>
        <v>1</v>
      </c>
    </row>
    <row r="102" spans="2:57" s="270" customFormat="1" x14ac:dyDescent="0.25">
      <c r="B102" s="263" t="s">
        <v>754</v>
      </c>
      <c r="C102" s="263">
        <v>49</v>
      </c>
      <c r="D102" s="263" t="s">
        <v>823</v>
      </c>
      <c r="E102" s="263" t="s">
        <v>822</v>
      </c>
      <c r="F102" s="263" t="s">
        <v>821</v>
      </c>
      <c r="G102" s="263" t="s">
        <v>820</v>
      </c>
      <c r="H102" s="263" t="s">
        <v>819</v>
      </c>
      <c r="I102" s="263" t="s">
        <v>716</v>
      </c>
      <c r="J102" s="264">
        <v>1230506</v>
      </c>
      <c r="K102" s="264">
        <v>873506.23</v>
      </c>
      <c r="L102" s="264"/>
      <c r="M102" s="264"/>
      <c r="N102" s="265"/>
      <c r="O102" s="265"/>
      <c r="P102" s="265"/>
      <c r="Q102" s="265" t="s">
        <v>702</v>
      </c>
      <c r="R102" s="266">
        <v>21578</v>
      </c>
      <c r="S102" s="266">
        <v>43176</v>
      </c>
      <c r="T102" s="267">
        <f t="shared" si="18"/>
        <v>64754</v>
      </c>
      <c r="U102" s="267">
        <v>86352</v>
      </c>
      <c r="V102" s="267">
        <v>86352</v>
      </c>
      <c r="W102" s="267">
        <v>86352</v>
      </c>
      <c r="X102" s="267">
        <v>86352</v>
      </c>
      <c r="Y102" s="267">
        <v>86352</v>
      </c>
      <c r="Z102" s="267">
        <v>86352</v>
      </c>
      <c r="AA102" s="267">
        <v>86352</v>
      </c>
      <c r="AB102" s="267">
        <v>86352</v>
      </c>
      <c r="AC102" s="267">
        <v>86352</v>
      </c>
      <c r="AD102" s="267">
        <v>53162.229999999996</v>
      </c>
      <c r="AE102" s="267">
        <v>0</v>
      </c>
      <c r="AF102" s="267">
        <v>0</v>
      </c>
      <c r="AG102" s="267">
        <v>0</v>
      </c>
      <c r="AH102" s="267">
        <v>0</v>
      </c>
      <c r="AI102" s="267">
        <v>0</v>
      </c>
      <c r="AJ102" s="267">
        <v>0</v>
      </c>
      <c r="AK102" s="267">
        <v>0</v>
      </c>
      <c r="AL102" s="267">
        <v>0</v>
      </c>
      <c r="AM102" s="267">
        <v>0</v>
      </c>
      <c r="AN102" s="267">
        <v>0</v>
      </c>
      <c r="AO102" s="267">
        <v>0</v>
      </c>
      <c r="AP102" s="267">
        <v>0</v>
      </c>
      <c r="AQ102" s="267">
        <v>0</v>
      </c>
      <c r="AR102" s="267">
        <v>0</v>
      </c>
      <c r="AS102" s="267">
        <v>0</v>
      </c>
      <c r="AT102" s="267">
        <v>0</v>
      </c>
      <c r="AU102" s="267">
        <v>0</v>
      </c>
      <c r="AV102" s="267">
        <v>0</v>
      </c>
      <c r="AW102" s="267"/>
      <c r="AX102" s="267"/>
      <c r="AY102" s="268">
        <f t="shared" ref="AY102:AY133" si="19">SUM(T102:AX102)</f>
        <v>895084.23</v>
      </c>
      <c r="AZ102" s="250">
        <f t="shared" ref="AZ102:AZ133" si="20">AY102-SUM(T102:AX102)</f>
        <v>0</v>
      </c>
      <c r="BA102" s="269">
        <f t="shared" ref="BA102:BA133" si="21">SUM(AA102:AX102)</f>
        <v>312218.23</v>
      </c>
      <c r="BB102" s="268">
        <f t="shared" ref="BB102:BB133" si="22">SUM(T102:Z102,BA102)</f>
        <v>895084.23</v>
      </c>
      <c r="BD102" s="270" t="b">
        <f t="shared" ref="BD102:BD133" si="23">AY102=BB102</f>
        <v>1</v>
      </c>
      <c r="BE102" s="271">
        <f>BB102-K102-R102</f>
        <v>0</v>
      </c>
    </row>
    <row r="103" spans="2:57" x14ac:dyDescent="0.25">
      <c r="B103" s="272" t="s">
        <v>754</v>
      </c>
      <c r="C103" s="272"/>
      <c r="D103" s="272"/>
      <c r="E103" s="272"/>
      <c r="F103" s="272"/>
      <c r="G103" s="272"/>
      <c r="H103" s="272"/>
      <c r="I103" s="272"/>
      <c r="J103" s="273"/>
      <c r="K103" s="273"/>
      <c r="L103" s="273" t="s">
        <v>818</v>
      </c>
      <c r="M103" s="273"/>
      <c r="N103" s="274">
        <f>SUM(O103:P103)</f>
        <v>5.0529999999999999</v>
      </c>
      <c r="O103" s="274">
        <v>5.0529999999999999</v>
      </c>
      <c r="P103" s="274">
        <f>$P$4</f>
        <v>0</v>
      </c>
      <c r="Q103" s="274" t="s">
        <v>701</v>
      </c>
      <c r="R103" s="275">
        <v>11211.34</v>
      </c>
      <c r="S103" s="275">
        <v>11246.45</v>
      </c>
      <c r="T103" s="276">
        <f t="shared" si="18"/>
        <v>22457.79</v>
      </c>
      <c r="U103" s="276">
        <f>SUM(U102:$AV102)*$N103/100</f>
        <v>41956.586521899997</v>
      </c>
      <c r="V103" s="276">
        <f>SUM(V102:$AV102)*$N103/100</f>
        <v>37593.219961900002</v>
      </c>
      <c r="W103" s="276">
        <f>SUM(W102:$AV102)*$N103/100</f>
        <v>33229.8534019</v>
      </c>
      <c r="X103" s="276">
        <f>SUM(X102:$AV102)*$N103/100</f>
        <v>28866.486841899998</v>
      </c>
      <c r="Y103" s="276">
        <f>SUM(Y102:$AV102)*$N103/100</f>
        <v>24503.120281899999</v>
      </c>
      <c r="Z103" s="276">
        <f>SUM(Z102:$AV102)*$N103/100</f>
        <v>20139.753721899997</v>
      </c>
      <c r="AA103" s="276">
        <f>SUM(AA102:$AV102)*$N103/100</f>
        <v>15776.387161899998</v>
      </c>
      <c r="AB103" s="276">
        <f>SUM(AB102:$AV102)*$N103/100</f>
        <v>11413.020601899998</v>
      </c>
      <c r="AC103" s="276">
        <f>SUM(AC102:$AV102)*$N103/100</f>
        <v>7049.6540418999994</v>
      </c>
      <c r="AD103" s="276">
        <f>SUM(AD102:$AV102)*$N103/100</f>
        <v>2686.2874818999994</v>
      </c>
      <c r="AE103" s="276">
        <v>0</v>
      </c>
      <c r="AF103" s="276">
        <v>0</v>
      </c>
      <c r="AG103" s="276">
        <v>0</v>
      </c>
      <c r="AH103" s="276">
        <v>0</v>
      </c>
      <c r="AI103" s="276">
        <v>0</v>
      </c>
      <c r="AJ103" s="276">
        <v>0</v>
      </c>
      <c r="AK103" s="276">
        <v>0</v>
      </c>
      <c r="AL103" s="276">
        <v>0</v>
      </c>
      <c r="AM103" s="276">
        <v>0</v>
      </c>
      <c r="AN103" s="276">
        <v>0</v>
      </c>
      <c r="AO103" s="276">
        <v>0</v>
      </c>
      <c r="AP103" s="276">
        <v>0</v>
      </c>
      <c r="AQ103" s="276">
        <v>0</v>
      </c>
      <c r="AR103" s="276">
        <v>0</v>
      </c>
      <c r="AS103" s="276">
        <v>0</v>
      </c>
      <c r="AT103" s="276">
        <v>0</v>
      </c>
      <c r="AU103" s="276">
        <v>0</v>
      </c>
      <c r="AV103" s="276">
        <v>0</v>
      </c>
      <c r="AW103" s="276"/>
      <c r="AX103" s="276"/>
      <c r="AY103" s="277">
        <f t="shared" si="19"/>
        <v>245672.160019</v>
      </c>
      <c r="AZ103" s="250">
        <f t="shared" si="20"/>
        <v>0</v>
      </c>
      <c r="BA103" s="278">
        <f t="shared" si="21"/>
        <v>36925.349287599995</v>
      </c>
      <c r="BB103" s="277">
        <f t="shared" si="22"/>
        <v>245672.16001899997</v>
      </c>
      <c r="BD103" s="270" t="b">
        <f t="shared" si="23"/>
        <v>1</v>
      </c>
    </row>
    <row r="104" spans="2:57" s="270" customFormat="1" x14ac:dyDescent="0.25">
      <c r="B104" s="263" t="s">
        <v>754</v>
      </c>
      <c r="C104" s="263">
        <v>50</v>
      </c>
      <c r="D104" s="263" t="s">
        <v>817</v>
      </c>
      <c r="E104" s="263" t="s">
        <v>816</v>
      </c>
      <c r="F104" s="263" t="s">
        <v>815</v>
      </c>
      <c r="G104" s="263" t="s">
        <v>814</v>
      </c>
      <c r="H104" s="263" t="s">
        <v>813</v>
      </c>
      <c r="I104" s="263" t="s">
        <v>716</v>
      </c>
      <c r="J104" s="264">
        <v>156436.10999999999</v>
      </c>
      <c r="K104" s="264">
        <v>137903.10999999999</v>
      </c>
      <c r="L104" s="264"/>
      <c r="M104" s="264"/>
      <c r="N104" s="265"/>
      <c r="O104" s="265"/>
      <c r="P104" s="265"/>
      <c r="Q104" s="265" t="s">
        <v>702</v>
      </c>
      <c r="R104" s="266">
        <v>18533</v>
      </c>
      <c r="S104" s="266">
        <v>18538</v>
      </c>
      <c r="T104" s="267">
        <f t="shared" si="18"/>
        <v>37071</v>
      </c>
      <c r="U104" s="267">
        <v>37076</v>
      </c>
      <c r="V104" s="267">
        <v>37076</v>
      </c>
      <c r="W104" s="267">
        <v>37076</v>
      </c>
      <c r="X104" s="267">
        <v>8137.11</v>
      </c>
      <c r="Y104" s="267">
        <v>0</v>
      </c>
      <c r="Z104" s="267">
        <v>0</v>
      </c>
      <c r="AA104" s="267">
        <v>0</v>
      </c>
      <c r="AB104" s="267">
        <v>0</v>
      </c>
      <c r="AC104" s="267">
        <v>0</v>
      </c>
      <c r="AD104" s="267">
        <v>0</v>
      </c>
      <c r="AE104" s="267">
        <v>0</v>
      </c>
      <c r="AF104" s="267">
        <v>0</v>
      </c>
      <c r="AG104" s="267">
        <v>0</v>
      </c>
      <c r="AH104" s="267">
        <v>0</v>
      </c>
      <c r="AI104" s="267">
        <v>0</v>
      </c>
      <c r="AJ104" s="267">
        <v>0</v>
      </c>
      <c r="AK104" s="267">
        <v>0</v>
      </c>
      <c r="AL104" s="267">
        <v>0</v>
      </c>
      <c r="AM104" s="267">
        <v>0</v>
      </c>
      <c r="AN104" s="267">
        <v>0</v>
      </c>
      <c r="AO104" s="267">
        <v>0</v>
      </c>
      <c r="AP104" s="267">
        <v>0</v>
      </c>
      <c r="AQ104" s="267">
        <v>0</v>
      </c>
      <c r="AR104" s="267">
        <v>0</v>
      </c>
      <c r="AS104" s="267">
        <v>0</v>
      </c>
      <c r="AT104" s="267">
        <v>0</v>
      </c>
      <c r="AU104" s="267">
        <v>0</v>
      </c>
      <c r="AV104" s="267">
        <v>0</v>
      </c>
      <c r="AW104" s="267"/>
      <c r="AX104" s="267"/>
      <c r="AY104" s="268">
        <f t="shared" si="19"/>
        <v>156436.10999999999</v>
      </c>
      <c r="AZ104" s="250">
        <f t="shared" si="20"/>
        <v>0</v>
      </c>
      <c r="BA104" s="269">
        <f t="shared" si="21"/>
        <v>0</v>
      </c>
      <c r="BB104" s="268">
        <f t="shared" si="22"/>
        <v>156436.10999999999</v>
      </c>
      <c r="BD104" s="270" t="b">
        <f t="shared" si="23"/>
        <v>1</v>
      </c>
      <c r="BE104" s="271">
        <f>BB104-K104-R104</f>
        <v>0</v>
      </c>
    </row>
    <row r="105" spans="2:57" x14ac:dyDescent="0.25">
      <c r="B105" s="272" t="s">
        <v>754</v>
      </c>
      <c r="C105" s="272"/>
      <c r="D105" s="272"/>
      <c r="E105" s="272"/>
      <c r="F105" s="272"/>
      <c r="G105" s="272"/>
      <c r="H105" s="272"/>
      <c r="I105" s="272"/>
      <c r="J105" s="273"/>
      <c r="K105" s="273"/>
      <c r="L105" s="273" t="s">
        <v>812</v>
      </c>
      <c r="M105" s="273"/>
      <c r="N105" s="274">
        <f>SUM(O105:P105)</f>
        <v>5.0449999999999999</v>
      </c>
      <c r="O105" s="274">
        <v>5.0449999999999999</v>
      </c>
      <c r="P105" s="274">
        <f>$P$4</f>
        <v>0</v>
      </c>
      <c r="Q105" s="274" t="s">
        <v>701</v>
      </c>
      <c r="R105" s="275">
        <v>1897.61</v>
      </c>
      <c r="S105" s="275">
        <v>1727.08</v>
      </c>
      <c r="T105" s="276">
        <f t="shared" si="18"/>
        <v>3624.6899999999996</v>
      </c>
      <c r="U105" s="276">
        <f>SUM(U104:$AV104)*$N105/100</f>
        <v>6021.9697994999997</v>
      </c>
      <c r="V105" s="276">
        <f>SUM(V104:$AV104)*$N105/100</f>
        <v>4151.4855994999998</v>
      </c>
      <c r="W105" s="276">
        <f>SUM(W104:$AV104)*$N105/100</f>
        <v>2281.0013994999999</v>
      </c>
      <c r="X105" s="276">
        <f>SUM(X104:$AV104)*$N105/100</f>
        <v>410.5171995</v>
      </c>
      <c r="Y105" s="276">
        <v>0</v>
      </c>
      <c r="Z105" s="276">
        <v>0</v>
      </c>
      <c r="AA105" s="276">
        <v>0</v>
      </c>
      <c r="AB105" s="276">
        <v>0</v>
      </c>
      <c r="AC105" s="276">
        <v>0</v>
      </c>
      <c r="AD105" s="276">
        <v>0</v>
      </c>
      <c r="AE105" s="276">
        <v>0</v>
      </c>
      <c r="AF105" s="276">
        <v>0</v>
      </c>
      <c r="AG105" s="276">
        <v>0</v>
      </c>
      <c r="AH105" s="276">
        <v>0</v>
      </c>
      <c r="AI105" s="276">
        <v>0</v>
      </c>
      <c r="AJ105" s="276">
        <v>0</v>
      </c>
      <c r="AK105" s="276">
        <v>0</v>
      </c>
      <c r="AL105" s="276">
        <v>0</v>
      </c>
      <c r="AM105" s="276">
        <v>0</v>
      </c>
      <c r="AN105" s="276">
        <v>0</v>
      </c>
      <c r="AO105" s="276">
        <v>0</v>
      </c>
      <c r="AP105" s="276">
        <v>0</v>
      </c>
      <c r="AQ105" s="276">
        <v>0</v>
      </c>
      <c r="AR105" s="276">
        <v>0</v>
      </c>
      <c r="AS105" s="276">
        <v>0</v>
      </c>
      <c r="AT105" s="276">
        <v>0</v>
      </c>
      <c r="AU105" s="276">
        <v>0</v>
      </c>
      <c r="AV105" s="276">
        <v>0</v>
      </c>
      <c r="AW105" s="276"/>
      <c r="AX105" s="276"/>
      <c r="AY105" s="277">
        <f t="shared" si="19"/>
        <v>16489.663997999996</v>
      </c>
      <c r="AZ105" s="250">
        <f t="shared" si="20"/>
        <v>0</v>
      </c>
      <c r="BA105" s="278">
        <f t="shared" si="21"/>
        <v>0</v>
      </c>
      <c r="BB105" s="277">
        <f t="shared" si="22"/>
        <v>16489.663997999996</v>
      </c>
      <c r="BD105" s="270" t="b">
        <f t="shared" si="23"/>
        <v>1</v>
      </c>
    </row>
    <row r="106" spans="2:57" s="270" customFormat="1" x14ac:dyDescent="0.25">
      <c r="B106" s="263" t="s">
        <v>754</v>
      </c>
      <c r="C106" s="263">
        <v>51</v>
      </c>
      <c r="D106" s="263" t="s">
        <v>811</v>
      </c>
      <c r="E106" s="263" t="s">
        <v>810</v>
      </c>
      <c r="F106" s="263" t="s">
        <v>809</v>
      </c>
      <c r="G106" s="263" t="s">
        <v>808</v>
      </c>
      <c r="H106" s="263" t="s">
        <v>807</v>
      </c>
      <c r="I106" s="263" t="s">
        <v>716</v>
      </c>
      <c r="J106" s="264">
        <v>90861.19</v>
      </c>
      <c r="K106" s="264">
        <v>80676.19</v>
      </c>
      <c r="L106" s="264"/>
      <c r="M106" s="264"/>
      <c r="N106" s="265"/>
      <c r="O106" s="265">
        <v>2.1520000000000001</v>
      </c>
      <c r="P106" s="265"/>
      <c r="Q106" s="265" t="s">
        <v>702</v>
      </c>
      <c r="R106" s="266">
        <v>10185</v>
      </c>
      <c r="S106" s="266">
        <v>10190</v>
      </c>
      <c r="T106" s="267">
        <f t="shared" si="18"/>
        <v>20375</v>
      </c>
      <c r="U106" s="267">
        <v>20380</v>
      </c>
      <c r="V106" s="267">
        <v>20380</v>
      </c>
      <c r="W106" s="267">
        <v>20380</v>
      </c>
      <c r="X106" s="267">
        <v>9346.1899999999987</v>
      </c>
      <c r="Y106" s="267">
        <v>0</v>
      </c>
      <c r="Z106" s="267">
        <v>0</v>
      </c>
      <c r="AA106" s="267">
        <v>0</v>
      </c>
      <c r="AB106" s="267">
        <v>0</v>
      </c>
      <c r="AC106" s="267">
        <v>0</v>
      </c>
      <c r="AD106" s="267">
        <v>0</v>
      </c>
      <c r="AE106" s="267">
        <v>0</v>
      </c>
      <c r="AF106" s="267">
        <v>0</v>
      </c>
      <c r="AG106" s="267">
        <v>0</v>
      </c>
      <c r="AH106" s="267">
        <v>0</v>
      </c>
      <c r="AI106" s="267">
        <v>0</v>
      </c>
      <c r="AJ106" s="267">
        <v>0</v>
      </c>
      <c r="AK106" s="267">
        <v>0</v>
      </c>
      <c r="AL106" s="267">
        <v>0</v>
      </c>
      <c r="AM106" s="267">
        <v>0</v>
      </c>
      <c r="AN106" s="267">
        <v>0</v>
      </c>
      <c r="AO106" s="267">
        <v>0</v>
      </c>
      <c r="AP106" s="267">
        <v>0</v>
      </c>
      <c r="AQ106" s="267">
        <v>0</v>
      </c>
      <c r="AR106" s="267">
        <v>0</v>
      </c>
      <c r="AS106" s="267">
        <v>0</v>
      </c>
      <c r="AT106" s="267">
        <v>0</v>
      </c>
      <c r="AU106" s="267">
        <v>0</v>
      </c>
      <c r="AV106" s="267">
        <v>0</v>
      </c>
      <c r="AW106" s="267"/>
      <c r="AX106" s="267"/>
      <c r="AY106" s="268">
        <f t="shared" si="19"/>
        <v>90861.19</v>
      </c>
      <c r="AZ106" s="250">
        <f t="shared" si="20"/>
        <v>0</v>
      </c>
      <c r="BA106" s="269">
        <f t="shared" si="21"/>
        <v>0</v>
      </c>
      <c r="BB106" s="268">
        <f t="shared" si="22"/>
        <v>90861.19</v>
      </c>
      <c r="BD106" s="270" t="b">
        <f t="shared" si="23"/>
        <v>1</v>
      </c>
      <c r="BE106" s="271">
        <f>BB106-K106-R106</f>
        <v>0</v>
      </c>
    </row>
    <row r="107" spans="2:57" x14ac:dyDescent="0.25">
      <c r="B107" s="272" t="s">
        <v>754</v>
      </c>
      <c r="C107" s="272"/>
      <c r="D107" s="272"/>
      <c r="E107" s="272"/>
      <c r="F107" s="272"/>
      <c r="G107" s="272"/>
      <c r="H107" s="272"/>
      <c r="I107" s="272"/>
      <c r="J107" s="273"/>
      <c r="K107" s="273"/>
      <c r="L107" s="273" t="s">
        <v>806</v>
      </c>
      <c r="M107" s="273"/>
      <c r="N107" s="274">
        <f>SUM(O107:P107)</f>
        <v>5.2210000000000001</v>
      </c>
      <c r="O107" s="280">
        <v>5.2210000000000001</v>
      </c>
      <c r="P107" s="274">
        <f>$P$4</f>
        <v>0</v>
      </c>
      <c r="Q107" s="274" t="s">
        <v>701</v>
      </c>
      <c r="R107" s="275">
        <v>1431.26</v>
      </c>
      <c r="S107" s="275">
        <v>937.63</v>
      </c>
      <c r="T107" s="276">
        <f t="shared" si="18"/>
        <v>2368.89</v>
      </c>
      <c r="U107" s="276">
        <f>SUM(U106:$AV106)*$N107/100</f>
        <v>3680.0839799000005</v>
      </c>
      <c r="V107" s="276">
        <f>SUM(V106:$AV106)*$N107/100</f>
        <v>2616.0441799</v>
      </c>
      <c r="W107" s="276">
        <f>SUM(W106:$AV106)*$N107/100</f>
        <v>1552.0043799</v>
      </c>
      <c r="X107" s="276">
        <f>SUM(X106:$AV106)*$N107/100</f>
        <v>487.96457989999993</v>
      </c>
      <c r="Y107" s="276">
        <v>0</v>
      </c>
      <c r="Z107" s="276">
        <v>0</v>
      </c>
      <c r="AA107" s="276">
        <v>0</v>
      </c>
      <c r="AB107" s="276">
        <v>0</v>
      </c>
      <c r="AC107" s="276">
        <v>0</v>
      </c>
      <c r="AD107" s="276">
        <v>0</v>
      </c>
      <c r="AE107" s="276">
        <v>0</v>
      </c>
      <c r="AF107" s="276">
        <v>0</v>
      </c>
      <c r="AG107" s="276">
        <v>0</v>
      </c>
      <c r="AH107" s="276">
        <v>0</v>
      </c>
      <c r="AI107" s="276">
        <v>0</v>
      </c>
      <c r="AJ107" s="276">
        <v>0</v>
      </c>
      <c r="AK107" s="276">
        <v>0</v>
      </c>
      <c r="AL107" s="276">
        <v>0</v>
      </c>
      <c r="AM107" s="276">
        <v>0</v>
      </c>
      <c r="AN107" s="276">
        <v>0</v>
      </c>
      <c r="AO107" s="276">
        <v>0</v>
      </c>
      <c r="AP107" s="276">
        <v>0</v>
      </c>
      <c r="AQ107" s="276">
        <v>0</v>
      </c>
      <c r="AR107" s="276">
        <v>0</v>
      </c>
      <c r="AS107" s="276">
        <v>0</v>
      </c>
      <c r="AT107" s="276">
        <v>0</v>
      </c>
      <c r="AU107" s="276">
        <v>0</v>
      </c>
      <c r="AV107" s="276">
        <v>0</v>
      </c>
      <c r="AW107" s="276"/>
      <c r="AX107" s="276"/>
      <c r="AY107" s="277">
        <f t="shared" si="19"/>
        <v>10704.987119599999</v>
      </c>
      <c r="AZ107" s="250">
        <f t="shared" si="20"/>
        <v>0</v>
      </c>
      <c r="BA107" s="278">
        <f t="shared" si="21"/>
        <v>0</v>
      </c>
      <c r="BB107" s="277">
        <f t="shared" si="22"/>
        <v>10704.987119599999</v>
      </c>
      <c r="BD107" s="270" t="b">
        <f t="shared" si="23"/>
        <v>1</v>
      </c>
    </row>
    <row r="108" spans="2:57" s="270" customFormat="1" x14ac:dyDescent="0.25">
      <c r="B108" s="263" t="s">
        <v>754</v>
      </c>
      <c r="C108" s="263">
        <v>52</v>
      </c>
      <c r="D108" s="263" t="s">
        <v>805</v>
      </c>
      <c r="E108" s="263" t="s">
        <v>804</v>
      </c>
      <c r="F108" s="263" t="s">
        <v>803</v>
      </c>
      <c r="G108" s="263" t="s">
        <v>802</v>
      </c>
      <c r="H108" s="263" t="s">
        <v>801</v>
      </c>
      <c r="I108" s="263" t="s">
        <v>716</v>
      </c>
      <c r="J108" s="264">
        <v>496340</v>
      </c>
      <c r="K108" s="264">
        <v>491872</v>
      </c>
      <c r="L108" s="264"/>
      <c r="M108" s="264"/>
      <c r="N108" s="265"/>
      <c r="O108" s="265"/>
      <c r="P108" s="265"/>
      <c r="Q108" s="265" t="s">
        <v>702</v>
      </c>
      <c r="R108" s="266">
        <v>4468</v>
      </c>
      <c r="S108" s="266">
        <v>22347</v>
      </c>
      <c r="T108" s="267">
        <f t="shared" si="18"/>
        <v>26815</v>
      </c>
      <c r="U108" s="267">
        <v>53660</v>
      </c>
      <c r="V108" s="267">
        <v>53660</v>
      </c>
      <c r="W108" s="267">
        <v>53660</v>
      </c>
      <c r="X108" s="267">
        <v>53660</v>
      </c>
      <c r="Y108" s="267">
        <v>53660</v>
      </c>
      <c r="Z108" s="267">
        <v>53660</v>
      </c>
      <c r="AA108" s="267">
        <v>53660</v>
      </c>
      <c r="AB108" s="267">
        <v>53660</v>
      </c>
      <c r="AC108" s="267">
        <v>40245</v>
      </c>
      <c r="AD108" s="267">
        <v>0</v>
      </c>
      <c r="AE108" s="267">
        <v>0</v>
      </c>
      <c r="AF108" s="267">
        <v>0</v>
      </c>
      <c r="AG108" s="267">
        <v>0</v>
      </c>
      <c r="AH108" s="267">
        <v>0</v>
      </c>
      <c r="AI108" s="267">
        <v>0</v>
      </c>
      <c r="AJ108" s="267">
        <v>0</v>
      </c>
      <c r="AK108" s="267">
        <v>0</v>
      </c>
      <c r="AL108" s="267">
        <v>0</v>
      </c>
      <c r="AM108" s="267">
        <v>0</v>
      </c>
      <c r="AN108" s="267">
        <v>0</v>
      </c>
      <c r="AO108" s="267">
        <v>0</v>
      </c>
      <c r="AP108" s="267">
        <v>0</v>
      </c>
      <c r="AQ108" s="267">
        <v>0</v>
      </c>
      <c r="AR108" s="267">
        <v>0</v>
      </c>
      <c r="AS108" s="267">
        <v>0</v>
      </c>
      <c r="AT108" s="267">
        <v>0</v>
      </c>
      <c r="AU108" s="267">
        <v>0</v>
      </c>
      <c r="AV108" s="267">
        <v>0</v>
      </c>
      <c r="AW108" s="267"/>
      <c r="AX108" s="267"/>
      <c r="AY108" s="268">
        <f t="shared" si="19"/>
        <v>496340</v>
      </c>
      <c r="AZ108" s="250">
        <f t="shared" si="20"/>
        <v>0</v>
      </c>
      <c r="BA108" s="269">
        <f t="shared" si="21"/>
        <v>147565</v>
      </c>
      <c r="BB108" s="268">
        <f t="shared" si="22"/>
        <v>496340</v>
      </c>
      <c r="BD108" s="270" t="b">
        <f t="shared" si="23"/>
        <v>1</v>
      </c>
      <c r="BE108" s="271">
        <f>BB108-K108-R108</f>
        <v>0</v>
      </c>
    </row>
    <row r="109" spans="2:57" x14ac:dyDescent="0.25">
      <c r="B109" s="272" t="s">
        <v>754</v>
      </c>
      <c r="C109" s="272"/>
      <c r="D109" s="272"/>
      <c r="E109" s="272"/>
      <c r="F109" s="272"/>
      <c r="G109" s="272"/>
      <c r="H109" s="272"/>
      <c r="I109" s="272"/>
      <c r="J109" s="273"/>
      <c r="K109" s="273"/>
      <c r="L109" s="273" t="s">
        <v>800</v>
      </c>
      <c r="M109" s="273"/>
      <c r="N109" s="274">
        <f>SUM(O109:P109)</f>
        <v>5.5309999999999997</v>
      </c>
      <c r="O109" s="274">
        <v>5.5309999999999997</v>
      </c>
      <c r="P109" s="274">
        <f>$P$4</f>
        <v>0</v>
      </c>
      <c r="Q109" s="274" t="s">
        <v>701</v>
      </c>
      <c r="R109" s="275">
        <v>8391.08</v>
      </c>
      <c r="S109" s="275">
        <v>5533.52</v>
      </c>
      <c r="T109" s="276">
        <f t="shared" si="18"/>
        <v>13924.6</v>
      </c>
      <c r="U109" s="276">
        <f>SUM(U108:$AV108)*$N109/100</f>
        <v>25969.427749999999</v>
      </c>
      <c r="V109" s="276">
        <f>SUM(V108:$AV108)*$N109/100</f>
        <v>23001.493149999998</v>
      </c>
      <c r="W109" s="276">
        <f>SUM(W108:$AV108)*$N109/100</f>
        <v>20033.558550000002</v>
      </c>
      <c r="X109" s="276">
        <f>SUM(X108:$AV108)*$N109/100</f>
        <v>17065.623950000001</v>
      </c>
      <c r="Y109" s="276">
        <f>SUM(Y108:$AV108)*$N109/100</f>
        <v>14097.689349999999</v>
      </c>
      <c r="Z109" s="276">
        <f>SUM(Z108:$AV108)*$N109/100</f>
        <v>11129.754749999998</v>
      </c>
      <c r="AA109" s="276">
        <f>SUM(AA108:$AV108)*$N109/100</f>
        <v>8161.8201499999986</v>
      </c>
      <c r="AB109" s="276">
        <f>SUM(AB108:$AV108)*$N109/100</f>
        <v>5193.88555</v>
      </c>
      <c r="AC109" s="276">
        <f>SUM(AC108:$AV108)*$N109/100</f>
        <v>2225.9509499999999</v>
      </c>
      <c r="AD109" s="276">
        <v>0</v>
      </c>
      <c r="AE109" s="276">
        <v>0</v>
      </c>
      <c r="AF109" s="276">
        <v>0</v>
      </c>
      <c r="AG109" s="276">
        <v>0</v>
      </c>
      <c r="AH109" s="276">
        <v>0</v>
      </c>
      <c r="AI109" s="276">
        <v>0</v>
      </c>
      <c r="AJ109" s="276">
        <v>0</v>
      </c>
      <c r="AK109" s="276">
        <v>0</v>
      </c>
      <c r="AL109" s="276">
        <v>0</v>
      </c>
      <c r="AM109" s="276">
        <v>0</v>
      </c>
      <c r="AN109" s="276">
        <v>0</v>
      </c>
      <c r="AO109" s="276">
        <v>0</v>
      </c>
      <c r="AP109" s="276">
        <v>0</v>
      </c>
      <c r="AQ109" s="276">
        <v>0</v>
      </c>
      <c r="AR109" s="276">
        <v>0</v>
      </c>
      <c r="AS109" s="276">
        <v>0</v>
      </c>
      <c r="AT109" s="276">
        <v>0</v>
      </c>
      <c r="AU109" s="276">
        <v>0</v>
      </c>
      <c r="AV109" s="276">
        <v>0</v>
      </c>
      <c r="AW109" s="276"/>
      <c r="AX109" s="276"/>
      <c r="AY109" s="277">
        <f t="shared" si="19"/>
        <v>140803.80414999998</v>
      </c>
      <c r="AZ109" s="250">
        <f t="shared" si="20"/>
        <v>0</v>
      </c>
      <c r="BA109" s="278">
        <f t="shared" si="21"/>
        <v>15581.656649999999</v>
      </c>
      <c r="BB109" s="277">
        <f t="shared" si="22"/>
        <v>140803.80414999998</v>
      </c>
      <c r="BD109" s="270" t="b">
        <f t="shared" si="23"/>
        <v>1</v>
      </c>
    </row>
    <row r="110" spans="2:57" s="270" customFormat="1" x14ac:dyDescent="0.25">
      <c r="B110" s="263" t="s">
        <v>756</v>
      </c>
      <c r="C110" s="263">
        <v>53</v>
      </c>
      <c r="D110" s="263" t="s">
        <v>799</v>
      </c>
      <c r="E110" s="263" t="s">
        <v>798</v>
      </c>
      <c r="F110" s="263" t="s">
        <v>797</v>
      </c>
      <c r="G110" s="263" t="s">
        <v>796</v>
      </c>
      <c r="H110" s="263" t="s">
        <v>795</v>
      </c>
      <c r="I110" s="263" t="s">
        <v>716</v>
      </c>
      <c r="J110" s="264">
        <v>6469</v>
      </c>
      <c r="K110" s="264">
        <v>5800</v>
      </c>
      <c r="L110" s="264"/>
      <c r="M110" s="264"/>
      <c r="N110" s="265"/>
      <c r="O110" s="265">
        <v>2.403</v>
      </c>
      <c r="P110" s="265"/>
      <c r="Q110" s="265" t="s">
        <v>702</v>
      </c>
      <c r="R110" s="266">
        <v>464</v>
      </c>
      <c r="S110" s="266">
        <v>464</v>
      </c>
      <c r="T110" s="267">
        <f t="shared" si="18"/>
        <v>928</v>
      </c>
      <c r="U110" s="267">
        <v>928</v>
      </c>
      <c r="V110" s="267">
        <v>928</v>
      </c>
      <c r="W110" s="267">
        <v>928</v>
      </c>
      <c r="X110" s="267">
        <v>928</v>
      </c>
      <c r="Y110" s="267">
        <v>928</v>
      </c>
      <c r="Z110" s="267">
        <v>696</v>
      </c>
      <c r="AA110" s="267">
        <v>0</v>
      </c>
      <c r="AB110" s="267">
        <v>0</v>
      </c>
      <c r="AC110" s="267">
        <v>0</v>
      </c>
      <c r="AD110" s="267">
        <v>0</v>
      </c>
      <c r="AE110" s="267">
        <v>0</v>
      </c>
      <c r="AF110" s="267">
        <v>0</v>
      </c>
      <c r="AG110" s="267">
        <v>0</v>
      </c>
      <c r="AH110" s="267">
        <v>0</v>
      </c>
      <c r="AI110" s="267">
        <v>0</v>
      </c>
      <c r="AJ110" s="267">
        <v>0</v>
      </c>
      <c r="AK110" s="267">
        <v>0</v>
      </c>
      <c r="AL110" s="267">
        <v>0</v>
      </c>
      <c r="AM110" s="267">
        <v>0</v>
      </c>
      <c r="AN110" s="267">
        <v>0</v>
      </c>
      <c r="AO110" s="267">
        <v>0</v>
      </c>
      <c r="AP110" s="267">
        <v>0</v>
      </c>
      <c r="AQ110" s="267">
        <v>0</v>
      </c>
      <c r="AR110" s="267">
        <v>0</v>
      </c>
      <c r="AS110" s="267">
        <v>0</v>
      </c>
      <c r="AT110" s="267">
        <v>0</v>
      </c>
      <c r="AU110" s="267">
        <v>0</v>
      </c>
      <c r="AV110" s="267">
        <v>0</v>
      </c>
      <c r="AW110" s="267"/>
      <c r="AX110" s="267"/>
      <c r="AY110" s="268">
        <f t="shared" si="19"/>
        <v>6264</v>
      </c>
      <c r="AZ110" s="250">
        <f t="shared" si="20"/>
        <v>0</v>
      </c>
      <c r="BA110" s="269">
        <f t="shared" si="21"/>
        <v>0</v>
      </c>
      <c r="BB110" s="268">
        <f t="shared" si="22"/>
        <v>6264</v>
      </c>
      <c r="BD110" s="270" t="b">
        <f t="shared" si="23"/>
        <v>1</v>
      </c>
      <c r="BE110" s="271">
        <f>BB110-K110-R110</f>
        <v>0</v>
      </c>
    </row>
    <row r="111" spans="2:57" x14ac:dyDescent="0.25">
      <c r="B111" s="272" t="s">
        <v>756</v>
      </c>
      <c r="C111" s="272"/>
      <c r="D111" s="272"/>
      <c r="E111" s="272"/>
      <c r="F111" s="272"/>
      <c r="G111" s="272"/>
      <c r="H111" s="272"/>
      <c r="I111" s="272"/>
      <c r="J111" s="273"/>
      <c r="K111" s="273"/>
      <c r="L111" s="273" t="s">
        <v>794</v>
      </c>
      <c r="M111" s="273"/>
      <c r="N111" s="274">
        <f>SUM(O111:P111)</f>
        <v>5.4349999999999996</v>
      </c>
      <c r="O111" s="280">
        <v>5.4349999999999996</v>
      </c>
      <c r="P111" s="274">
        <f>$P$4</f>
        <v>0</v>
      </c>
      <c r="Q111" s="274" t="s">
        <v>701</v>
      </c>
      <c r="R111" s="275">
        <v>113.34</v>
      </c>
      <c r="S111" s="275">
        <v>61.61</v>
      </c>
      <c r="T111" s="276">
        <f t="shared" si="18"/>
        <v>174.95</v>
      </c>
      <c r="U111" s="276">
        <f>SUM(U110:$AV110)*$N111/100</f>
        <v>290.01159999999999</v>
      </c>
      <c r="V111" s="276">
        <f>SUM(V110:$AV110)*$N111/100</f>
        <v>239.57479999999998</v>
      </c>
      <c r="W111" s="276">
        <f>SUM(W110:$AV110)*$N111/100</f>
        <v>189.13800000000001</v>
      </c>
      <c r="X111" s="276">
        <f>SUM(X110:$AV110)*$N111/100</f>
        <v>138.7012</v>
      </c>
      <c r="Y111" s="276">
        <f>SUM(Y110:$AV110)*$N111/100</f>
        <v>88.264399999999981</v>
      </c>
      <c r="Z111" s="276">
        <f>SUM(Z110:$AV110)*$N111/100</f>
        <v>37.827599999999997</v>
      </c>
      <c r="AA111" s="276">
        <v>0</v>
      </c>
      <c r="AB111" s="276">
        <v>0</v>
      </c>
      <c r="AC111" s="276">
        <v>0</v>
      </c>
      <c r="AD111" s="276">
        <v>0</v>
      </c>
      <c r="AE111" s="276">
        <v>0</v>
      </c>
      <c r="AF111" s="276">
        <v>0</v>
      </c>
      <c r="AG111" s="276">
        <v>0</v>
      </c>
      <c r="AH111" s="276">
        <v>0</v>
      </c>
      <c r="AI111" s="276">
        <v>0</v>
      </c>
      <c r="AJ111" s="276">
        <v>0</v>
      </c>
      <c r="AK111" s="276">
        <v>0</v>
      </c>
      <c r="AL111" s="276">
        <v>0</v>
      </c>
      <c r="AM111" s="276">
        <v>0</v>
      </c>
      <c r="AN111" s="276">
        <v>0</v>
      </c>
      <c r="AO111" s="276">
        <v>0</v>
      </c>
      <c r="AP111" s="276">
        <v>0</v>
      </c>
      <c r="AQ111" s="276">
        <v>0</v>
      </c>
      <c r="AR111" s="276">
        <v>0</v>
      </c>
      <c r="AS111" s="276">
        <v>0</v>
      </c>
      <c r="AT111" s="276">
        <v>0</v>
      </c>
      <c r="AU111" s="276">
        <v>0</v>
      </c>
      <c r="AV111" s="276">
        <v>0</v>
      </c>
      <c r="AW111" s="276"/>
      <c r="AX111" s="276"/>
      <c r="AY111" s="277">
        <f t="shared" si="19"/>
        <v>1158.4676000000002</v>
      </c>
      <c r="AZ111" s="250">
        <f t="shared" si="20"/>
        <v>0</v>
      </c>
      <c r="BA111" s="278">
        <f t="shared" si="21"/>
        <v>0</v>
      </c>
      <c r="BB111" s="277">
        <f t="shared" si="22"/>
        <v>1158.4676000000002</v>
      </c>
      <c r="BD111" s="270" t="b">
        <f t="shared" si="23"/>
        <v>1</v>
      </c>
    </row>
    <row r="112" spans="2:57" s="270" customFormat="1" x14ac:dyDescent="0.25">
      <c r="B112" s="263" t="s">
        <v>756</v>
      </c>
      <c r="C112" s="263">
        <v>54</v>
      </c>
      <c r="D112" s="263" t="s">
        <v>793</v>
      </c>
      <c r="E112" s="263" t="s">
        <v>792</v>
      </c>
      <c r="F112" s="263" t="s">
        <v>791</v>
      </c>
      <c r="G112" s="263" t="s">
        <v>786</v>
      </c>
      <c r="H112" s="263" t="s">
        <v>790</v>
      </c>
      <c r="I112" s="263" t="s">
        <v>716</v>
      </c>
      <c r="J112" s="264">
        <v>503660</v>
      </c>
      <c r="K112" s="264">
        <v>503660</v>
      </c>
      <c r="L112" s="264"/>
      <c r="M112" s="264"/>
      <c r="N112" s="265"/>
      <c r="O112" s="265"/>
      <c r="P112" s="265"/>
      <c r="Q112" s="265" t="s">
        <v>702</v>
      </c>
      <c r="R112" s="266"/>
      <c r="S112" s="266">
        <v>8788</v>
      </c>
      <c r="T112" s="267">
        <f t="shared" si="18"/>
        <v>8788</v>
      </c>
      <c r="U112" s="267">
        <v>35348</v>
      </c>
      <c r="V112" s="267">
        <v>35348</v>
      </c>
      <c r="W112" s="267">
        <v>35348</v>
      </c>
      <c r="X112" s="267">
        <v>35348</v>
      </c>
      <c r="Y112" s="267">
        <v>35348</v>
      </c>
      <c r="Z112" s="267">
        <v>35348</v>
      </c>
      <c r="AA112" s="267">
        <v>35348</v>
      </c>
      <c r="AB112" s="267">
        <v>35348</v>
      </c>
      <c r="AC112" s="267">
        <v>35348</v>
      </c>
      <c r="AD112" s="267">
        <v>35348</v>
      </c>
      <c r="AE112" s="267">
        <v>35348</v>
      </c>
      <c r="AF112" s="267">
        <v>35348</v>
      </c>
      <c r="AG112" s="267">
        <v>35348</v>
      </c>
      <c r="AH112" s="267">
        <v>35348</v>
      </c>
      <c r="AI112" s="267">
        <v>0</v>
      </c>
      <c r="AJ112" s="267">
        <v>0</v>
      </c>
      <c r="AK112" s="267">
        <v>0</v>
      </c>
      <c r="AL112" s="267">
        <v>0</v>
      </c>
      <c r="AM112" s="267">
        <v>0</v>
      </c>
      <c r="AN112" s="267">
        <v>0</v>
      </c>
      <c r="AO112" s="267">
        <v>0</v>
      </c>
      <c r="AP112" s="267">
        <v>0</v>
      </c>
      <c r="AQ112" s="267">
        <v>0</v>
      </c>
      <c r="AR112" s="267">
        <v>0</v>
      </c>
      <c r="AS112" s="267">
        <v>0</v>
      </c>
      <c r="AT112" s="267">
        <v>0</v>
      </c>
      <c r="AU112" s="267">
        <v>0</v>
      </c>
      <c r="AV112" s="267">
        <v>0</v>
      </c>
      <c r="AW112" s="267"/>
      <c r="AX112" s="267"/>
      <c r="AY112" s="268">
        <f t="shared" si="19"/>
        <v>503660</v>
      </c>
      <c r="AZ112" s="250">
        <f t="shared" si="20"/>
        <v>0</v>
      </c>
      <c r="BA112" s="269">
        <f t="shared" si="21"/>
        <v>282784</v>
      </c>
      <c r="BB112" s="268">
        <f t="shared" si="22"/>
        <v>503660</v>
      </c>
      <c r="BD112" s="270" t="b">
        <f t="shared" si="23"/>
        <v>1</v>
      </c>
      <c r="BE112" s="271">
        <f>BB112-K112-R112</f>
        <v>0</v>
      </c>
    </row>
    <row r="113" spans="2:57" x14ac:dyDescent="0.25">
      <c r="B113" s="272" t="s">
        <v>756</v>
      </c>
      <c r="C113" s="272"/>
      <c r="D113" s="272"/>
      <c r="E113" s="272"/>
      <c r="F113" s="272"/>
      <c r="G113" s="272"/>
      <c r="H113" s="272"/>
      <c r="I113" s="272"/>
      <c r="J113" s="273"/>
      <c r="K113" s="273"/>
      <c r="L113" s="273">
        <v>0</v>
      </c>
      <c r="M113" s="273" t="s">
        <v>753</v>
      </c>
      <c r="N113" s="274">
        <f>SUM(O113:P113)</f>
        <v>4.6120000000000001</v>
      </c>
      <c r="O113" s="274">
        <v>4.6120000000000001</v>
      </c>
      <c r="P113" s="274">
        <f>$P$4</f>
        <v>0</v>
      </c>
      <c r="Q113" s="274" t="s">
        <v>701</v>
      </c>
      <c r="R113" s="275">
        <v>13106.650000000001</v>
      </c>
      <c r="S113" s="275">
        <v>5936.25</v>
      </c>
      <c r="T113" s="276">
        <f t="shared" si="18"/>
        <v>19042.900000000001</v>
      </c>
      <c r="U113" s="276">
        <f>SUM(U112:$AV112)*$N113/100</f>
        <v>22823.496639999998</v>
      </c>
      <c r="V113" s="276">
        <f>SUM(V112:$AV112)*$N113/100</f>
        <v>21193.246880000002</v>
      </c>
      <c r="W113" s="276">
        <f>SUM(W112:$AV112)*$N113/100</f>
        <v>19562.99712</v>
      </c>
      <c r="X113" s="276">
        <f>SUM(X112:$AV112)*$N113/100</f>
        <v>17932.747360000001</v>
      </c>
      <c r="Y113" s="276">
        <f>SUM(Y112:$AV112)*$N113/100</f>
        <v>16302.497600000001</v>
      </c>
      <c r="Z113" s="276">
        <f>SUM(Z112:$AV112)*$N113/100</f>
        <v>14672.24784</v>
      </c>
      <c r="AA113" s="276">
        <f>SUM(AA112:$AV112)*$N113/100</f>
        <v>13041.998079999999</v>
      </c>
      <c r="AB113" s="276">
        <f>SUM(AB112:$AV112)*$N113/100</f>
        <v>11411.748319999999</v>
      </c>
      <c r="AC113" s="276">
        <f>SUM(AC112:$AV112)*$N113/100</f>
        <v>9781.49856</v>
      </c>
      <c r="AD113" s="276">
        <f>SUM(AD112:$AV112)*$N113/100</f>
        <v>8151.2488000000003</v>
      </c>
      <c r="AE113" s="276">
        <f>SUM(AE112:$AV112)*$N113/100</f>
        <v>6520.9990399999997</v>
      </c>
      <c r="AF113" s="276">
        <f>SUM(AF112:$AV112)*$N113/100</f>
        <v>4890.74928</v>
      </c>
      <c r="AG113" s="276">
        <f>SUM(AG112:$AV112)*$N113/100</f>
        <v>3260.4995199999998</v>
      </c>
      <c r="AH113" s="276">
        <f>SUM(AH112:$AV112)*$N113/100</f>
        <v>1630.2497599999999</v>
      </c>
      <c r="AI113" s="276">
        <v>0</v>
      </c>
      <c r="AJ113" s="276">
        <v>0</v>
      </c>
      <c r="AK113" s="276">
        <v>0</v>
      </c>
      <c r="AL113" s="276">
        <v>0</v>
      </c>
      <c r="AM113" s="276">
        <v>0</v>
      </c>
      <c r="AN113" s="276">
        <v>0</v>
      </c>
      <c r="AO113" s="276">
        <v>0</v>
      </c>
      <c r="AP113" s="276">
        <v>0</v>
      </c>
      <c r="AQ113" s="276">
        <v>0</v>
      </c>
      <c r="AR113" s="276">
        <v>0</v>
      </c>
      <c r="AS113" s="276">
        <v>0</v>
      </c>
      <c r="AT113" s="276">
        <v>0</v>
      </c>
      <c r="AU113" s="276">
        <v>0</v>
      </c>
      <c r="AV113" s="276">
        <v>0</v>
      </c>
      <c r="AW113" s="276"/>
      <c r="AX113" s="276"/>
      <c r="AY113" s="277">
        <f t="shared" si="19"/>
        <v>190219.12480000002</v>
      </c>
      <c r="AZ113" s="250">
        <f t="shared" si="20"/>
        <v>0</v>
      </c>
      <c r="BA113" s="278">
        <f t="shared" si="21"/>
        <v>58688.991359999993</v>
      </c>
      <c r="BB113" s="277">
        <f t="shared" si="22"/>
        <v>190219.12479999999</v>
      </c>
      <c r="BD113" s="270" t="b">
        <f t="shared" si="23"/>
        <v>1</v>
      </c>
    </row>
    <row r="114" spans="2:57" s="270" customFormat="1" x14ac:dyDescent="0.25">
      <c r="B114" s="263" t="s">
        <v>756</v>
      </c>
      <c r="C114" s="263">
        <v>55</v>
      </c>
      <c r="D114" s="263" t="s">
        <v>789</v>
      </c>
      <c r="E114" s="263" t="s">
        <v>788</v>
      </c>
      <c r="F114" s="263" t="s">
        <v>787</v>
      </c>
      <c r="G114" s="263" t="s">
        <v>786</v>
      </c>
      <c r="H114" s="263" t="s">
        <v>785</v>
      </c>
      <c r="I114" s="263" t="s">
        <v>716</v>
      </c>
      <c r="J114" s="264">
        <v>300000</v>
      </c>
      <c r="K114" s="264">
        <v>300000</v>
      </c>
      <c r="L114" s="264"/>
      <c r="M114" s="264"/>
      <c r="N114" s="265"/>
      <c r="O114" s="265"/>
      <c r="P114" s="265"/>
      <c r="Q114" s="265" t="s">
        <v>702</v>
      </c>
      <c r="R114" s="266"/>
      <c r="S114" s="266">
        <v>8076</v>
      </c>
      <c r="T114" s="267">
        <f t="shared" si="18"/>
        <v>8076</v>
      </c>
      <c r="U114" s="267">
        <v>32436</v>
      </c>
      <c r="V114" s="267">
        <v>32436</v>
      </c>
      <c r="W114" s="267">
        <v>32436</v>
      </c>
      <c r="X114" s="267">
        <v>32436</v>
      </c>
      <c r="Y114" s="267">
        <v>32436</v>
      </c>
      <c r="Z114" s="267">
        <v>32436</v>
      </c>
      <c r="AA114" s="267">
        <v>32436</v>
      </c>
      <c r="AB114" s="267">
        <v>32436</v>
      </c>
      <c r="AC114" s="267">
        <v>32436</v>
      </c>
      <c r="AD114" s="267">
        <v>0</v>
      </c>
      <c r="AE114" s="267">
        <v>0</v>
      </c>
      <c r="AF114" s="267">
        <v>0</v>
      </c>
      <c r="AG114" s="267">
        <v>0</v>
      </c>
      <c r="AH114" s="267">
        <v>0</v>
      </c>
      <c r="AI114" s="267">
        <v>0</v>
      </c>
      <c r="AJ114" s="267">
        <v>0</v>
      </c>
      <c r="AK114" s="267">
        <v>0</v>
      </c>
      <c r="AL114" s="267">
        <v>0</v>
      </c>
      <c r="AM114" s="267">
        <v>0</v>
      </c>
      <c r="AN114" s="267">
        <v>0</v>
      </c>
      <c r="AO114" s="267">
        <v>0</v>
      </c>
      <c r="AP114" s="267">
        <v>0</v>
      </c>
      <c r="AQ114" s="267">
        <v>0</v>
      </c>
      <c r="AR114" s="267">
        <v>0</v>
      </c>
      <c r="AS114" s="267">
        <v>0</v>
      </c>
      <c r="AT114" s="267">
        <v>0</v>
      </c>
      <c r="AU114" s="267">
        <v>0</v>
      </c>
      <c r="AV114" s="267">
        <v>0</v>
      </c>
      <c r="AW114" s="267"/>
      <c r="AX114" s="267"/>
      <c r="AY114" s="268">
        <f t="shared" si="19"/>
        <v>300000</v>
      </c>
      <c r="AZ114" s="250">
        <f t="shared" si="20"/>
        <v>0</v>
      </c>
      <c r="BA114" s="269">
        <f t="shared" si="21"/>
        <v>97308</v>
      </c>
      <c r="BB114" s="268">
        <f t="shared" si="22"/>
        <v>300000</v>
      </c>
      <c r="BD114" s="270" t="b">
        <f t="shared" si="23"/>
        <v>1</v>
      </c>
      <c r="BE114" s="271">
        <f>BB114-K114-R114</f>
        <v>0</v>
      </c>
    </row>
    <row r="115" spans="2:57" x14ac:dyDescent="0.25">
      <c r="B115" s="272" t="s">
        <v>756</v>
      </c>
      <c r="C115" s="272"/>
      <c r="D115" s="272"/>
      <c r="E115" s="272"/>
      <c r="F115" s="272"/>
      <c r="G115" s="272"/>
      <c r="H115" s="272"/>
      <c r="I115" s="272"/>
      <c r="J115" s="273"/>
      <c r="K115" s="273"/>
      <c r="L115" s="273">
        <v>0</v>
      </c>
      <c r="M115" s="273" t="s">
        <v>753</v>
      </c>
      <c r="N115" s="274">
        <f>SUM(O115:P115)</f>
        <v>4.3979999999999997</v>
      </c>
      <c r="O115" s="274">
        <v>4.3979999999999997</v>
      </c>
      <c r="P115" s="274">
        <f>$P$4</f>
        <v>0</v>
      </c>
      <c r="Q115" s="274" t="s">
        <v>701</v>
      </c>
      <c r="R115" s="275">
        <v>7541.8600000000006</v>
      </c>
      <c r="S115" s="275">
        <v>3371.8</v>
      </c>
      <c r="T115" s="276">
        <f t="shared" si="18"/>
        <v>10913.66</v>
      </c>
      <c r="U115" s="276">
        <f>SUM(U114:$AV114)*$N115/100</f>
        <v>12838.817519999999</v>
      </c>
      <c r="V115" s="276">
        <f>SUM(V114:$AV114)*$N115/100</f>
        <v>11412.282239999999</v>
      </c>
      <c r="W115" s="276">
        <f>SUM(W114:$AV114)*$N115/100</f>
        <v>9985.7469599999986</v>
      </c>
      <c r="X115" s="276">
        <f>SUM(X114:$AV114)*$N115/100</f>
        <v>8559.2116800000003</v>
      </c>
      <c r="Y115" s="276">
        <f>SUM(Y114:$AV114)*$N115/100</f>
        <v>7132.6763999999994</v>
      </c>
      <c r="Z115" s="276">
        <f>SUM(Z114:$AV114)*$N115/100</f>
        <v>5706.1411199999993</v>
      </c>
      <c r="AA115" s="276">
        <f>SUM(AA114:$AV114)*$N115/100</f>
        <v>4279.6058400000002</v>
      </c>
      <c r="AB115" s="276">
        <f>SUM(AB114:$AV114)*$N115/100</f>
        <v>2853.0705599999997</v>
      </c>
      <c r="AC115" s="276">
        <f>SUM(AC114:$AV114)*$N115/100</f>
        <v>1426.5352799999998</v>
      </c>
      <c r="AD115" s="276">
        <v>0</v>
      </c>
      <c r="AE115" s="276">
        <v>0</v>
      </c>
      <c r="AF115" s="276">
        <v>0</v>
      </c>
      <c r="AG115" s="276">
        <v>0</v>
      </c>
      <c r="AH115" s="276">
        <v>0</v>
      </c>
      <c r="AI115" s="276">
        <v>0</v>
      </c>
      <c r="AJ115" s="276">
        <v>0</v>
      </c>
      <c r="AK115" s="276">
        <v>0</v>
      </c>
      <c r="AL115" s="276">
        <v>0</v>
      </c>
      <c r="AM115" s="276">
        <v>0</v>
      </c>
      <c r="AN115" s="276">
        <v>0</v>
      </c>
      <c r="AO115" s="276">
        <v>0</v>
      </c>
      <c r="AP115" s="276">
        <v>0</v>
      </c>
      <c r="AQ115" s="276">
        <v>0</v>
      </c>
      <c r="AR115" s="276">
        <v>0</v>
      </c>
      <c r="AS115" s="276">
        <v>0</v>
      </c>
      <c r="AT115" s="276">
        <v>0</v>
      </c>
      <c r="AU115" s="276">
        <v>0</v>
      </c>
      <c r="AV115" s="276">
        <v>0</v>
      </c>
      <c r="AW115" s="276"/>
      <c r="AX115" s="276"/>
      <c r="AY115" s="277">
        <f t="shared" si="19"/>
        <v>75107.747599999988</v>
      </c>
      <c r="AZ115" s="250">
        <f t="shared" si="20"/>
        <v>0</v>
      </c>
      <c r="BA115" s="278">
        <f t="shared" si="21"/>
        <v>8559.2116800000003</v>
      </c>
      <c r="BB115" s="277">
        <f t="shared" si="22"/>
        <v>75107.747600000002</v>
      </c>
      <c r="BD115" s="270" t="b">
        <f t="shared" si="23"/>
        <v>1</v>
      </c>
    </row>
    <row r="116" spans="2:57" s="270" customFormat="1" x14ac:dyDescent="0.25">
      <c r="B116" s="263" t="s">
        <v>754</v>
      </c>
      <c r="C116" s="263">
        <v>56</v>
      </c>
      <c r="D116" s="263" t="s">
        <v>784</v>
      </c>
      <c r="E116" s="263" t="s">
        <v>783</v>
      </c>
      <c r="F116" s="263" t="s">
        <v>782</v>
      </c>
      <c r="G116" s="263" t="s">
        <v>781</v>
      </c>
      <c r="H116" s="263" t="s">
        <v>780</v>
      </c>
      <c r="I116" s="263" t="s">
        <v>716</v>
      </c>
      <c r="J116" s="264">
        <v>292889</v>
      </c>
      <c r="K116" s="264">
        <v>126903.87</v>
      </c>
      <c r="L116" s="264"/>
      <c r="M116" s="264"/>
      <c r="N116" s="265"/>
      <c r="O116" s="265"/>
      <c r="P116" s="265"/>
      <c r="Q116" s="265" t="s">
        <v>702</v>
      </c>
      <c r="R116" s="266">
        <v>1681</v>
      </c>
      <c r="S116" s="266">
        <v>8408</v>
      </c>
      <c r="T116" s="267">
        <f t="shared" si="18"/>
        <v>10089</v>
      </c>
      <c r="U116" s="267">
        <v>20200</v>
      </c>
      <c r="V116" s="267">
        <v>20200</v>
      </c>
      <c r="W116" s="267">
        <v>20200</v>
      </c>
      <c r="X116" s="267">
        <v>20200</v>
      </c>
      <c r="Y116" s="267">
        <v>20200</v>
      </c>
      <c r="Z116" s="267">
        <v>20200</v>
      </c>
      <c r="AA116" s="267">
        <v>20200</v>
      </c>
      <c r="AB116" s="267">
        <v>20200</v>
      </c>
      <c r="AC116" s="267">
        <v>20200</v>
      </c>
      <c r="AD116" s="267">
        <v>20200</v>
      </c>
      <c r="AE116" s="267">
        <v>20200</v>
      </c>
      <c r="AF116" s="267">
        <v>20200</v>
      </c>
      <c r="AG116" s="267">
        <v>20200</v>
      </c>
      <c r="AH116" s="267">
        <f>J116-AG116-AF116-AE116-AD116-AC116-AB116-AA116-Z116-Y116-X116-W116-V116-U116-T116</f>
        <v>20200</v>
      </c>
      <c r="AI116" s="267">
        <v>0</v>
      </c>
      <c r="AJ116" s="267">
        <v>0</v>
      </c>
      <c r="AK116" s="267">
        <v>0</v>
      </c>
      <c r="AL116" s="267">
        <v>0</v>
      </c>
      <c r="AM116" s="267">
        <v>0</v>
      </c>
      <c r="AN116" s="267">
        <v>0</v>
      </c>
      <c r="AO116" s="267">
        <v>0</v>
      </c>
      <c r="AP116" s="267">
        <v>0</v>
      </c>
      <c r="AQ116" s="267">
        <v>0</v>
      </c>
      <c r="AR116" s="267">
        <v>0</v>
      </c>
      <c r="AS116" s="267">
        <v>0</v>
      </c>
      <c r="AT116" s="267">
        <v>0</v>
      </c>
      <c r="AU116" s="267">
        <v>0</v>
      </c>
      <c r="AV116" s="267">
        <v>0</v>
      </c>
      <c r="AW116" s="267"/>
      <c r="AX116" s="267"/>
      <c r="AY116" s="268">
        <f t="shared" si="19"/>
        <v>292889</v>
      </c>
      <c r="AZ116" s="250">
        <f t="shared" si="20"/>
        <v>0</v>
      </c>
      <c r="BA116" s="269">
        <f t="shared" si="21"/>
        <v>161600</v>
      </c>
      <c r="BB116" s="268">
        <f t="shared" si="22"/>
        <v>292889</v>
      </c>
      <c r="BD116" s="270" t="b">
        <f t="shared" si="23"/>
        <v>1</v>
      </c>
      <c r="BE116" s="271">
        <f>BB116-J116</f>
        <v>0</v>
      </c>
    </row>
    <row r="117" spans="2:57" x14ac:dyDescent="0.25">
      <c r="B117" s="272" t="s">
        <v>754</v>
      </c>
      <c r="C117" s="272"/>
      <c r="D117" s="272"/>
      <c r="E117" s="272"/>
      <c r="F117" s="272"/>
      <c r="G117" s="272"/>
      <c r="H117" s="272"/>
      <c r="I117" s="272"/>
      <c r="J117" s="273"/>
      <c r="K117" s="273"/>
      <c r="L117" s="273">
        <v>0</v>
      </c>
      <c r="M117" s="273" t="s">
        <v>753</v>
      </c>
      <c r="N117" s="274">
        <f>SUM(O117:P117)</f>
        <v>4.6100000000000003</v>
      </c>
      <c r="O117" s="274">
        <v>4.6100000000000003</v>
      </c>
      <c r="P117" s="274">
        <f>$P$4</f>
        <v>0</v>
      </c>
      <c r="Q117" s="274" t="s">
        <v>701</v>
      </c>
      <c r="R117" s="275">
        <v>85.43</v>
      </c>
      <c r="S117" s="275">
        <v>438.67</v>
      </c>
      <c r="T117" s="276">
        <f t="shared" si="18"/>
        <v>524.1</v>
      </c>
      <c r="U117" s="276">
        <f>SUM(U116:$AV116)*$N117/100</f>
        <v>13037.08</v>
      </c>
      <c r="V117" s="276">
        <f>SUM(V116:$AV116)*$N117/100</f>
        <v>12105.86</v>
      </c>
      <c r="W117" s="276">
        <f>SUM(W116:$AV116)*$N117/100</f>
        <v>11174.64</v>
      </c>
      <c r="X117" s="276">
        <f>SUM(X116:$AV116)*$N117/100</f>
        <v>10243.420000000002</v>
      </c>
      <c r="Y117" s="276">
        <f>SUM(Y116:$AV116)*$N117/100</f>
        <v>9312.2000000000007</v>
      </c>
      <c r="Z117" s="276">
        <f>SUM(Z116:$AV116)*$N117/100</f>
        <v>8380.98</v>
      </c>
      <c r="AA117" s="276">
        <f>SUM(AA116:$AV116)*$N117/100</f>
        <v>7449.76</v>
      </c>
      <c r="AB117" s="276">
        <f>SUM(AB116:$AV116)*$N117/100</f>
        <v>6518.54</v>
      </c>
      <c r="AC117" s="276">
        <f>SUM(AC116:$AV116)*$N117/100</f>
        <v>5587.32</v>
      </c>
      <c r="AD117" s="276">
        <f>SUM(AD116:$AV116)*$N117/100</f>
        <v>4656.1000000000004</v>
      </c>
      <c r="AE117" s="276">
        <f>SUM(AE116:$AV116)*$N117/100</f>
        <v>3724.88</v>
      </c>
      <c r="AF117" s="276">
        <f>SUM(AF116:$AV116)*$N117/100</f>
        <v>2793.66</v>
      </c>
      <c r="AG117" s="276">
        <f>SUM(AG116:$AV116)*$N117/100</f>
        <v>1862.44</v>
      </c>
      <c r="AH117" s="276">
        <f>SUM(AH116:$AV116)*$N117/100</f>
        <v>931.22</v>
      </c>
      <c r="AI117" s="276">
        <v>0</v>
      </c>
      <c r="AJ117" s="276">
        <v>0</v>
      </c>
      <c r="AK117" s="276">
        <v>0</v>
      </c>
      <c r="AL117" s="276">
        <v>0</v>
      </c>
      <c r="AM117" s="276">
        <v>0</v>
      </c>
      <c r="AN117" s="276">
        <v>0</v>
      </c>
      <c r="AO117" s="276">
        <v>0</v>
      </c>
      <c r="AP117" s="276">
        <v>0</v>
      </c>
      <c r="AQ117" s="276">
        <v>0</v>
      </c>
      <c r="AR117" s="276">
        <v>0</v>
      </c>
      <c r="AS117" s="276">
        <v>0</v>
      </c>
      <c r="AT117" s="276">
        <v>0</v>
      </c>
      <c r="AU117" s="276">
        <v>0</v>
      </c>
      <c r="AV117" s="276">
        <v>0</v>
      </c>
      <c r="AW117" s="276"/>
      <c r="AX117" s="276"/>
      <c r="AY117" s="277">
        <f t="shared" si="19"/>
        <v>98302.200000000012</v>
      </c>
      <c r="AZ117" s="250">
        <f t="shared" si="20"/>
        <v>0</v>
      </c>
      <c r="BA117" s="278">
        <f t="shared" si="21"/>
        <v>33523.919999999998</v>
      </c>
      <c r="BB117" s="277">
        <f t="shared" si="22"/>
        <v>98302.2</v>
      </c>
      <c r="BD117" s="270" t="b">
        <f t="shared" si="23"/>
        <v>1</v>
      </c>
    </row>
    <row r="118" spans="2:57" s="270" customFormat="1" x14ac:dyDescent="0.25">
      <c r="B118" s="263" t="s">
        <v>756</v>
      </c>
      <c r="C118" s="263">
        <v>57</v>
      </c>
      <c r="D118" s="263" t="s">
        <v>210</v>
      </c>
      <c r="E118" s="263" t="s">
        <v>779</v>
      </c>
      <c r="F118" s="263" t="s">
        <v>778</v>
      </c>
      <c r="G118" s="263" t="s">
        <v>777</v>
      </c>
      <c r="H118" s="263" t="s">
        <v>776</v>
      </c>
      <c r="I118" s="263" t="s">
        <v>716</v>
      </c>
      <c r="J118" s="264">
        <v>37335</v>
      </c>
      <c r="K118" s="264">
        <v>37335</v>
      </c>
      <c r="L118" s="264"/>
      <c r="M118" s="264"/>
      <c r="N118" s="265"/>
      <c r="O118" s="265"/>
      <c r="P118" s="265"/>
      <c r="Q118" s="265" t="s">
        <v>702</v>
      </c>
      <c r="R118" s="266"/>
      <c r="S118" s="266">
        <v>0</v>
      </c>
      <c r="T118" s="267">
        <f t="shared" si="18"/>
        <v>0</v>
      </c>
      <c r="U118" s="267">
        <v>37335</v>
      </c>
      <c r="V118" s="267">
        <v>0</v>
      </c>
      <c r="W118" s="267">
        <v>0</v>
      </c>
      <c r="X118" s="267">
        <v>0</v>
      </c>
      <c r="Y118" s="267">
        <v>0</v>
      </c>
      <c r="Z118" s="267">
        <v>0</v>
      </c>
      <c r="AA118" s="267">
        <v>0</v>
      </c>
      <c r="AB118" s="267">
        <v>0</v>
      </c>
      <c r="AC118" s="267">
        <v>0</v>
      </c>
      <c r="AD118" s="267">
        <v>0</v>
      </c>
      <c r="AE118" s="267">
        <v>0</v>
      </c>
      <c r="AF118" s="267">
        <v>0</v>
      </c>
      <c r="AG118" s="267">
        <v>0</v>
      </c>
      <c r="AH118" s="267">
        <v>0</v>
      </c>
      <c r="AI118" s="267">
        <v>0</v>
      </c>
      <c r="AJ118" s="267">
        <v>0</v>
      </c>
      <c r="AK118" s="267">
        <v>0</v>
      </c>
      <c r="AL118" s="267">
        <v>0</v>
      </c>
      <c r="AM118" s="267">
        <v>0</v>
      </c>
      <c r="AN118" s="267">
        <v>0</v>
      </c>
      <c r="AO118" s="267">
        <v>0</v>
      </c>
      <c r="AP118" s="267">
        <v>0</v>
      </c>
      <c r="AQ118" s="267">
        <v>0</v>
      </c>
      <c r="AR118" s="267">
        <v>0</v>
      </c>
      <c r="AS118" s="267">
        <v>0</v>
      </c>
      <c r="AT118" s="267">
        <v>0</v>
      </c>
      <c r="AU118" s="267">
        <v>0</v>
      </c>
      <c r="AV118" s="267">
        <v>0</v>
      </c>
      <c r="AW118" s="267"/>
      <c r="AX118" s="267"/>
      <c r="AY118" s="268">
        <f t="shared" si="19"/>
        <v>37335</v>
      </c>
      <c r="AZ118" s="250">
        <f t="shared" si="20"/>
        <v>0</v>
      </c>
      <c r="BA118" s="269">
        <f t="shared" si="21"/>
        <v>0</v>
      </c>
      <c r="BB118" s="268">
        <f t="shared" si="22"/>
        <v>37335</v>
      </c>
      <c r="BD118" s="270" t="b">
        <f t="shared" si="23"/>
        <v>1</v>
      </c>
      <c r="BE118" s="271">
        <f>BB118-K118-R118</f>
        <v>0</v>
      </c>
    </row>
    <row r="119" spans="2:57" x14ac:dyDescent="0.25">
      <c r="B119" s="272" t="s">
        <v>756</v>
      </c>
      <c r="C119" s="272"/>
      <c r="D119" s="272"/>
      <c r="E119" s="272"/>
      <c r="F119" s="272"/>
      <c r="G119" s="272"/>
      <c r="H119" s="272"/>
      <c r="I119" s="272"/>
      <c r="J119" s="273"/>
      <c r="K119" s="273"/>
      <c r="L119" s="273" t="s">
        <v>775</v>
      </c>
      <c r="M119" s="273"/>
      <c r="N119" s="274">
        <f>SUM(O119:P119)</f>
        <v>3.605</v>
      </c>
      <c r="O119" s="274">
        <v>3.605</v>
      </c>
      <c r="P119" s="274">
        <f>$P$4</f>
        <v>0</v>
      </c>
      <c r="Q119" s="274" t="s">
        <v>701</v>
      </c>
      <c r="R119" s="275">
        <v>119.64</v>
      </c>
      <c r="S119" s="275">
        <v>343.96</v>
      </c>
      <c r="T119" s="276">
        <f t="shared" si="18"/>
        <v>463.59999999999997</v>
      </c>
      <c r="U119" s="276">
        <f>SUM(U118:$AV118)*$N119/100</f>
        <v>1345.9267499999999</v>
      </c>
      <c r="V119" s="276">
        <v>0</v>
      </c>
      <c r="W119" s="276">
        <v>0</v>
      </c>
      <c r="X119" s="276">
        <v>0</v>
      </c>
      <c r="Y119" s="276">
        <v>0</v>
      </c>
      <c r="Z119" s="276">
        <v>0</v>
      </c>
      <c r="AA119" s="276">
        <v>0</v>
      </c>
      <c r="AB119" s="276">
        <v>0</v>
      </c>
      <c r="AC119" s="276">
        <v>0</v>
      </c>
      <c r="AD119" s="276">
        <v>0</v>
      </c>
      <c r="AE119" s="276">
        <v>0</v>
      </c>
      <c r="AF119" s="276">
        <v>0</v>
      </c>
      <c r="AG119" s="276">
        <v>0</v>
      </c>
      <c r="AH119" s="276">
        <v>0</v>
      </c>
      <c r="AI119" s="276">
        <v>0</v>
      </c>
      <c r="AJ119" s="276">
        <v>0</v>
      </c>
      <c r="AK119" s="276">
        <v>0</v>
      </c>
      <c r="AL119" s="276">
        <v>0</v>
      </c>
      <c r="AM119" s="276">
        <v>0</v>
      </c>
      <c r="AN119" s="276">
        <v>0</v>
      </c>
      <c r="AO119" s="276">
        <v>0</v>
      </c>
      <c r="AP119" s="276">
        <v>0</v>
      </c>
      <c r="AQ119" s="276">
        <v>0</v>
      </c>
      <c r="AR119" s="276">
        <v>0</v>
      </c>
      <c r="AS119" s="276">
        <v>0</v>
      </c>
      <c r="AT119" s="276">
        <v>0</v>
      </c>
      <c r="AU119" s="276">
        <v>0</v>
      </c>
      <c r="AV119" s="276">
        <v>0</v>
      </c>
      <c r="AW119" s="276"/>
      <c r="AX119" s="276"/>
      <c r="AY119" s="277">
        <f t="shared" si="19"/>
        <v>1809.5267499999998</v>
      </c>
      <c r="AZ119" s="250">
        <f t="shared" si="20"/>
        <v>0</v>
      </c>
      <c r="BA119" s="278">
        <f t="shared" si="21"/>
        <v>0</v>
      </c>
      <c r="BB119" s="277">
        <f t="shared" si="22"/>
        <v>1809.5267499999998</v>
      </c>
      <c r="BD119" s="270" t="b">
        <f t="shared" si="23"/>
        <v>1</v>
      </c>
    </row>
    <row r="120" spans="2:57" s="270" customFormat="1" x14ac:dyDescent="0.25">
      <c r="B120" s="263" t="s">
        <v>756</v>
      </c>
      <c r="C120" s="263">
        <v>58</v>
      </c>
      <c r="D120" s="263" t="s">
        <v>774</v>
      </c>
      <c r="E120" s="263" t="s">
        <v>773</v>
      </c>
      <c r="F120" s="263" t="s">
        <v>772</v>
      </c>
      <c r="G120" s="263" t="s">
        <v>771</v>
      </c>
      <c r="H120" s="263" t="s">
        <v>770</v>
      </c>
      <c r="I120" s="263" t="s">
        <v>716</v>
      </c>
      <c r="J120" s="264">
        <v>495501</v>
      </c>
      <c r="K120" s="281">
        <v>296400.88</v>
      </c>
      <c r="L120" s="264"/>
      <c r="M120" s="264"/>
      <c r="N120" s="265"/>
      <c r="O120" s="265"/>
      <c r="P120" s="265"/>
      <c r="Q120" s="265" t="s">
        <v>702</v>
      </c>
      <c r="R120" s="266"/>
      <c r="S120" s="266">
        <v>0</v>
      </c>
      <c r="T120" s="267">
        <f t="shared" si="18"/>
        <v>0</v>
      </c>
      <c r="U120" s="267">
        <v>26079</v>
      </c>
      <c r="V120" s="267">
        <v>34772</v>
      </c>
      <c r="W120" s="267">
        <v>34772</v>
      </c>
      <c r="X120" s="267">
        <v>34772</v>
      </c>
      <c r="Y120" s="267">
        <v>34772</v>
      </c>
      <c r="Z120" s="267">
        <v>34772</v>
      </c>
      <c r="AA120" s="267">
        <v>34772</v>
      </c>
      <c r="AB120" s="267">
        <v>34772</v>
      </c>
      <c r="AC120" s="267">
        <v>34772</v>
      </c>
      <c r="AD120" s="267">
        <v>34772</v>
      </c>
      <c r="AE120" s="267">
        <v>34772</v>
      </c>
      <c r="AF120" s="267">
        <v>34772</v>
      </c>
      <c r="AG120" s="267">
        <v>34772</v>
      </c>
      <c r="AH120" s="267">
        <v>34772</v>
      </c>
      <c r="AI120" s="267">
        <v>17386</v>
      </c>
      <c r="AJ120" s="267">
        <v>0</v>
      </c>
      <c r="AK120" s="267">
        <v>0</v>
      </c>
      <c r="AL120" s="267">
        <v>0</v>
      </c>
      <c r="AM120" s="267">
        <v>0</v>
      </c>
      <c r="AN120" s="267">
        <v>0</v>
      </c>
      <c r="AO120" s="267">
        <v>0</v>
      </c>
      <c r="AP120" s="267">
        <v>0</v>
      </c>
      <c r="AQ120" s="267">
        <v>0</v>
      </c>
      <c r="AR120" s="267">
        <v>0</v>
      </c>
      <c r="AS120" s="267">
        <v>0</v>
      </c>
      <c r="AT120" s="267">
        <v>0</v>
      </c>
      <c r="AU120" s="267">
        <v>0</v>
      </c>
      <c r="AV120" s="267">
        <v>0</v>
      </c>
      <c r="AW120" s="267"/>
      <c r="AX120" s="267"/>
      <c r="AY120" s="268">
        <f t="shared" si="19"/>
        <v>495501</v>
      </c>
      <c r="AZ120" s="250">
        <f t="shared" si="20"/>
        <v>0</v>
      </c>
      <c r="BA120" s="269">
        <f t="shared" si="21"/>
        <v>295562</v>
      </c>
      <c r="BB120" s="268">
        <f t="shared" si="22"/>
        <v>495501</v>
      </c>
      <c r="BD120" s="270" t="b">
        <f t="shared" si="23"/>
        <v>1</v>
      </c>
      <c r="BE120" s="271">
        <f>BB120-K120-R120</f>
        <v>199100.12</v>
      </c>
    </row>
    <row r="121" spans="2:57" x14ac:dyDescent="0.25">
      <c r="B121" s="272" t="s">
        <v>756</v>
      </c>
      <c r="C121" s="272"/>
      <c r="D121" s="272"/>
      <c r="E121" s="272"/>
      <c r="F121" s="272"/>
      <c r="G121" s="272"/>
      <c r="H121" s="272"/>
      <c r="I121" s="272"/>
      <c r="J121" s="273"/>
      <c r="K121" s="279"/>
      <c r="L121" s="273" t="s">
        <v>769</v>
      </c>
      <c r="M121" s="273"/>
      <c r="N121" s="274">
        <f>SUM(O121:P121)</f>
        <v>5.524</v>
      </c>
      <c r="O121" s="274">
        <v>5.524</v>
      </c>
      <c r="P121" s="274">
        <f>$P$4</f>
        <v>0</v>
      </c>
      <c r="Q121" s="274" t="s">
        <v>701</v>
      </c>
      <c r="R121" s="275">
        <v>20.170000000000002</v>
      </c>
      <c r="S121" s="275">
        <v>2283.11</v>
      </c>
      <c r="T121" s="276">
        <f t="shared" si="18"/>
        <v>2303.2800000000002</v>
      </c>
      <c r="U121" s="276">
        <f>SUM(U120:$AV120)*$N121/100</f>
        <v>27371.475240000003</v>
      </c>
      <c r="V121" s="276">
        <f>SUM(V120:$AV120)*$N121/100</f>
        <v>25930.871279999999</v>
      </c>
      <c r="W121" s="276">
        <f>SUM(W120:$AV120)*$N121/100</f>
        <v>24010.066000000003</v>
      </c>
      <c r="X121" s="276">
        <f>SUM(X120:$AV120)*$N121/100</f>
        <v>22089.260720000002</v>
      </c>
      <c r="Y121" s="276">
        <f>SUM(Y120:$AV120)*$N121/100</f>
        <v>20168.455440000002</v>
      </c>
      <c r="Z121" s="276">
        <f>SUM(Z120:$AV120)*$N121/100</f>
        <v>18247.650160000001</v>
      </c>
      <c r="AA121" s="276">
        <f>SUM(AA120:$AV120)*$N121/100</f>
        <v>16326.844879999999</v>
      </c>
      <c r="AB121" s="276">
        <f>SUM(AB120:$AV120)*$N121/100</f>
        <v>14406.0396</v>
      </c>
      <c r="AC121" s="276">
        <f>SUM(AC120:$AV120)*$N121/100</f>
        <v>12485.23432</v>
      </c>
      <c r="AD121" s="276">
        <f>SUM(AD120:$AV120)*$N121/100</f>
        <v>10564.429040000001</v>
      </c>
      <c r="AE121" s="276">
        <f>SUM(AE120:$AV120)*$N121/100</f>
        <v>8643.6237600000004</v>
      </c>
      <c r="AF121" s="276">
        <f>SUM(AF120:$AV120)*$N121/100</f>
        <v>6722.8184799999999</v>
      </c>
      <c r="AG121" s="276">
        <f>SUM(AG120:$AV120)*$N121/100</f>
        <v>4802.0132000000003</v>
      </c>
      <c r="AH121" s="276">
        <f>SUM(AH120:$AV120)*$N121/100</f>
        <v>2881.2079200000003</v>
      </c>
      <c r="AI121" s="276">
        <f>SUM(AI120:$AV120)*$N121/100</f>
        <v>960.40263999999991</v>
      </c>
      <c r="AJ121" s="276">
        <v>0</v>
      </c>
      <c r="AK121" s="276">
        <v>0</v>
      </c>
      <c r="AL121" s="276">
        <v>0</v>
      </c>
      <c r="AM121" s="276">
        <v>0</v>
      </c>
      <c r="AN121" s="276">
        <v>0</v>
      </c>
      <c r="AO121" s="276">
        <v>0</v>
      </c>
      <c r="AP121" s="276">
        <v>0</v>
      </c>
      <c r="AQ121" s="276">
        <v>0</v>
      </c>
      <c r="AR121" s="276">
        <v>0</v>
      </c>
      <c r="AS121" s="276">
        <v>0</v>
      </c>
      <c r="AT121" s="276">
        <v>0</v>
      </c>
      <c r="AU121" s="276">
        <v>0</v>
      </c>
      <c r="AV121" s="276">
        <v>0</v>
      </c>
      <c r="AW121" s="276"/>
      <c r="AX121" s="276"/>
      <c r="AY121" s="277">
        <f t="shared" si="19"/>
        <v>217913.6726799999</v>
      </c>
      <c r="AZ121" s="250">
        <f t="shared" si="20"/>
        <v>0</v>
      </c>
      <c r="BA121" s="278">
        <f t="shared" si="21"/>
        <v>77792.613840000005</v>
      </c>
      <c r="BB121" s="277">
        <f t="shared" si="22"/>
        <v>217913.67268000002</v>
      </c>
      <c r="BD121" s="270" t="b">
        <f t="shared" si="23"/>
        <v>1</v>
      </c>
    </row>
    <row r="122" spans="2:57" s="270" customFormat="1" x14ac:dyDescent="0.25">
      <c r="B122" s="263" t="s">
        <v>756</v>
      </c>
      <c r="C122" s="263">
        <v>59</v>
      </c>
      <c r="D122" s="263" t="s">
        <v>768</v>
      </c>
      <c r="E122" s="263" t="s">
        <v>767</v>
      </c>
      <c r="F122" s="263" t="s">
        <v>766</v>
      </c>
      <c r="G122" s="263" t="s">
        <v>765</v>
      </c>
      <c r="H122" s="263" t="s">
        <v>764</v>
      </c>
      <c r="I122" s="263" t="s">
        <v>716</v>
      </c>
      <c r="J122" s="264">
        <v>167687</v>
      </c>
      <c r="K122" s="281">
        <v>119519.3</v>
      </c>
      <c r="L122" s="264"/>
      <c r="M122" s="264"/>
      <c r="N122" s="265"/>
      <c r="O122" s="265"/>
      <c r="P122" s="265"/>
      <c r="Q122" s="265" t="s">
        <v>702</v>
      </c>
      <c r="R122" s="266"/>
      <c r="S122" s="266">
        <v>0</v>
      </c>
      <c r="T122" s="267">
        <f t="shared" si="18"/>
        <v>0</v>
      </c>
      <c r="U122" s="267">
        <f>16769*3</f>
        <v>50307</v>
      </c>
      <c r="V122" s="267">
        <f>16769*4</f>
        <v>67076</v>
      </c>
      <c r="W122" s="267">
        <f>16769*3</f>
        <v>50307</v>
      </c>
      <c r="X122" s="267">
        <v>0</v>
      </c>
      <c r="Y122" s="267">
        <v>0</v>
      </c>
      <c r="Z122" s="267">
        <v>0</v>
      </c>
      <c r="AA122" s="267">
        <v>0</v>
      </c>
      <c r="AB122" s="267">
        <v>0</v>
      </c>
      <c r="AC122" s="267">
        <v>0</v>
      </c>
      <c r="AD122" s="267">
        <v>0</v>
      </c>
      <c r="AE122" s="267">
        <v>0</v>
      </c>
      <c r="AF122" s="267">
        <v>0</v>
      </c>
      <c r="AG122" s="267">
        <v>0</v>
      </c>
      <c r="AH122" s="267">
        <v>0</v>
      </c>
      <c r="AI122" s="267">
        <v>0</v>
      </c>
      <c r="AJ122" s="267">
        <v>0</v>
      </c>
      <c r="AK122" s="267">
        <v>0</v>
      </c>
      <c r="AL122" s="267">
        <v>0</v>
      </c>
      <c r="AM122" s="267">
        <v>0</v>
      </c>
      <c r="AN122" s="267">
        <v>0</v>
      </c>
      <c r="AO122" s="267">
        <v>0</v>
      </c>
      <c r="AP122" s="267">
        <v>0</v>
      </c>
      <c r="AQ122" s="267">
        <v>0</v>
      </c>
      <c r="AR122" s="267">
        <v>0</v>
      </c>
      <c r="AS122" s="267">
        <v>0</v>
      </c>
      <c r="AT122" s="267">
        <v>0</v>
      </c>
      <c r="AU122" s="267">
        <v>0</v>
      </c>
      <c r="AV122" s="267">
        <v>0</v>
      </c>
      <c r="AW122" s="267"/>
      <c r="AX122" s="267"/>
      <c r="AY122" s="268">
        <f t="shared" si="19"/>
        <v>167690</v>
      </c>
      <c r="AZ122" s="250">
        <f t="shared" si="20"/>
        <v>0</v>
      </c>
      <c r="BA122" s="269">
        <f t="shared" si="21"/>
        <v>0</v>
      </c>
      <c r="BB122" s="268">
        <f t="shared" si="22"/>
        <v>167690</v>
      </c>
      <c r="BD122" s="270" t="b">
        <f t="shared" si="23"/>
        <v>1</v>
      </c>
      <c r="BE122" s="271">
        <f>BB122-K122-R122</f>
        <v>48170.7</v>
      </c>
    </row>
    <row r="123" spans="2:57" x14ac:dyDescent="0.25">
      <c r="B123" s="272" t="s">
        <v>756</v>
      </c>
      <c r="C123" s="272"/>
      <c r="D123" s="272"/>
      <c r="E123" s="272"/>
      <c r="F123" s="272"/>
      <c r="G123" s="272"/>
      <c r="H123" s="272"/>
      <c r="I123" s="272"/>
      <c r="J123" s="273"/>
      <c r="K123" s="273"/>
      <c r="L123" s="273" t="s">
        <v>763</v>
      </c>
      <c r="M123" s="273"/>
      <c r="N123" s="274">
        <f>SUM(O123:P123)</f>
        <v>4.718</v>
      </c>
      <c r="O123" s="274">
        <v>4.718</v>
      </c>
      <c r="P123" s="274">
        <f>$P$4</f>
        <v>0</v>
      </c>
      <c r="Q123" s="274" t="s">
        <v>701</v>
      </c>
      <c r="R123" s="275"/>
      <c r="S123" s="275">
        <v>313.27</v>
      </c>
      <c r="T123" s="276">
        <f t="shared" ref="T123" si="24">SUM(R123:S123)</f>
        <v>313.27</v>
      </c>
      <c r="U123" s="276">
        <f>SUM(U122:$AV122)*$N123/100</f>
        <v>7911.6142</v>
      </c>
      <c r="V123" s="276">
        <f>SUM(V122:$AV122)*$N123/100</f>
        <v>5538.1299399999998</v>
      </c>
      <c r="W123" s="276">
        <f>SUM(W122:$AV122)*$N123/100</f>
        <v>2373.4842600000002</v>
      </c>
      <c r="X123" s="276">
        <v>0</v>
      </c>
      <c r="Y123" s="276">
        <v>0</v>
      </c>
      <c r="Z123" s="276">
        <v>0</v>
      </c>
      <c r="AA123" s="276">
        <v>0</v>
      </c>
      <c r="AB123" s="276">
        <v>0</v>
      </c>
      <c r="AC123" s="276">
        <v>0</v>
      </c>
      <c r="AD123" s="276">
        <v>0</v>
      </c>
      <c r="AE123" s="276">
        <v>0</v>
      </c>
      <c r="AF123" s="276">
        <v>0</v>
      </c>
      <c r="AG123" s="276">
        <v>0</v>
      </c>
      <c r="AH123" s="276">
        <v>0</v>
      </c>
      <c r="AI123" s="276">
        <v>0</v>
      </c>
      <c r="AJ123" s="276">
        <v>0</v>
      </c>
      <c r="AK123" s="276">
        <v>0</v>
      </c>
      <c r="AL123" s="276">
        <v>0</v>
      </c>
      <c r="AM123" s="276">
        <v>0</v>
      </c>
      <c r="AN123" s="276">
        <v>0</v>
      </c>
      <c r="AO123" s="276">
        <v>0</v>
      </c>
      <c r="AP123" s="276">
        <v>0</v>
      </c>
      <c r="AQ123" s="276">
        <v>0</v>
      </c>
      <c r="AR123" s="276">
        <v>0</v>
      </c>
      <c r="AS123" s="276">
        <v>0</v>
      </c>
      <c r="AT123" s="276">
        <v>0</v>
      </c>
      <c r="AU123" s="276">
        <v>0</v>
      </c>
      <c r="AV123" s="276">
        <v>0</v>
      </c>
      <c r="AW123" s="276"/>
      <c r="AX123" s="276"/>
      <c r="AY123" s="277">
        <f t="shared" si="19"/>
        <v>16136.4984</v>
      </c>
      <c r="AZ123" s="250">
        <f t="shared" si="20"/>
        <v>0</v>
      </c>
      <c r="BA123" s="278">
        <f t="shared" si="21"/>
        <v>0</v>
      </c>
      <c r="BB123" s="277">
        <f t="shared" si="22"/>
        <v>16136.4984</v>
      </c>
      <c r="BD123" s="270" t="b">
        <f t="shared" si="23"/>
        <v>1</v>
      </c>
    </row>
    <row r="124" spans="2:57" s="287" customFormat="1" x14ac:dyDescent="0.25">
      <c r="B124" s="282" t="s">
        <v>754</v>
      </c>
      <c r="C124" s="282">
        <v>60</v>
      </c>
      <c r="D124" s="282" t="s">
        <v>335</v>
      </c>
      <c r="E124" s="282" t="s">
        <v>762</v>
      </c>
      <c r="F124" s="282" t="s">
        <v>761</v>
      </c>
      <c r="G124" s="282" t="s">
        <v>760</v>
      </c>
      <c r="H124" s="282" t="s">
        <v>759</v>
      </c>
      <c r="I124" s="282" t="s">
        <v>716</v>
      </c>
      <c r="J124" s="264">
        <v>287500</v>
      </c>
      <c r="K124" s="283">
        <v>0</v>
      </c>
      <c r="L124" s="283"/>
      <c r="M124" s="283"/>
      <c r="N124" s="284"/>
      <c r="O124" s="284"/>
      <c r="P124" s="284"/>
      <c r="Q124" s="265" t="s">
        <v>702</v>
      </c>
      <c r="R124" s="285"/>
      <c r="S124" s="267"/>
      <c r="T124" s="267"/>
      <c r="U124" s="267">
        <v>15542</v>
      </c>
      <c r="V124" s="267">
        <v>31084</v>
      </c>
      <c r="W124" s="267">
        <v>31084</v>
      </c>
      <c r="X124" s="267">
        <v>31084</v>
      </c>
      <c r="Y124" s="267">
        <v>31084</v>
      </c>
      <c r="Z124" s="267">
        <v>31084</v>
      </c>
      <c r="AA124" s="267">
        <v>31084</v>
      </c>
      <c r="AB124" s="267">
        <v>31084</v>
      </c>
      <c r="AC124" s="267">
        <v>31084</v>
      </c>
      <c r="AD124" s="267">
        <f>J124-AC124-AB124-AA124-Z124-Y124-X124-W124-V124-U124</f>
        <v>23286</v>
      </c>
      <c r="AE124" s="267"/>
      <c r="AF124" s="267"/>
      <c r="AG124" s="267"/>
      <c r="AH124" s="267"/>
      <c r="AI124" s="267"/>
      <c r="AJ124" s="267"/>
      <c r="AK124" s="267"/>
      <c r="AL124" s="267"/>
      <c r="AM124" s="267"/>
      <c r="AN124" s="267"/>
      <c r="AO124" s="267"/>
      <c r="AP124" s="267"/>
      <c r="AQ124" s="267"/>
      <c r="AR124" s="267"/>
      <c r="AS124" s="267"/>
      <c r="AT124" s="267"/>
      <c r="AU124" s="267"/>
      <c r="AV124" s="267"/>
      <c r="AW124" s="267"/>
      <c r="AX124" s="267"/>
      <c r="AY124" s="268">
        <f t="shared" si="19"/>
        <v>287500</v>
      </c>
      <c r="AZ124" s="286">
        <f t="shared" si="20"/>
        <v>0</v>
      </c>
      <c r="BA124" s="269">
        <f t="shared" si="21"/>
        <v>116538</v>
      </c>
      <c r="BB124" s="268">
        <f t="shared" si="22"/>
        <v>287500</v>
      </c>
      <c r="BD124" s="288" t="b">
        <f t="shared" si="23"/>
        <v>1</v>
      </c>
      <c r="BE124" s="289">
        <f>BB124-K124-R124</f>
        <v>287500</v>
      </c>
    </row>
    <row r="125" spans="2:57" s="287" customFormat="1" x14ac:dyDescent="0.25">
      <c r="B125" s="290" t="s">
        <v>754</v>
      </c>
      <c r="C125" s="290"/>
      <c r="D125" s="290"/>
      <c r="E125" s="290"/>
      <c r="F125" s="290"/>
      <c r="G125" s="290"/>
      <c r="H125" s="290"/>
      <c r="I125" s="290"/>
      <c r="J125" s="273"/>
      <c r="K125" s="273"/>
      <c r="L125" s="273"/>
      <c r="M125" s="273"/>
      <c r="N125" s="274">
        <f>SUM(O125:P125)</f>
        <v>5.2960000000000003</v>
      </c>
      <c r="O125" s="274">
        <v>5.2960000000000003</v>
      </c>
      <c r="P125" s="274">
        <f>$P$4</f>
        <v>0</v>
      </c>
      <c r="Q125" s="274" t="s">
        <v>701</v>
      </c>
      <c r="R125" s="291"/>
      <c r="S125" s="276"/>
      <c r="T125" s="276"/>
      <c r="U125" s="276">
        <f>SUM(U124:$AV124)*$N125/100</f>
        <v>15226</v>
      </c>
      <c r="V125" s="276">
        <f>SUM(V124:$AV124)*$N125/100</f>
        <v>14402.89568</v>
      </c>
      <c r="W125" s="276">
        <f>SUM(W124:$AV124)*$N125/100</f>
        <v>12756.687040000001</v>
      </c>
      <c r="X125" s="276">
        <f>SUM(X124:$AV124)*$N125/100</f>
        <v>11110.4784</v>
      </c>
      <c r="Y125" s="276">
        <f>SUM(Y124:$AV124)*$N125/100</f>
        <v>9464.269760000001</v>
      </c>
      <c r="Z125" s="276">
        <f>SUM(Z124:$AV124)*$N125/100</f>
        <v>7818.0611200000012</v>
      </c>
      <c r="AA125" s="276">
        <f>SUM(AA124:$AV124)*$N125/100</f>
        <v>6171.8524800000005</v>
      </c>
      <c r="AB125" s="276">
        <f>SUM(AB124:$AV124)*$N125/100</f>
        <v>4525.6438400000006</v>
      </c>
      <c r="AC125" s="276">
        <f>SUM(AC124:$AV124)*$N125/100</f>
        <v>2879.4352000000003</v>
      </c>
      <c r="AD125" s="276">
        <f>SUM(AD124:$AV124)*$N125/100</f>
        <v>1233.2265600000001</v>
      </c>
      <c r="AE125" s="276"/>
      <c r="AF125" s="276"/>
      <c r="AG125" s="276"/>
      <c r="AH125" s="276"/>
      <c r="AI125" s="276"/>
      <c r="AJ125" s="276"/>
      <c r="AK125" s="276"/>
      <c r="AL125" s="276"/>
      <c r="AM125" s="276"/>
      <c r="AN125" s="276"/>
      <c r="AO125" s="276"/>
      <c r="AP125" s="276"/>
      <c r="AQ125" s="276"/>
      <c r="AR125" s="276"/>
      <c r="AS125" s="276"/>
      <c r="AT125" s="276"/>
      <c r="AU125" s="276"/>
      <c r="AV125" s="276"/>
      <c r="AW125" s="276"/>
      <c r="AX125" s="276"/>
      <c r="AY125" s="277">
        <f t="shared" si="19"/>
        <v>85588.550080000015</v>
      </c>
      <c r="AZ125" s="286">
        <f t="shared" si="20"/>
        <v>0</v>
      </c>
      <c r="BA125" s="278">
        <f t="shared" si="21"/>
        <v>14810.158080000001</v>
      </c>
      <c r="BB125" s="277">
        <f t="shared" si="22"/>
        <v>85588.550080000015</v>
      </c>
      <c r="BD125" s="288" t="b">
        <f t="shared" si="23"/>
        <v>1</v>
      </c>
    </row>
    <row r="126" spans="2:57" s="352" customFormat="1" x14ac:dyDescent="0.25">
      <c r="B126" s="353" t="s">
        <v>754</v>
      </c>
      <c r="C126" s="353">
        <v>61</v>
      </c>
      <c r="D126" s="353" t="s">
        <v>328</v>
      </c>
      <c r="E126" s="353" t="s">
        <v>1084</v>
      </c>
      <c r="F126" s="353" t="s">
        <v>1085</v>
      </c>
      <c r="G126" s="354">
        <v>45215</v>
      </c>
      <c r="H126" s="354">
        <v>49572</v>
      </c>
      <c r="I126" s="353" t="s">
        <v>716</v>
      </c>
      <c r="J126" s="264">
        <v>353750</v>
      </c>
      <c r="K126" s="264"/>
      <c r="L126" s="264"/>
      <c r="M126" s="264"/>
      <c r="N126" s="265"/>
      <c r="O126" s="265"/>
      <c r="P126" s="265"/>
      <c r="Q126" s="265" t="s">
        <v>702</v>
      </c>
      <c r="R126" s="285"/>
      <c r="S126" s="267"/>
      <c r="T126" s="267"/>
      <c r="U126" s="267">
        <f>7527*4</f>
        <v>30108</v>
      </c>
      <c r="V126" s="267">
        <f t="shared" ref="V126:AE126" si="25">7527*4</f>
        <v>30108</v>
      </c>
      <c r="W126" s="267">
        <f t="shared" si="25"/>
        <v>30108</v>
      </c>
      <c r="X126" s="267">
        <f t="shared" si="25"/>
        <v>30108</v>
      </c>
      <c r="Y126" s="267">
        <f t="shared" si="25"/>
        <v>30108</v>
      </c>
      <c r="Z126" s="267">
        <f t="shared" si="25"/>
        <v>30108</v>
      </c>
      <c r="AA126" s="267">
        <f t="shared" si="25"/>
        <v>30108</v>
      </c>
      <c r="AB126" s="267">
        <f t="shared" si="25"/>
        <v>30108</v>
      </c>
      <c r="AC126" s="267">
        <f t="shared" si="25"/>
        <v>30108</v>
      </c>
      <c r="AD126" s="267">
        <f t="shared" si="25"/>
        <v>30108</v>
      </c>
      <c r="AE126" s="267">
        <f t="shared" si="25"/>
        <v>30108</v>
      </c>
      <c r="AF126" s="267">
        <f>7527*2+7508</f>
        <v>22562</v>
      </c>
      <c r="AG126" s="267"/>
      <c r="AH126" s="267"/>
      <c r="AI126" s="267"/>
      <c r="AJ126" s="267"/>
      <c r="AK126" s="267"/>
      <c r="AL126" s="267"/>
      <c r="AM126" s="267"/>
      <c r="AN126" s="267"/>
      <c r="AO126" s="267"/>
      <c r="AP126" s="267"/>
      <c r="AQ126" s="267"/>
      <c r="AR126" s="267"/>
      <c r="AS126" s="267"/>
      <c r="AT126" s="267"/>
      <c r="AU126" s="267"/>
      <c r="AV126" s="267"/>
      <c r="AW126" s="267"/>
      <c r="AX126" s="267"/>
      <c r="AY126" s="268">
        <f t="shared" ref="AY126:AY127" si="26">SUM(T126:AX126)</f>
        <v>353750</v>
      </c>
      <c r="AZ126" s="355">
        <f t="shared" ref="AZ126:AZ127" si="27">AY126-SUM(T126:AX126)</f>
        <v>0</v>
      </c>
      <c r="BA126" s="269">
        <f t="shared" ref="BA126:BA127" si="28">SUM(AA126:AX126)</f>
        <v>173102</v>
      </c>
      <c r="BB126" s="268">
        <f t="shared" si="22"/>
        <v>353750</v>
      </c>
      <c r="BD126" s="352" t="b">
        <f t="shared" si="23"/>
        <v>1</v>
      </c>
      <c r="BE126" s="355">
        <f>BB126-K126-R126</f>
        <v>353750</v>
      </c>
    </row>
    <row r="127" spans="2:57" s="356" customFormat="1" x14ac:dyDescent="0.25">
      <c r="B127" s="357" t="s">
        <v>754</v>
      </c>
      <c r="C127" s="357"/>
      <c r="D127" s="357"/>
      <c r="E127" s="357"/>
      <c r="F127" s="357"/>
      <c r="G127" s="357"/>
      <c r="H127" s="357"/>
      <c r="I127" s="357"/>
      <c r="J127" s="273"/>
      <c r="K127" s="273"/>
      <c r="L127" s="273"/>
      <c r="M127" s="273"/>
      <c r="N127" s="274">
        <f t="shared" ref="N127" si="29">SUM(O127:P127)</f>
        <v>4.5910000000000002</v>
      </c>
      <c r="O127" s="274">
        <v>4.5910000000000002</v>
      </c>
      <c r="P127" s="274"/>
      <c r="Q127" s="274" t="s">
        <v>701</v>
      </c>
      <c r="R127" s="291"/>
      <c r="S127" s="276"/>
      <c r="T127" s="276"/>
      <c r="U127" s="276">
        <f>SUM(U126:$AV126)*$N127/100+261</f>
        <v>16501.662499999999</v>
      </c>
      <c r="V127" s="276">
        <f>SUM(V126:$AV126)*$N127/100</f>
        <v>14858.40422</v>
      </c>
      <c r="W127" s="276">
        <f>SUM(W126:$AV126)*$N127/100</f>
        <v>13476.14594</v>
      </c>
      <c r="X127" s="276">
        <f>SUM(X126:$AV126)*$N127/100</f>
        <v>12093.88766</v>
      </c>
      <c r="Y127" s="276">
        <f>SUM(Y126:$AV126)*$N127/100</f>
        <v>10711.62938</v>
      </c>
      <c r="Z127" s="276">
        <f>SUM(Z126:$AV126)*$N127/100</f>
        <v>9329.3711000000003</v>
      </c>
      <c r="AA127" s="276">
        <f>SUM(AA126:$AV126)*$N127/100</f>
        <v>7947.1128200000003</v>
      </c>
      <c r="AB127" s="276">
        <f>SUM(AB126:$AV126)*$N127/100</f>
        <v>6564.8545400000003</v>
      </c>
      <c r="AC127" s="276">
        <f>SUM(AC126:$AV126)*$N127/100</f>
        <v>5182.5962600000003</v>
      </c>
      <c r="AD127" s="276">
        <f>SUM(AD126:$AV126)*$N127/100</f>
        <v>3800.3379800000002</v>
      </c>
      <c r="AE127" s="276">
        <f>SUM(AE126:$AV126)*$N127/100</f>
        <v>2418.0797000000002</v>
      </c>
      <c r="AF127" s="276">
        <f>SUM(AF126:$AV126)*$N127/100</f>
        <v>1035.82142</v>
      </c>
      <c r="AG127" s="276"/>
      <c r="AH127" s="276"/>
      <c r="AI127" s="276"/>
      <c r="AJ127" s="276"/>
      <c r="AK127" s="276"/>
      <c r="AL127" s="276"/>
      <c r="AM127" s="276"/>
      <c r="AN127" s="276"/>
      <c r="AO127" s="276"/>
      <c r="AP127" s="276"/>
      <c r="AQ127" s="276"/>
      <c r="AR127" s="276"/>
      <c r="AS127" s="276"/>
      <c r="AT127" s="276"/>
      <c r="AU127" s="276"/>
      <c r="AV127" s="276"/>
      <c r="AW127" s="276"/>
      <c r="AX127" s="276"/>
      <c r="AY127" s="277">
        <f t="shared" si="26"/>
        <v>103919.90351999999</v>
      </c>
      <c r="AZ127" s="358">
        <f t="shared" si="27"/>
        <v>0</v>
      </c>
      <c r="BA127" s="278">
        <f t="shared" si="28"/>
        <v>26948.80272</v>
      </c>
      <c r="BB127" s="277">
        <f t="shared" si="22"/>
        <v>103919.90351999999</v>
      </c>
      <c r="BD127" s="352" t="b">
        <f t="shared" si="23"/>
        <v>1</v>
      </c>
    </row>
    <row r="128" spans="2:57" s="287" customFormat="1" x14ac:dyDescent="0.25">
      <c r="B128" s="282" t="s">
        <v>756</v>
      </c>
      <c r="C128" s="292">
        <v>62</v>
      </c>
      <c r="D128" s="292" t="s">
        <v>758</v>
      </c>
      <c r="E128" s="292" t="s">
        <v>717</v>
      </c>
      <c r="F128" s="292"/>
      <c r="G128" s="292">
        <v>2024</v>
      </c>
      <c r="H128" s="292">
        <v>2029</v>
      </c>
      <c r="I128" s="292" t="s">
        <v>716</v>
      </c>
      <c r="J128" s="283">
        <v>196584</v>
      </c>
      <c r="K128" s="283"/>
      <c r="L128" s="283"/>
      <c r="M128" s="283"/>
      <c r="N128" s="284"/>
      <c r="O128" s="284"/>
      <c r="P128" s="284"/>
      <c r="Q128" s="265" t="s">
        <v>702</v>
      </c>
      <c r="R128" s="285"/>
      <c r="S128" s="267"/>
      <c r="T128" s="267"/>
      <c r="U128" s="267"/>
      <c r="V128" s="267"/>
      <c r="W128" s="267">
        <f>$J$128/5</f>
        <v>39316.800000000003</v>
      </c>
      <c r="X128" s="267">
        <f>$J$128/5</f>
        <v>39316.800000000003</v>
      </c>
      <c r="Y128" s="267">
        <f>$J$128/5</f>
        <v>39316.800000000003</v>
      </c>
      <c r="Z128" s="267">
        <f>$J$128/5</f>
        <v>39316.800000000003</v>
      </c>
      <c r="AA128" s="267">
        <f>$J$128/5</f>
        <v>39316.800000000003</v>
      </c>
      <c r="AB128" s="267"/>
      <c r="AC128" s="267"/>
      <c r="AD128" s="267"/>
      <c r="AE128" s="267"/>
      <c r="AF128" s="267"/>
      <c r="AG128" s="267"/>
      <c r="AH128" s="267"/>
      <c r="AI128" s="267"/>
      <c r="AJ128" s="267"/>
      <c r="AK128" s="267"/>
      <c r="AL128" s="267"/>
      <c r="AM128" s="267"/>
      <c r="AN128" s="267"/>
      <c r="AO128" s="267"/>
      <c r="AP128" s="267"/>
      <c r="AQ128" s="267"/>
      <c r="AR128" s="267"/>
      <c r="AS128" s="267"/>
      <c r="AT128" s="267"/>
      <c r="AU128" s="267"/>
      <c r="AV128" s="267"/>
      <c r="AW128" s="267"/>
      <c r="AX128" s="267"/>
      <c r="AY128" s="268">
        <f t="shared" si="19"/>
        <v>196584</v>
      </c>
      <c r="AZ128" s="286">
        <f t="shared" si="20"/>
        <v>0</v>
      </c>
      <c r="BA128" s="269">
        <f t="shared" si="21"/>
        <v>39316.800000000003</v>
      </c>
      <c r="BB128" s="268">
        <f t="shared" si="22"/>
        <v>196584</v>
      </c>
      <c r="BD128" s="288" t="b">
        <f t="shared" si="23"/>
        <v>1</v>
      </c>
      <c r="BE128" s="289">
        <f>BB128-K128-R128</f>
        <v>196584</v>
      </c>
    </row>
    <row r="129" spans="2:57" s="287" customFormat="1" x14ac:dyDescent="0.25">
      <c r="B129" s="290" t="s">
        <v>756</v>
      </c>
      <c r="C129" s="290"/>
      <c r="D129" s="290" t="s">
        <v>757</v>
      </c>
      <c r="E129" s="290"/>
      <c r="F129" s="290"/>
      <c r="G129" s="290"/>
      <c r="H129" s="290"/>
      <c r="I129" s="290"/>
      <c r="J129" s="273"/>
      <c r="K129" s="273"/>
      <c r="L129" s="273"/>
      <c r="M129" s="273"/>
      <c r="N129" s="274">
        <f>SUM(O129:P129)</f>
        <v>4.4470000000000001</v>
      </c>
      <c r="O129" s="274">
        <v>4.4470000000000001</v>
      </c>
      <c r="P129" s="274">
        <f>$P$4</f>
        <v>0</v>
      </c>
      <c r="Q129" s="274" t="s">
        <v>701</v>
      </c>
      <c r="R129" s="291"/>
      <c r="S129" s="276"/>
      <c r="T129" s="276"/>
      <c r="U129" s="276"/>
      <c r="V129" s="276">
        <f>SUM(V128:$AV128)*$N129/100</f>
        <v>8742.0904800000008</v>
      </c>
      <c r="W129" s="276">
        <f>SUM(W128:$AV128)*$N129/100</f>
        <v>8742.0904800000008</v>
      </c>
      <c r="X129" s="276">
        <f>SUM(X128:$AV128)*$N129/100</f>
        <v>6993.6723840000004</v>
      </c>
      <c r="Y129" s="276">
        <f>SUM(Y128:$AV128)*$N129/100</f>
        <v>5245.2542880000001</v>
      </c>
      <c r="Z129" s="276">
        <f>SUM(Z128:$AV128)*$N129/100</f>
        <v>3496.8361920000002</v>
      </c>
      <c r="AA129" s="276">
        <f>SUM(AA128:$AV128)*$N129/100</f>
        <v>1748.4180960000001</v>
      </c>
      <c r="AB129" s="276"/>
      <c r="AC129" s="276"/>
      <c r="AD129" s="276"/>
      <c r="AE129" s="276"/>
      <c r="AF129" s="276"/>
      <c r="AG129" s="276"/>
      <c r="AH129" s="276"/>
      <c r="AI129" s="276"/>
      <c r="AJ129" s="276"/>
      <c r="AK129" s="276"/>
      <c r="AL129" s="276"/>
      <c r="AM129" s="276"/>
      <c r="AN129" s="276"/>
      <c r="AO129" s="276"/>
      <c r="AP129" s="276"/>
      <c r="AQ129" s="276"/>
      <c r="AR129" s="276"/>
      <c r="AS129" s="276"/>
      <c r="AT129" s="276"/>
      <c r="AU129" s="276"/>
      <c r="AV129" s="276"/>
      <c r="AW129" s="276"/>
      <c r="AX129" s="276"/>
      <c r="AY129" s="277">
        <f t="shared" si="19"/>
        <v>34968.361920000003</v>
      </c>
      <c r="AZ129" s="286">
        <f t="shared" si="20"/>
        <v>0</v>
      </c>
      <c r="BA129" s="278">
        <f t="shared" si="21"/>
        <v>1748.4180960000001</v>
      </c>
      <c r="BB129" s="277">
        <f t="shared" si="22"/>
        <v>34968.361920000003</v>
      </c>
      <c r="BD129" s="288" t="b">
        <f t="shared" si="23"/>
        <v>1</v>
      </c>
    </row>
    <row r="130" spans="2:57" s="287" customFormat="1" x14ac:dyDescent="0.25">
      <c r="B130" s="282" t="s">
        <v>756</v>
      </c>
      <c r="C130" s="292">
        <v>63</v>
      </c>
      <c r="D130" s="292" t="s">
        <v>246</v>
      </c>
      <c r="E130" s="292" t="s">
        <v>717</v>
      </c>
      <c r="F130" s="292"/>
      <c r="G130" s="292">
        <v>2024</v>
      </c>
      <c r="H130" s="292">
        <v>2039</v>
      </c>
      <c r="I130" s="292" t="s">
        <v>716</v>
      </c>
      <c r="J130" s="283">
        <v>787514</v>
      </c>
      <c r="K130" s="283"/>
      <c r="L130" s="283"/>
      <c r="M130" s="283"/>
      <c r="N130" s="284"/>
      <c r="O130" s="284"/>
      <c r="P130" s="284"/>
      <c r="Q130" s="265" t="s">
        <v>702</v>
      </c>
      <c r="R130" s="285"/>
      <c r="S130" s="267"/>
      <c r="T130" s="267"/>
      <c r="U130" s="267"/>
      <c r="V130" s="267"/>
      <c r="W130" s="267"/>
      <c r="X130" s="267">
        <f t="shared" ref="X130:AL130" si="30">$J$130/15</f>
        <v>52500.933333333334</v>
      </c>
      <c r="Y130" s="267">
        <f t="shared" si="30"/>
        <v>52500.933333333334</v>
      </c>
      <c r="Z130" s="267">
        <f t="shared" si="30"/>
        <v>52500.933333333334</v>
      </c>
      <c r="AA130" s="267">
        <f t="shared" si="30"/>
        <v>52500.933333333334</v>
      </c>
      <c r="AB130" s="267">
        <f t="shared" si="30"/>
        <v>52500.933333333334</v>
      </c>
      <c r="AC130" s="267">
        <f t="shared" si="30"/>
        <v>52500.933333333334</v>
      </c>
      <c r="AD130" s="267">
        <f t="shared" si="30"/>
        <v>52500.933333333334</v>
      </c>
      <c r="AE130" s="267">
        <f t="shared" si="30"/>
        <v>52500.933333333334</v>
      </c>
      <c r="AF130" s="267">
        <f t="shared" si="30"/>
        <v>52500.933333333334</v>
      </c>
      <c r="AG130" s="267">
        <f t="shared" si="30"/>
        <v>52500.933333333334</v>
      </c>
      <c r="AH130" s="267">
        <f t="shared" si="30"/>
        <v>52500.933333333334</v>
      </c>
      <c r="AI130" s="267">
        <f t="shared" si="30"/>
        <v>52500.933333333334</v>
      </c>
      <c r="AJ130" s="267">
        <f t="shared" si="30"/>
        <v>52500.933333333334</v>
      </c>
      <c r="AK130" s="267">
        <f t="shared" si="30"/>
        <v>52500.933333333334</v>
      </c>
      <c r="AL130" s="267">
        <f t="shared" si="30"/>
        <v>52500.933333333334</v>
      </c>
      <c r="AM130" s="267"/>
      <c r="AN130" s="267"/>
      <c r="AO130" s="267"/>
      <c r="AP130" s="267"/>
      <c r="AQ130" s="267"/>
      <c r="AR130" s="267"/>
      <c r="AS130" s="267"/>
      <c r="AT130" s="267"/>
      <c r="AU130" s="267"/>
      <c r="AV130" s="267"/>
      <c r="AW130" s="267"/>
      <c r="AX130" s="267"/>
      <c r="AY130" s="268">
        <f t="shared" si="19"/>
        <v>787514.00000000012</v>
      </c>
      <c r="AZ130" s="286">
        <f t="shared" si="20"/>
        <v>0</v>
      </c>
      <c r="BA130" s="269">
        <f t="shared" si="21"/>
        <v>630011.20000000007</v>
      </c>
      <c r="BB130" s="268">
        <f t="shared" si="22"/>
        <v>787514</v>
      </c>
      <c r="BD130" s="288" t="b">
        <f t="shared" si="23"/>
        <v>1</v>
      </c>
      <c r="BE130" s="289">
        <f>BB130-K130-R130</f>
        <v>787514</v>
      </c>
    </row>
    <row r="131" spans="2:57" s="287" customFormat="1" x14ac:dyDescent="0.25">
      <c r="B131" s="290" t="s">
        <v>756</v>
      </c>
      <c r="C131" s="290"/>
      <c r="D131" s="290"/>
      <c r="E131" s="290"/>
      <c r="F131" s="290"/>
      <c r="G131" s="290"/>
      <c r="H131" s="290"/>
      <c r="I131" s="290"/>
      <c r="J131" s="290"/>
      <c r="K131" s="273"/>
      <c r="L131" s="273"/>
      <c r="M131" s="273"/>
      <c r="N131" s="274">
        <f>SUM(O131:P131)</f>
        <v>4.944</v>
      </c>
      <c r="O131" s="274">
        <v>4.944</v>
      </c>
      <c r="P131" s="274">
        <f>$P$4</f>
        <v>0</v>
      </c>
      <c r="Q131" s="274" t="s">
        <v>701</v>
      </c>
      <c r="R131" s="291"/>
      <c r="S131" s="276"/>
      <c r="T131" s="276"/>
      <c r="U131" s="276"/>
      <c r="V131" s="276">
        <f>SUM(V130:$AV130)*$N131/100</f>
        <v>38934.692160000006</v>
      </c>
      <c r="W131" s="276">
        <f>SUM(W130:$AV130)*$N131/100</f>
        <v>38934.692160000006</v>
      </c>
      <c r="X131" s="276">
        <f>SUM(X130:$AV130)*$N131/100</f>
        <v>38934.692160000006</v>
      </c>
      <c r="Y131" s="276">
        <f>SUM(Y130:$AV130)*$N131/100</f>
        <v>36339.046016000008</v>
      </c>
      <c r="Z131" s="276">
        <f>SUM(Z130:$AV130)*$N131/100</f>
        <v>33743.399872000002</v>
      </c>
      <c r="AA131" s="276">
        <f>SUM(AA130:$AV130)*$N131/100</f>
        <v>31147.753728000003</v>
      </c>
      <c r="AB131" s="276">
        <f>SUM(AB130:$AV130)*$N131/100</f>
        <v>28552.107584000001</v>
      </c>
      <c r="AC131" s="276">
        <f>SUM(AC130:$AV130)*$N131/100</f>
        <v>25956.461440000003</v>
      </c>
      <c r="AD131" s="276">
        <f>SUM(AD130:$AV130)*$N131/100</f>
        <v>23360.815296000004</v>
      </c>
      <c r="AE131" s="276">
        <f>SUM(AE130:$AV130)*$N131/100</f>
        <v>20765.169152000002</v>
      </c>
      <c r="AF131" s="276">
        <f>SUM(AF130:$AV130)*$N131/100</f>
        <v>18169.523008000004</v>
      </c>
      <c r="AG131" s="276">
        <f>SUM(AG130:$AV130)*$N131/100</f>
        <v>15573.876864000002</v>
      </c>
      <c r="AH131" s="276">
        <f>SUM(AH130:$AV130)*$N131/100</f>
        <v>12978.230720000001</v>
      </c>
      <c r="AI131" s="276">
        <f>SUM(AI130:$AV130)*$N131/100</f>
        <v>10382.584575999999</v>
      </c>
      <c r="AJ131" s="276">
        <f>SUM(AJ130:$AV130)*$N131/100</f>
        <v>7786.938431999999</v>
      </c>
      <c r="AK131" s="276">
        <f>SUM(AK130:$AV130)*$N131/100</f>
        <v>5191.2922879999996</v>
      </c>
      <c r="AL131" s="276">
        <f>SUM(AL130:$AV130)*$N131/100</f>
        <v>2595.6461439999998</v>
      </c>
      <c r="AM131" s="276"/>
      <c r="AN131" s="276"/>
      <c r="AO131" s="276"/>
      <c r="AP131" s="276"/>
      <c r="AQ131" s="276"/>
      <c r="AR131" s="276"/>
      <c r="AS131" s="276"/>
      <c r="AT131" s="276"/>
      <c r="AU131" s="276"/>
      <c r="AV131" s="276"/>
      <c r="AW131" s="276"/>
      <c r="AX131" s="276"/>
      <c r="AY131" s="277">
        <f t="shared" si="19"/>
        <v>389346.9216</v>
      </c>
      <c r="AZ131" s="286">
        <f t="shared" si="20"/>
        <v>0</v>
      </c>
      <c r="BA131" s="278">
        <f t="shared" si="21"/>
        <v>202460.399232</v>
      </c>
      <c r="BB131" s="277">
        <f t="shared" si="22"/>
        <v>389346.9216</v>
      </c>
      <c r="BD131" s="288" t="b">
        <f t="shared" si="23"/>
        <v>1</v>
      </c>
    </row>
    <row r="132" spans="2:57" s="287" customFormat="1" x14ac:dyDescent="0.25">
      <c r="B132" s="282" t="s">
        <v>754</v>
      </c>
      <c r="C132" s="292">
        <v>64</v>
      </c>
      <c r="D132" s="292" t="s">
        <v>251</v>
      </c>
      <c r="E132" s="292" t="s">
        <v>717</v>
      </c>
      <c r="F132" s="292"/>
      <c r="G132" s="292">
        <v>2024</v>
      </c>
      <c r="H132" s="292">
        <v>2031</v>
      </c>
      <c r="I132" s="292" t="s">
        <v>716</v>
      </c>
      <c r="J132" s="283"/>
      <c r="K132" s="283"/>
      <c r="L132" s="283"/>
      <c r="M132" s="283"/>
      <c r="N132" s="284"/>
      <c r="O132" s="284"/>
      <c r="P132" s="284"/>
      <c r="Q132" s="265" t="s">
        <v>702</v>
      </c>
      <c r="R132" s="285"/>
      <c r="S132" s="267"/>
      <c r="T132" s="267"/>
      <c r="U132" s="267">
        <f t="shared" ref="U132:AA132" si="31">$J$132/7</f>
        <v>0</v>
      </c>
      <c r="V132" s="267">
        <f t="shared" si="31"/>
        <v>0</v>
      </c>
      <c r="W132" s="267">
        <f t="shared" si="31"/>
        <v>0</v>
      </c>
      <c r="X132" s="267">
        <f t="shared" si="31"/>
        <v>0</v>
      </c>
      <c r="Y132" s="267">
        <f t="shared" si="31"/>
        <v>0</v>
      </c>
      <c r="Z132" s="267">
        <f t="shared" si="31"/>
        <v>0</v>
      </c>
      <c r="AA132" s="267">
        <f t="shared" si="31"/>
        <v>0</v>
      </c>
      <c r="AB132" s="267"/>
      <c r="AC132" s="267"/>
      <c r="AD132" s="267"/>
      <c r="AE132" s="267"/>
      <c r="AF132" s="267"/>
      <c r="AG132" s="267"/>
      <c r="AH132" s="267"/>
      <c r="AI132" s="267"/>
      <c r="AJ132" s="267"/>
      <c r="AK132" s="267"/>
      <c r="AL132" s="267"/>
      <c r="AM132" s="267"/>
      <c r="AN132" s="267"/>
      <c r="AO132" s="267"/>
      <c r="AP132" s="267"/>
      <c r="AQ132" s="267"/>
      <c r="AR132" s="267"/>
      <c r="AS132" s="267"/>
      <c r="AT132" s="267"/>
      <c r="AU132" s="267"/>
      <c r="AV132" s="267"/>
      <c r="AW132" s="267"/>
      <c r="AX132" s="267"/>
      <c r="AY132" s="268">
        <f t="shared" si="19"/>
        <v>0</v>
      </c>
      <c r="AZ132" s="286">
        <f t="shared" si="20"/>
        <v>0</v>
      </c>
      <c r="BA132" s="269">
        <f t="shared" si="21"/>
        <v>0</v>
      </c>
      <c r="BB132" s="268">
        <f t="shared" si="22"/>
        <v>0</v>
      </c>
      <c r="BD132" s="288" t="b">
        <f t="shared" si="23"/>
        <v>1</v>
      </c>
      <c r="BE132" s="289">
        <f>BB132-K132-R132</f>
        <v>0</v>
      </c>
    </row>
    <row r="133" spans="2:57" s="287" customFormat="1" x14ac:dyDescent="0.25">
      <c r="B133" s="290" t="s">
        <v>754</v>
      </c>
      <c r="C133" s="290"/>
      <c r="D133" s="290"/>
      <c r="E133" s="290"/>
      <c r="F133" s="290"/>
      <c r="G133" s="290"/>
      <c r="H133" s="290"/>
      <c r="I133" s="290"/>
      <c r="J133" s="273"/>
      <c r="K133" s="273"/>
      <c r="L133" s="273"/>
      <c r="M133" s="273"/>
      <c r="N133" s="274">
        <f>SUM(O133:P133)</f>
        <v>4.4470000000000001</v>
      </c>
      <c r="O133" s="274">
        <v>4.4470000000000001</v>
      </c>
      <c r="P133" s="274">
        <f>$P$4</f>
        <v>0</v>
      </c>
      <c r="Q133" s="274" t="s">
        <v>701</v>
      </c>
      <c r="R133" s="291"/>
      <c r="S133" s="276"/>
      <c r="T133" s="276"/>
      <c r="U133" s="276">
        <f>SUM(U132:$AV132)*$N133/100</f>
        <v>0</v>
      </c>
      <c r="V133" s="276">
        <f>SUM(V132:$AV132)*$N133/100</f>
        <v>0</v>
      </c>
      <c r="W133" s="276">
        <f>SUM(W132:$AV132)*$N133/100</f>
        <v>0</v>
      </c>
      <c r="X133" s="276">
        <f>SUM(X132:$AV132)*$N133/100</f>
        <v>0</v>
      </c>
      <c r="Y133" s="276">
        <f>SUM(Y132:$AV132)*$N133/100</f>
        <v>0</v>
      </c>
      <c r="Z133" s="276">
        <f>SUM(Z132:$AV132)*$N133/100</f>
        <v>0</v>
      </c>
      <c r="AA133" s="276">
        <f>SUM(AA132:$AV132)*$N133/100</f>
        <v>0</v>
      </c>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7">
        <f t="shared" si="19"/>
        <v>0</v>
      </c>
      <c r="AZ133" s="286">
        <f t="shared" si="20"/>
        <v>0</v>
      </c>
      <c r="BA133" s="278">
        <f t="shared" si="21"/>
        <v>0</v>
      </c>
      <c r="BB133" s="277">
        <f t="shared" si="22"/>
        <v>0</v>
      </c>
      <c r="BD133" s="288" t="b">
        <f t="shared" si="23"/>
        <v>1</v>
      </c>
    </row>
    <row r="134" spans="2:57" s="287" customFormat="1" x14ac:dyDescent="0.25">
      <c r="B134" s="282" t="s">
        <v>754</v>
      </c>
      <c r="C134" s="292">
        <v>65</v>
      </c>
      <c r="D134" s="292" t="s">
        <v>755</v>
      </c>
      <c r="E134" s="292" t="s">
        <v>717</v>
      </c>
      <c r="F134" s="292"/>
      <c r="G134" s="292">
        <v>2025</v>
      </c>
      <c r="H134" s="292">
        <v>2045</v>
      </c>
      <c r="I134" s="292" t="s">
        <v>716</v>
      </c>
      <c r="J134" s="283">
        <f>4890000+800000</f>
        <v>5690000</v>
      </c>
      <c r="K134" s="283"/>
      <c r="L134" s="283"/>
      <c r="M134" s="283"/>
      <c r="N134" s="284"/>
      <c r="O134" s="284"/>
      <c r="P134" s="284"/>
      <c r="Q134" s="265" t="s">
        <v>702</v>
      </c>
      <c r="R134" s="285"/>
      <c r="S134" s="267"/>
      <c r="T134" s="267"/>
      <c r="U134" s="267"/>
      <c r="V134" s="267"/>
      <c r="W134" s="267"/>
      <c r="X134" s="267">
        <f>$J$134/18/2</f>
        <v>158055.55555555556</v>
      </c>
      <c r="Y134" s="267">
        <f t="shared" ref="Y134:AN134" si="32">$J$134/18</f>
        <v>316111.11111111112</v>
      </c>
      <c r="Z134" s="267">
        <f t="shared" si="32"/>
        <v>316111.11111111112</v>
      </c>
      <c r="AA134" s="267">
        <f t="shared" si="32"/>
        <v>316111.11111111112</v>
      </c>
      <c r="AB134" s="267">
        <f t="shared" si="32"/>
        <v>316111.11111111112</v>
      </c>
      <c r="AC134" s="267">
        <f t="shared" si="32"/>
        <v>316111.11111111112</v>
      </c>
      <c r="AD134" s="267">
        <f t="shared" si="32"/>
        <v>316111.11111111112</v>
      </c>
      <c r="AE134" s="267">
        <f t="shared" si="32"/>
        <v>316111.11111111112</v>
      </c>
      <c r="AF134" s="267">
        <f t="shared" si="32"/>
        <v>316111.11111111112</v>
      </c>
      <c r="AG134" s="267">
        <f t="shared" si="32"/>
        <v>316111.11111111112</v>
      </c>
      <c r="AH134" s="267">
        <f t="shared" si="32"/>
        <v>316111.11111111112</v>
      </c>
      <c r="AI134" s="267">
        <f t="shared" si="32"/>
        <v>316111.11111111112</v>
      </c>
      <c r="AJ134" s="267">
        <f t="shared" si="32"/>
        <v>316111.11111111112</v>
      </c>
      <c r="AK134" s="267">
        <f t="shared" si="32"/>
        <v>316111.11111111112</v>
      </c>
      <c r="AL134" s="267">
        <f t="shared" si="32"/>
        <v>316111.11111111112</v>
      </c>
      <c r="AM134" s="267">
        <f t="shared" si="32"/>
        <v>316111.11111111112</v>
      </c>
      <c r="AN134" s="267">
        <f t="shared" si="32"/>
        <v>316111.11111111112</v>
      </c>
      <c r="AO134" s="267">
        <f>$J$134/18+$J$134/18/2</f>
        <v>474166.66666666669</v>
      </c>
      <c r="AP134" s="267"/>
      <c r="AQ134" s="267"/>
      <c r="AR134" s="267"/>
      <c r="AS134" s="267"/>
      <c r="AT134" s="267"/>
      <c r="AU134" s="267"/>
      <c r="AV134" s="267"/>
      <c r="AW134" s="267"/>
      <c r="AX134" s="267"/>
      <c r="AY134" s="268">
        <f t="shared" ref="AY134:AY141" si="33">SUM(T134:AX134)</f>
        <v>5689999.9999999991</v>
      </c>
      <c r="AZ134" s="286">
        <f t="shared" ref="AZ134:AZ145" si="34">AY134-SUM(T134:AX134)</f>
        <v>0</v>
      </c>
      <c r="BA134" s="269">
        <f t="shared" ref="BA134:BA141" si="35">SUM(AA134:AX134)</f>
        <v>4899722.222222222</v>
      </c>
      <c r="BB134" s="268">
        <f t="shared" ref="BB134:BB141" si="36">SUM(T134:Z134,BA134)</f>
        <v>5690000</v>
      </c>
      <c r="BD134" s="288" t="b">
        <f t="shared" ref="BD134:BD145" si="37">AY134=BB134</f>
        <v>1</v>
      </c>
      <c r="BE134" s="289">
        <f>BB134-K134-R134</f>
        <v>5690000</v>
      </c>
    </row>
    <row r="135" spans="2:57" s="287" customFormat="1" x14ac:dyDescent="0.25">
      <c r="B135" s="290" t="s">
        <v>754</v>
      </c>
      <c r="C135" s="290"/>
      <c r="D135" s="290"/>
      <c r="E135" s="290"/>
      <c r="F135" s="290"/>
      <c r="G135" s="290"/>
      <c r="H135" s="290"/>
      <c r="I135" s="290"/>
      <c r="J135" s="273"/>
      <c r="K135" s="273"/>
      <c r="L135" s="273"/>
      <c r="M135" s="273" t="s">
        <v>753</v>
      </c>
      <c r="N135" s="274">
        <f>SUM(O135:P135)</f>
        <v>5.1029999999999998</v>
      </c>
      <c r="O135" s="274">
        <v>5.1029999999999998</v>
      </c>
      <c r="P135" s="274">
        <f>$P$4</f>
        <v>0</v>
      </c>
      <c r="Q135" s="274" t="s">
        <v>701</v>
      </c>
      <c r="R135" s="291"/>
      <c r="S135" s="276"/>
      <c r="T135" s="276"/>
      <c r="U135" s="276"/>
      <c r="V135" s="276">
        <f>SUM(V134:$AV134)*$N135/100/4</f>
        <v>72590.174999999988</v>
      </c>
      <c r="W135" s="276">
        <f>SUM(W134:$AV134)*$N135/100</f>
        <v>290360.69999999995</v>
      </c>
      <c r="X135" s="276">
        <f>SUM(X134:$AV134)*$N135/100</f>
        <v>290360.69999999995</v>
      </c>
      <c r="Y135" s="276">
        <f>SUM(Y134:$AV134)*$N135/100</f>
        <v>282295.12499999994</v>
      </c>
      <c r="Z135" s="276">
        <f>SUM(Z134:$AV134)*$N135/100</f>
        <v>266163.97499999998</v>
      </c>
      <c r="AA135" s="276">
        <f>SUM(AA134:$AV134)*$N135/100</f>
        <v>250032.82499999995</v>
      </c>
      <c r="AB135" s="276">
        <f>SUM(AB134:$AV134)*$N135/100</f>
        <v>233901.67499999993</v>
      </c>
      <c r="AC135" s="276">
        <f>SUM(AC134:$AV134)*$N135/100</f>
        <v>217770.52499999994</v>
      </c>
      <c r="AD135" s="276">
        <f>SUM(AD134:$AV134)*$N135/100</f>
        <v>201639.37499999997</v>
      </c>
      <c r="AE135" s="276">
        <f>SUM(AE134:$AV134)*$N135/100</f>
        <v>185508.22499999998</v>
      </c>
      <c r="AF135" s="276">
        <f>SUM(AF134:$AV134)*$N135/100</f>
        <v>169377.07499999995</v>
      </c>
      <c r="AG135" s="276">
        <f>SUM(AG134:$AV134)*$N135/100</f>
        <v>153245.92499999996</v>
      </c>
      <c r="AH135" s="276">
        <f>SUM(AH134:$AV134)*$N135/100</f>
        <v>137114.77499999999</v>
      </c>
      <c r="AI135" s="276">
        <f>SUM(AI134:$AV134)*$N135/100</f>
        <v>120983.62499999999</v>
      </c>
      <c r="AJ135" s="276">
        <f>SUM(AJ134:$AV134)*$N135/100</f>
        <v>104852.47500000001</v>
      </c>
      <c r="AK135" s="276">
        <f>SUM(AK134:$AV134)*$N135/100</f>
        <v>88721.324999999997</v>
      </c>
      <c r="AL135" s="276">
        <f>SUM(AL134:$AV134)*$N135/100</f>
        <v>72590.175000000003</v>
      </c>
      <c r="AM135" s="276">
        <f>SUM(AM134:$AV134)*$N135/100</f>
        <v>56459.025000000001</v>
      </c>
      <c r="AN135" s="276">
        <f>SUM(AN134:$AV134)*$N135/100</f>
        <v>40327.874999999993</v>
      </c>
      <c r="AO135" s="276">
        <f>SUM(AO134:$AV134)*$N135/100</f>
        <v>24196.724999999999</v>
      </c>
      <c r="AP135" s="276"/>
      <c r="AQ135" s="276"/>
      <c r="AR135" s="276"/>
      <c r="AS135" s="276"/>
      <c r="AT135" s="276"/>
      <c r="AU135" s="276"/>
      <c r="AV135" s="276"/>
      <c r="AW135" s="276"/>
      <c r="AX135" s="276"/>
      <c r="AY135" s="277">
        <f t="shared" si="33"/>
        <v>3258492.3</v>
      </c>
      <c r="AZ135" s="286">
        <f t="shared" si="34"/>
        <v>0</v>
      </c>
      <c r="BA135" s="278">
        <f t="shared" si="35"/>
        <v>2056721.6249999998</v>
      </c>
      <c r="BB135" s="277">
        <f t="shared" si="36"/>
        <v>3258492.3</v>
      </c>
      <c r="BD135" s="288" t="b">
        <f t="shared" si="37"/>
        <v>1</v>
      </c>
    </row>
    <row r="136" spans="2:57" s="302" customFormat="1" x14ac:dyDescent="0.25">
      <c r="B136" s="293"/>
      <c r="C136" s="294" t="s">
        <v>746</v>
      </c>
      <c r="D136" s="294" t="s">
        <v>752</v>
      </c>
      <c r="E136" s="294" t="s">
        <v>751</v>
      </c>
      <c r="F136" s="294" t="s">
        <v>750</v>
      </c>
      <c r="G136" s="295">
        <v>44781</v>
      </c>
      <c r="H136" s="295">
        <v>45127</v>
      </c>
      <c r="I136" s="294" t="s">
        <v>716</v>
      </c>
      <c r="J136" s="296">
        <v>39831</v>
      </c>
      <c r="K136" s="296"/>
      <c r="L136" s="296"/>
      <c r="M136" s="296"/>
      <c r="N136" s="297"/>
      <c r="O136" s="297"/>
      <c r="P136" s="297"/>
      <c r="Q136" s="298" t="s">
        <v>702</v>
      </c>
      <c r="R136" s="299">
        <v>39831</v>
      </c>
      <c r="S136" s="299"/>
      <c r="T136" s="299">
        <f t="shared" ref="T136:T141" si="38">SUM(R136:S136)</f>
        <v>39831</v>
      </c>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300">
        <f t="shared" si="33"/>
        <v>39831</v>
      </c>
      <c r="AZ136" s="250">
        <f t="shared" si="34"/>
        <v>0</v>
      </c>
      <c r="BA136" s="301">
        <f t="shared" si="35"/>
        <v>0</v>
      </c>
      <c r="BB136" s="300">
        <f t="shared" si="36"/>
        <v>39831</v>
      </c>
      <c r="BD136" s="270" t="b">
        <f t="shared" si="37"/>
        <v>1</v>
      </c>
    </row>
    <row r="137" spans="2:57" s="302" customFormat="1" x14ac:dyDescent="0.25">
      <c r="B137" s="303"/>
      <c r="C137" s="303"/>
      <c r="D137" s="303"/>
      <c r="E137" s="303"/>
      <c r="F137" s="303"/>
      <c r="G137" s="303"/>
      <c r="H137" s="303"/>
      <c r="I137" s="303"/>
      <c r="J137" s="304"/>
      <c r="K137" s="304"/>
      <c r="L137" s="304"/>
      <c r="M137" s="304"/>
      <c r="N137" s="305"/>
      <c r="O137" s="305"/>
      <c r="P137" s="305"/>
      <c r="Q137" s="305" t="s">
        <v>701</v>
      </c>
      <c r="R137" s="306">
        <v>301.77000000000004</v>
      </c>
      <c r="S137" s="306"/>
      <c r="T137" s="306">
        <f t="shared" si="38"/>
        <v>301.77000000000004</v>
      </c>
      <c r="U137" s="306"/>
      <c r="V137" s="306"/>
      <c r="W137" s="306"/>
      <c r="X137" s="306"/>
      <c r="Y137" s="306"/>
      <c r="Z137" s="306"/>
      <c r="AA137" s="306"/>
      <c r="AB137" s="306"/>
      <c r="AC137" s="306"/>
      <c r="AD137" s="306"/>
      <c r="AE137" s="306"/>
      <c r="AF137" s="306"/>
      <c r="AG137" s="306"/>
      <c r="AH137" s="306"/>
      <c r="AI137" s="306"/>
      <c r="AJ137" s="306"/>
      <c r="AK137" s="306"/>
      <c r="AL137" s="306"/>
      <c r="AM137" s="306"/>
      <c r="AN137" s="306"/>
      <c r="AO137" s="306"/>
      <c r="AP137" s="306"/>
      <c r="AQ137" s="306"/>
      <c r="AR137" s="306"/>
      <c r="AS137" s="306"/>
      <c r="AT137" s="306"/>
      <c r="AU137" s="306"/>
      <c r="AV137" s="306"/>
      <c r="AW137" s="306"/>
      <c r="AX137" s="306"/>
      <c r="AY137" s="307">
        <f t="shared" si="33"/>
        <v>301.77000000000004</v>
      </c>
      <c r="AZ137" s="250">
        <f t="shared" si="34"/>
        <v>0</v>
      </c>
      <c r="BA137" s="308">
        <f t="shared" si="35"/>
        <v>0</v>
      </c>
      <c r="BB137" s="307">
        <f t="shared" si="36"/>
        <v>301.77000000000004</v>
      </c>
      <c r="BD137" s="270" t="b">
        <f t="shared" si="37"/>
        <v>1</v>
      </c>
    </row>
    <row r="138" spans="2:57" s="302" customFormat="1" x14ac:dyDescent="0.25">
      <c r="B138" s="293"/>
      <c r="C138" s="294" t="s">
        <v>746</v>
      </c>
      <c r="D138" s="294" t="s">
        <v>749</v>
      </c>
      <c r="E138" s="294" t="s">
        <v>748</v>
      </c>
      <c r="F138" s="294" t="s">
        <v>747</v>
      </c>
      <c r="G138" s="295">
        <v>43248</v>
      </c>
      <c r="H138" s="295">
        <v>45068</v>
      </c>
      <c r="I138" s="294" t="s">
        <v>716</v>
      </c>
      <c r="J138" s="296">
        <v>8518.4</v>
      </c>
      <c r="K138" s="296"/>
      <c r="L138" s="296"/>
      <c r="M138" s="296"/>
      <c r="N138" s="297"/>
      <c r="O138" s="297"/>
      <c r="P138" s="297"/>
      <c r="Q138" s="298" t="s">
        <v>702</v>
      </c>
      <c r="R138" s="299">
        <v>948</v>
      </c>
      <c r="S138" s="299"/>
      <c r="T138" s="299">
        <f t="shared" si="38"/>
        <v>948</v>
      </c>
      <c r="U138" s="299"/>
      <c r="V138" s="299"/>
      <c r="W138" s="299"/>
      <c r="X138" s="299"/>
      <c r="Y138" s="299"/>
      <c r="Z138" s="299"/>
      <c r="AA138" s="299"/>
      <c r="AB138" s="299"/>
      <c r="AC138" s="299"/>
      <c r="AD138" s="299"/>
      <c r="AE138" s="299"/>
      <c r="AF138" s="299"/>
      <c r="AG138" s="299"/>
      <c r="AH138" s="299"/>
      <c r="AI138" s="299"/>
      <c r="AJ138" s="299"/>
      <c r="AK138" s="299"/>
      <c r="AL138" s="299"/>
      <c r="AM138" s="299"/>
      <c r="AN138" s="299"/>
      <c r="AO138" s="299"/>
      <c r="AP138" s="299"/>
      <c r="AQ138" s="299"/>
      <c r="AR138" s="299"/>
      <c r="AS138" s="299"/>
      <c r="AT138" s="299"/>
      <c r="AU138" s="299"/>
      <c r="AV138" s="299"/>
      <c r="AW138" s="299"/>
      <c r="AX138" s="299"/>
      <c r="AY138" s="300">
        <f t="shared" si="33"/>
        <v>948</v>
      </c>
      <c r="AZ138" s="250">
        <f t="shared" si="34"/>
        <v>0</v>
      </c>
      <c r="BA138" s="301">
        <f t="shared" si="35"/>
        <v>0</v>
      </c>
      <c r="BB138" s="300">
        <f t="shared" si="36"/>
        <v>948</v>
      </c>
      <c r="BD138" s="270" t="b">
        <f t="shared" si="37"/>
        <v>1</v>
      </c>
    </row>
    <row r="139" spans="2:57" s="302" customFormat="1" x14ac:dyDescent="0.25">
      <c r="B139" s="303"/>
      <c r="C139" s="303"/>
      <c r="D139" s="303"/>
      <c r="E139" s="303"/>
      <c r="F139" s="303"/>
      <c r="G139" s="303"/>
      <c r="H139" s="303"/>
      <c r="I139" s="303"/>
      <c r="J139" s="304"/>
      <c r="K139" s="304"/>
      <c r="L139" s="304"/>
      <c r="M139" s="304"/>
      <c r="N139" s="305"/>
      <c r="O139" s="305"/>
      <c r="P139" s="305"/>
      <c r="Q139" s="305" t="s">
        <v>701</v>
      </c>
      <c r="R139" s="306">
        <v>3.79</v>
      </c>
      <c r="S139" s="306"/>
      <c r="T139" s="306">
        <f t="shared" si="38"/>
        <v>3.79</v>
      </c>
      <c r="U139" s="306"/>
      <c r="V139" s="306"/>
      <c r="W139" s="306"/>
      <c r="X139" s="306"/>
      <c r="Y139" s="306"/>
      <c r="Z139" s="306"/>
      <c r="AA139" s="306"/>
      <c r="AB139" s="306"/>
      <c r="AC139" s="306"/>
      <c r="AD139" s="306"/>
      <c r="AE139" s="306"/>
      <c r="AF139" s="306"/>
      <c r="AG139" s="306"/>
      <c r="AH139" s="306"/>
      <c r="AI139" s="306"/>
      <c r="AJ139" s="306"/>
      <c r="AK139" s="306"/>
      <c r="AL139" s="306"/>
      <c r="AM139" s="306"/>
      <c r="AN139" s="306"/>
      <c r="AO139" s="306"/>
      <c r="AP139" s="306"/>
      <c r="AQ139" s="306"/>
      <c r="AR139" s="306"/>
      <c r="AS139" s="306"/>
      <c r="AT139" s="306"/>
      <c r="AU139" s="306"/>
      <c r="AV139" s="306"/>
      <c r="AW139" s="306"/>
      <c r="AX139" s="306"/>
      <c r="AY139" s="307">
        <f t="shared" si="33"/>
        <v>3.79</v>
      </c>
      <c r="AZ139" s="250">
        <f t="shared" si="34"/>
        <v>0</v>
      </c>
      <c r="BA139" s="308">
        <f t="shared" si="35"/>
        <v>0</v>
      </c>
      <c r="BB139" s="307">
        <f t="shared" si="36"/>
        <v>3.79</v>
      </c>
      <c r="BD139" s="270" t="b">
        <f t="shared" si="37"/>
        <v>1</v>
      </c>
    </row>
    <row r="140" spans="2:57" s="302" customFormat="1" x14ac:dyDescent="0.25">
      <c r="B140" s="293"/>
      <c r="C140" s="294" t="s">
        <v>746</v>
      </c>
      <c r="D140" s="294" t="s">
        <v>745</v>
      </c>
      <c r="E140" s="294" t="s">
        <v>744</v>
      </c>
      <c r="F140" s="294" t="s">
        <v>743</v>
      </c>
      <c r="G140" s="295">
        <v>42920</v>
      </c>
      <c r="H140" s="294" t="s">
        <v>742</v>
      </c>
      <c r="I140" s="294" t="s">
        <v>716</v>
      </c>
      <c r="J140" s="296">
        <f>46627+88266</f>
        <v>134893</v>
      </c>
      <c r="K140" s="296"/>
      <c r="L140" s="296"/>
      <c r="M140" s="296"/>
      <c r="N140" s="297"/>
      <c r="O140" s="297"/>
      <c r="P140" s="297"/>
      <c r="Q140" s="298" t="s">
        <v>702</v>
      </c>
      <c r="R140" s="299">
        <v>12848</v>
      </c>
      <c r="S140" s="299"/>
      <c r="T140" s="299">
        <f t="shared" si="38"/>
        <v>12848</v>
      </c>
      <c r="U140" s="299"/>
      <c r="V140" s="299"/>
      <c r="W140" s="299"/>
      <c r="X140" s="299"/>
      <c r="Y140" s="299"/>
      <c r="Z140" s="299"/>
      <c r="AA140" s="299"/>
      <c r="AB140" s="299"/>
      <c r="AC140" s="299"/>
      <c r="AD140" s="299"/>
      <c r="AE140" s="299"/>
      <c r="AF140" s="299"/>
      <c r="AG140" s="299"/>
      <c r="AH140" s="299"/>
      <c r="AI140" s="299"/>
      <c r="AJ140" s="299"/>
      <c r="AK140" s="299"/>
      <c r="AL140" s="299"/>
      <c r="AM140" s="299"/>
      <c r="AN140" s="299"/>
      <c r="AO140" s="299"/>
      <c r="AP140" s="299"/>
      <c r="AQ140" s="299"/>
      <c r="AR140" s="299"/>
      <c r="AS140" s="299"/>
      <c r="AT140" s="299"/>
      <c r="AU140" s="299"/>
      <c r="AV140" s="299"/>
      <c r="AW140" s="299"/>
      <c r="AX140" s="299"/>
      <c r="AY140" s="300">
        <f t="shared" si="33"/>
        <v>12848</v>
      </c>
      <c r="AZ140" s="250">
        <f t="shared" si="34"/>
        <v>0</v>
      </c>
      <c r="BA140" s="301">
        <f t="shared" si="35"/>
        <v>0</v>
      </c>
      <c r="BB140" s="300">
        <f t="shared" si="36"/>
        <v>12848</v>
      </c>
      <c r="BD140" s="270" t="b">
        <f t="shared" si="37"/>
        <v>1</v>
      </c>
    </row>
    <row r="141" spans="2:57" s="302" customFormat="1" x14ac:dyDescent="0.25">
      <c r="B141" s="303"/>
      <c r="C141" s="303"/>
      <c r="D141" s="303"/>
      <c r="E141" s="303"/>
      <c r="F141" s="303"/>
      <c r="G141" s="303"/>
      <c r="H141" s="303"/>
      <c r="I141" s="303"/>
      <c r="J141" s="304"/>
      <c r="K141" s="304"/>
      <c r="L141" s="304"/>
      <c r="M141" s="304"/>
      <c r="N141" s="305"/>
      <c r="O141" s="305"/>
      <c r="P141" s="305"/>
      <c r="Q141" s="305" t="s">
        <v>701</v>
      </c>
      <c r="R141" s="306">
        <v>114.19999999999999</v>
      </c>
      <c r="S141" s="306"/>
      <c r="T141" s="306">
        <f t="shared" si="38"/>
        <v>114.19999999999999</v>
      </c>
      <c r="U141" s="306"/>
      <c r="V141" s="306"/>
      <c r="W141" s="306"/>
      <c r="X141" s="306"/>
      <c r="Y141" s="306"/>
      <c r="Z141" s="306"/>
      <c r="AA141" s="306"/>
      <c r="AB141" s="306"/>
      <c r="AC141" s="306"/>
      <c r="AD141" s="306"/>
      <c r="AE141" s="306"/>
      <c r="AF141" s="306"/>
      <c r="AG141" s="306"/>
      <c r="AH141" s="306"/>
      <c r="AI141" s="306"/>
      <c r="AJ141" s="306"/>
      <c r="AK141" s="306"/>
      <c r="AL141" s="306"/>
      <c r="AM141" s="306"/>
      <c r="AN141" s="306"/>
      <c r="AO141" s="306"/>
      <c r="AP141" s="306"/>
      <c r="AQ141" s="306"/>
      <c r="AR141" s="306"/>
      <c r="AS141" s="306"/>
      <c r="AT141" s="306"/>
      <c r="AU141" s="306"/>
      <c r="AV141" s="306"/>
      <c r="AW141" s="306"/>
      <c r="AX141" s="306"/>
      <c r="AY141" s="307">
        <f t="shared" si="33"/>
        <v>114.19999999999999</v>
      </c>
      <c r="AZ141" s="250">
        <f t="shared" si="34"/>
        <v>0</v>
      </c>
      <c r="BA141" s="308">
        <f t="shared" si="35"/>
        <v>0</v>
      </c>
      <c r="BB141" s="307">
        <f t="shared" si="36"/>
        <v>114.19999999999999</v>
      </c>
      <c r="BD141" s="270" t="b">
        <f t="shared" si="37"/>
        <v>1</v>
      </c>
    </row>
    <row r="142" spans="2:57" x14ac:dyDescent="0.25">
      <c r="J142" s="309"/>
      <c r="K142" s="309"/>
      <c r="L142" s="309"/>
      <c r="M142" s="309"/>
      <c r="N142" s="310"/>
      <c r="O142" s="310"/>
      <c r="P142" s="310"/>
      <c r="Q142" s="310"/>
      <c r="R142" s="310"/>
      <c r="S142" s="311"/>
      <c r="T142" s="311"/>
      <c r="U142" s="309"/>
      <c r="V142" s="309"/>
      <c r="W142" s="309"/>
      <c r="X142" s="309"/>
      <c r="Y142" s="309"/>
      <c r="Z142" s="309"/>
      <c r="AA142" s="309"/>
      <c r="AB142" s="309"/>
      <c r="AC142" s="309"/>
      <c r="AD142" s="309"/>
      <c r="AE142" s="309"/>
      <c r="AF142" s="309"/>
      <c r="AG142" s="309"/>
      <c r="AH142" s="309"/>
      <c r="AI142" s="309"/>
      <c r="AJ142" s="309"/>
      <c r="AK142" s="309"/>
      <c r="AL142" s="309"/>
      <c r="AM142" s="309"/>
      <c r="AN142" s="309"/>
      <c r="AO142" s="309"/>
      <c r="AP142" s="309"/>
      <c r="AQ142" s="309"/>
      <c r="AR142" s="309"/>
      <c r="AS142" s="309"/>
      <c r="AT142" s="309"/>
      <c r="AU142" s="309"/>
      <c r="AV142" s="309"/>
      <c r="AW142" s="309"/>
      <c r="AX142" s="309"/>
      <c r="AY142" s="309"/>
      <c r="AZ142" s="250">
        <f t="shared" si="34"/>
        <v>0</v>
      </c>
      <c r="BA142" s="309"/>
      <c r="BB142" s="309"/>
      <c r="BD142" s="270" t="b">
        <f t="shared" si="37"/>
        <v>1</v>
      </c>
    </row>
    <row r="143" spans="2:57" s="270" customFormat="1" x14ac:dyDescent="0.25">
      <c r="I143" s="312" t="s">
        <v>741</v>
      </c>
      <c r="J143" s="313">
        <f>SUM(J6:J141)</f>
        <v>74096842.430000007</v>
      </c>
      <c r="K143" s="313">
        <f>SUM(K6:K141)</f>
        <v>51619287.989999995</v>
      </c>
      <c r="L143" s="271"/>
      <c r="M143" s="271"/>
      <c r="N143" s="314">
        <f>AVERAGE(N7:N141)</f>
        <v>4.1065384615384621</v>
      </c>
      <c r="O143" s="315"/>
      <c r="P143" s="315"/>
      <c r="Q143" s="316" t="s">
        <v>702</v>
      </c>
      <c r="R143" s="317">
        <f t="shared" ref="R143:AA144" si="39">SUMIF($Q$6:$Q$141,$Q143,R$6:R$141)</f>
        <v>1826820.7999999998</v>
      </c>
      <c r="S143" s="317">
        <f t="shared" si="39"/>
        <v>1762139.25</v>
      </c>
      <c r="T143" s="318">
        <f t="shared" si="39"/>
        <v>3601890.05</v>
      </c>
      <c r="U143" s="318">
        <f t="shared" si="39"/>
        <v>3539750.5</v>
      </c>
      <c r="V143" s="318">
        <f t="shared" si="39"/>
        <v>3475198.49</v>
      </c>
      <c r="W143" s="318">
        <f t="shared" si="39"/>
        <v>3442537.96</v>
      </c>
      <c r="X143" s="318">
        <f t="shared" si="39"/>
        <v>3444399.7488888884</v>
      </c>
      <c r="Y143" s="318">
        <f t="shared" si="39"/>
        <v>3563680.0044444441</v>
      </c>
      <c r="Z143" s="318">
        <f t="shared" si="39"/>
        <v>3505903.0044444441</v>
      </c>
      <c r="AA143" s="318">
        <f t="shared" si="39"/>
        <v>3476840.0044444441</v>
      </c>
      <c r="AB143" s="318">
        <f t="shared" ref="AB143:AK144" si="40">SUMIF($Q$6:$Q$141,$Q143,AB$6:AB$141)</f>
        <v>3390520.864444444</v>
      </c>
      <c r="AC143" s="318">
        <f t="shared" si="40"/>
        <v>2731893.7544444441</v>
      </c>
      <c r="AD143" s="318">
        <f t="shared" si="40"/>
        <v>2528174.0244444441</v>
      </c>
      <c r="AE143" s="318">
        <f t="shared" si="40"/>
        <v>2171093.8044444444</v>
      </c>
      <c r="AF143" s="318">
        <f t="shared" si="40"/>
        <v>2072237.8044444444</v>
      </c>
      <c r="AG143" s="318">
        <f t="shared" si="40"/>
        <v>1943128.7544444446</v>
      </c>
      <c r="AH143" s="318">
        <f t="shared" si="40"/>
        <v>1832316.0444444446</v>
      </c>
      <c r="AI143" s="318">
        <f t="shared" si="40"/>
        <v>1697912.0444444446</v>
      </c>
      <c r="AJ143" s="318">
        <f t="shared" si="40"/>
        <v>1625784.0444444446</v>
      </c>
      <c r="AK143" s="318">
        <f t="shared" si="40"/>
        <v>1584734.0844444446</v>
      </c>
      <c r="AL143" s="318">
        <f t="shared" ref="AL143:AX144" si="41">SUMIF($Q$6:$Q$141,$Q143,AL$6:AL$141)</f>
        <v>1559973.1144444444</v>
      </c>
      <c r="AM143" s="318">
        <f t="shared" si="41"/>
        <v>1500459.111111111</v>
      </c>
      <c r="AN143" s="318">
        <f t="shared" si="41"/>
        <v>1500459.111111111</v>
      </c>
      <c r="AO143" s="318">
        <f t="shared" si="41"/>
        <v>1658514.6666666667</v>
      </c>
      <c r="AP143" s="318">
        <f t="shared" si="41"/>
        <v>1184348</v>
      </c>
      <c r="AQ143" s="318">
        <f t="shared" si="41"/>
        <v>1184348</v>
      </c>
      <c r="AR143" s="318">
        <f t="shared" si="41"/>
        <v>1184348</v>
      </c>
      <c r="AS143" s="318">
        <f t="shared" si="41"/>
        <v>867315.83000000007</v>
      </c>
      <c r="AT143" s="318">
        <f t="shared" si="41"/>
        <v>452632</v>
      </c>
      <c r="AU143" s="318">
        <f t="shared" si="41"/>
        <v>409981</v>
      </c>
      <c r="AV143" s="318">
        <f t="shared" si="41"/>
        <v>55587.92</v>
      </c>
      <c r="AW143" s="318">
        <f t="shared" si="41"/>
        <v>0</v>
      </c>
      <c r="AX143" s="318">
        <f t="shared" si="41"/>
        <v>0</v>
      </c>
      <c r="AY143" s="318">
        <f>SUM(T143:AX143)</f>
        <v>61185961.73999998</v>
      </c>
      <c r="AZ143" s="250">
        <f t="shared" si="34"/>
        <v>0</v>
      </c>
      <c r="BA143" s="318">
        <f>SUM(AA143:AX143)</f>
        <v>36612601.982222229</v>
      </c>
      <c r="BB143" s="318">
        <f>SUM(T143:Z143,BA143)</f>
        <v>61185961.740000002</v>
      </c>
      <c r="BD143" s="270" t="b">
        <f t="shared" si="37"/>
        <v>1</v>
      </c>
      <c r="BE143" s="271"/>
    </row>
    <row r="144" spans="2:57" x14ac:dyDescent="0.25">
      <c r="K144" s="250"/>
      <c r="L144" s="250"/>
      <c r="M144" s="250"/>
      <c r="Q144" s="319" t="s">
        <v>701</v>
      </c>
      <c r="R144" s="320">
        <f t="shared" si="39"/>
        <v>732845.0199999999</v>
      </c>
      <c r="S144" s="320">
        <f t="shared" si="39"/>
        <v>491517.98000000004</v>
      </c>
      <c r="T144" s="321">
        <f t="shared" si="39"/>
        <v>1224363.0000000002</v>
      </c>
      <c r="U144" s="321">
        <f t="shared" si="39"/>
        <v>2236953.5415089009</v>
      </c>
      <c r="V144" s="321">
        <f t="shared" si="39"/>
        <v>2206446.6959199002</v>
      </c>
      <c r="W144" s="321">
        <f t="shared" si="39"/>
        <v>2274233.1074909</v>
      </c>
      <c r="X144" s="321">
        <f t="shared" si="39"/>
        <v>2125245.5962509001</v>
      </c>
      <c r="Y144" s="321">
        <f t="shared" si="39"/>
        <v>1973545.1038474997</v>
      </c>
      <c r="Z144" s="321">
        <f t="shared" si="39"/>
        <v>1815647.2633235008</v>
      </c>
      <c r="AA144" s="321">
        <f t="shared" si="39"/>
        <v>1660110.8018895001</v>
      </c>
      <c r="AB144" s="321">
        <f t="shared" si="40"/>
        <v>1505731.6059854999</v>
      </c>
      <c r="AC144" s="321">
        <f t="shared" si="40"/>
        <v>1355405.2811271001</v>
      </c>
      <c r="AD144" s="321">
        <f t="shared" si="40"/>
        <v>1232333.8402090995</v>
      </c>
      <c r="AE144" s="321">
        <f t="shared" si="40"/>
        <v>1118819.1434494001</v>
      </c>
      <c r="AF144" s="321">
        <f t="shared" si="40"/>
        <v>1020292.0111166001</v>
      </c>
      <c r="AG144" s="321">
        <f t="shared" si="40"/>
        <v>926221.77864379983</v>
      </c>
      <c r="AH144" s="321">
        <f t="shared" si="40"/>
        <v>837831.63125500013</v>
      </c>
      <c r="AI144" s="321">
        <f t="shared" si="40"/>
        <v>753822.72227100015</v>
      </c>
      <c r="AJ144" s="321">
        <f t="shared" si="40"/>
        <v>675771.50826699985</v>
      </c>
      <c r="AK144" s="321">
        <f t="shared" si="40"/>
        <v>600907.595203</v>
      </c>
      <c r="AL144" s="321">
        <f t="shared" si="41"/>
        <v>527827.85213899997</v>
      </c>
      <c r="AM144" s="321">
        <f t="shared" si="41"/>
        <v>455910.62948799995</v>
      </c>
      <c r="AN144" s="321">
        <f t="shared" si="41"/>
        <v>386898.32936799998</v>
      </c>
      <c r="AO144" s="321">
        <f t="shared" si="41"/>
        <v>317886.02924799989</v>
      </c>
      <c r="AP144" s="321">
        <f t="shared" si="41"/>
        <v>240808.15412799999</v>
      </c>
      <c r="AQ144" s="321">
        <f t="shared" si="41"/>
        <v>187927.00400799996</v>
      </c>
      <c r="AR144" s="321">
        <f t="shared" si="41"/>
        <v>135045.85388799998</v>
      </c>
      <c r="AS144" s="321">
        <f t="shared" si="41"/>
        <v>82164.703767999992</v>
      </c>
      <c r="AT144" s="321">
        <f t="shared" si="41"/>
        <v>43306.896070000003</v>
      </c>
      <c r="AU144" s="321">
        <f t="shared" si="41"/>
        <v>22024.558349999996</v>
      </c>
      <c r="AV144" s="321">
        <f t="shared" si="41"/>
        <v>2596.5674300000001</v>
      </c>
      <c r="AW144" s="321">
        <f t="shared" si="41"/>
        <v>0</v>
      </c>
      <c r="AX144" s="321">
        <f t="shared" si="41"/>
        <v>0</v>
      </c>
      <c r="AY144" s="321">
        <f>SUM(T144:AX144)</f>
        <v>27946078.805643599</v>
      </c>
      <c r="AZ144" s="250">
        <f t="shared" si="34"/>
        <v>0</v>
      </c>
      <c r="BA144" s="321">
        <f>SUM(AA144:AX144)</f>
        <v>14089644.497302003</v>
      </c>
      <c r="BB144" s="321">
        <f>SUM(T144:Z144,BA144)</f>
        <v>27946078.805643603</v>
      </c>
      <c r="BD144" s="270" t="b">
        <f t="shared" si="37"/>
        <v>1</v>
      </c>
      <c r="BE144" s="271"/>
    </row>
    <row r="145" spans="2:57" s="288" customFormat="1" x14ac:dyDescent="0.25">
      <c r="Q145" s="316" t="s">
        <v>740</v>
      </c>
      <c r="R145" s="322">
        <f t="shared" ref="R145:AX145" si="42">SUM(R143:R144)</f>
        <v>2559665.8199999998</v>
      </c>
      <c r="S145" s="322">
        <f t="shared" si="42"/>
        <v>2253657.23</v>
      </c>
      <c r="T145" s="323">
        <f t="shared" si="42"/>
        <v>4826253.05</v>
      </c>
      <c r="U145" s="323">
        <f t="shared" si="42"/>
        <v>5776704.0415089009</v>
      </c>
      <c r="V145" s="323">
        <f t="shared" si="42"/>
        <v>5681645.1859199004</v>
      </c>
      <c r="W145" s="323">
        <f t="shared" si="42"/>
        <v>5716771.0674908999</v>
      </c>
      <c r="X145" s="323">
        <f t="shared" si="42"/>
        <v>5569645.3451397885</v>
      </c>
      <c r="Y145" s="323">
        <f t="shared" si="42"/>
        <v>5537225.1082919436</v>
      </c>
      <c r="Z145" s="323">
        <f t="shared" si="42"/>
        <v>5321550.2677679453</v>
      </c>
      <c r="AA145" s="323">
        <f t="shared" si="42"/>
        <v>5136950.8063339442</v>
      </c>
      <c r="AB145" s="323">
        <f t="shared" si="42"/>
        <v>4896252.4704299439</v>
      </c>
      <c r="AC145" s="323">
        <f t="shared" si="42"/>
        <v>4087299.0355715444</v>
      </c>
      <c r="AD145" s="323">
        <f t="shared" si="42"/>
        <v>3760507.8646535436</v>
      </c>
      <c r="AE145" s="323">
        <f t="shared" si="42"/>
        <v>3289912.9478938445</v>
      </c>
      <c r="AF145" s="323">
        <f t="shared" si="42"/>
        <v>3092529.8155610445</v>
      </c>
      <c r="AG145" s="323">
        <f t="shared" si="42"/>
        <v>2869350.5330882445</v>
      </c>
      <c r="AH145" s="323">
        <f t="shared" si="42"/>
        <v>2670147.6756994445</v>
      </c>
      <c r="AI145" s="323">
        <f t="shared" si="42"/>
        <v>2451734.7667154446</v>
      </c>
      <c r="AJ145" s="323">
        <f t="shared" si="42"/>
        <v>2301555.5527114444</v>
      </c>
      <c r="AK145" s="323">
        <f t="shared" si="42"/>
        <v>2185641.6796474447</v>
      </c>
      <c r="AL145" s="323">
        <f t="shared" si="42"/>
        <v>2087800.9665834443</v>
      </c>
      <c r="AM145" s="323">
        <f t="shared" si="42"/>
        <v>1956369.740599111</v>
      </c>
      <c r="AN145" s="323">
        <f t="shared" si="42"/>
        <v>1887357.4404791109</v>
      </c>
      <c r="AO145" s="323">
        <f t="shared" si="42"/>
        <v>1976400.6959146666</v>
      </c>
      <c r="AP145" s="323">
        <f t="shared" si="42"/>
        <v>1425156.1541279999</v>
      </c>
      <c r="AQ145" s="323">
        <f t="shared" si="42"/>
        <v>1372275.004008</v>
      </c>
      <c r="AR145" s="323">
        <f t="shared" si="42"/>
        <v>1319393.8538879999</v>
      </c>
      <c r="AS145" s="323">
        <f t="shared" si="42"/>
        <v>949480.53376800008</v>
      </c>
      <c r="AT145" s="323">
        <f t="shared" si="42"/>
        <v>495938.89607000002</v>
      </c>
      <c r="AU145" s="323">
        <f t="shared" si="42"/>
        <v>432005.55835000001</v>
      </c>
      <c r="AV145" s="323">
        <f t="shared" si="42"/>
        <v>58184.487430000001</v>
      </c>
      <c r="AW145" s="323">
        <f t="shared" si="42"/>
        <v>0</v>
      </c>
      <c r="AX145" s="323">
        <f t="shared" si="42"/>
        <v>0</v>
      </c>
      <c r="AY145" s="323">
        <f>SUM(T145:AX145)</f>
        <v>89132040.545643598</v>
      </c>
      <c r="AZ145" s="250">
        <f t="shared" si="34"/>
        <v>0</v>
      </c>
      <c r="BA145" s="323">
        <f>SUM(AA145:AX145)</f>
        <v>50702246.47952421</v>
      </c>
      <c r="BB145" s="323">
        <f>SUM(T145:Z145,BA145)</f>
        <v>89132040.545643598</v>
      </c>
      <c r="BD145" s="270" t="b">
        <f t="shared" si="37"/>
        <v>1</v>
      </c>
      <c r="BE145" s="271"/>
    </row>
    <row r="147" spans="2:57" x14ac:dyDescent="0.25">
      <c r="I147" s="324"/>
      <c r="J147" s="325"/>
      <c r="S147" s="326"/>
      <c r="T147" s="326">
        <f t="shared" ref="T147:BB147" si="43">T145-SUM(T6:T141)</f>
        <v>0</v>
      </c>
      <c r="U147" s="326">
        <f t="shared" si="43"/>
        <v>0</v>
      </c>
      <c r="V147" s="326">
        <f t="shared" si="43"/>
        <v>0</v>
      </c>
      <c r="W147" s="326">
        <f t="shared" si="43"/>
        <v>0</v>
      </c>
      <c r="X147" s="326">
        <f t="shared" si="43"/>
        <v>0</v>
      </c>
      <c r="Y147" s="326">
        <f t="shared" si="43"/>
        <v>0</v>
      </c>
      <c r="Z147" s="326">
        <f t="shared" si="43"/>
        <v>0</v>
      </c>
      <c r="AA147" s="326">
        <f t="shared" si="43"/>
        <v>0</v>
      </c>
      <c r="AB147" s="326">
        <f t="shared" si="43"/>
        <v>0</v>
      </c>
      <c r="AC147" s="326">
        <f t="shared" si="43"/>
        <v>0</v>
      </c>
      <c r="AD147" s="326">
        <f t="shared" si="43"/>
        <v>0</v>
      </c>
      <c r="AE147" s="326">
        <f t="shared" si="43"/>
        <v>0</v>
      </c>
      <c r="AF147" s="326">
        <f t="shared" si="43"/>
        <v>0</v>
      </c>
      <c r="AG147" s="326">
        <f t="shared" si="43"/>
        <v>0</v>
      </c>
      <c r="AH147" s="326">
        <f t="shared" si="43"/>
        <v>0</v>
      </c>
      <c r="AI147" s="326">
        <f t="shared" si="43"/>
        <v>0</v>
      </c>
      <c r="AJ147" s="326">
        <f t="shared" si="43"/>
        <v>0</v>
      </c>
      <c r="AK147" s="326">
        <f t="shared" si="43"/>
        <v>0</v>
      </c>
      <c r="AL147" s="326">
        <f t="shared" si="43"/>
        <v>0</v>
      </c>
      <c r="AM147" s="326">
        <f t="shared" si="43"/>
        <v>0</v>
      </c>
      <c r="AN147" s="326">
        <f t="shared" si="43"/>
        <v>0</v>
      </c>
      <c r="AO147" s="326">
        <f t="shared" si="43"/>
        <v>0</v>
      </c>
      <c r="AP147" s="326">
        <f t="shared" si="43"/>
        <v>0</v>
      </c>
      <c r="AQ147" s="326">
        <f t="shared" si="43"/>
        <v>0</v>
      </c>
      <c r="AR147" s="326">
        <f t="shared" si="43"/>
        <v>0</v>
      </c>
      <c r="AS147" s="326">
        <f t="shared" si="43"/>
        <v>0</v>
      </c>
      <c r="AT147" s="326">
        <f t="shared" si="43"/>
        <v>0</v>
      </c>
      <c r="AU147" s="326">
        <f t="shared" si="43"/>
        <v>0</v>
      </c>
      <c r="AV147" s="326">
        <f t="shared" si="43"/>
        <v>0</v>
      </c>
      <c r="AW147" s="326">
        <f t="shared" si="43"/>
        <v>0</v>
      </c>
      <c r="AX147" s="326">
        <f t="shared" si="43"/>
        <v>0</v>
      </c>
      <c r="AY147" s="326">
        <f t="shared" si="43"/>
        <v>0</v>
      </c>
      <c r="AZ147" s="326">
        <f t="shared" si="43"/>
        <v>0</v>
      </c>
      <c r="BA147" s="326">
        <f t="shared" si="43"/>
        <v>0</v>
      </c>
      <c r="BB147" s="326">
        <f t="shared" si="43"/>
        <v>0</v>
      </c>
    </row>
    <row r="148" spans="2:57" ht="15.6" x14ac:dyDescent="0.3">
      <c r="C148" s="249" t="s">
        <v>739</v>
      </c>
      <c r="J148" s="250"/>
    </row>
    <row r="149" spans="2:57" ht="69" x14ac:dyDescent="0.25">
      <c r="C149" s="254" t="s">
        <v>738</v>
      </c>
      <c r="D149" s="255" t="s">
        <v>737</v>
      </c>
      <c r="E149" s="255" t="s">
        <v>736</v>
      </c>
      <c r="F149" s="255" t="s">
        <v>735</v>
      </c>
      <c r="G149" s="255" t="s">
        <v>734</v>
      </c>
      <c r="H149" s="255" t="s">
        <v>733</v>
      </c>
      <c r="I149" s="255" t="s">
        <v>732</v>
      </c>
      <c r="J149" s="255" t="s">
        <v>731</v>
      </c>
      <c r="K149" s="260" t="s">
        <v>730</v>
      </c>
      <c r="L149" s="260" t="s">
        <v>729</v>
      </c>
      <c r="M149" s="260" t="s">
        <v>728</v>
      </c>
      <c r="N149" s="260" t="s">
        <v>727</v>
      </c>
      <c r="O149" s="260" t="s">
        <v>726</v>
      </c>
      <c r="P149" s="260" t="s">
        <v>725</v>
      </c>
      <c r="Q149" s="257" t="s">
        <v>724</v>
      </c>
      <c r="R149" s="257"/>
      <c r="S149" s="257"/>
      <c r="T149" s="260">
        <v>2023</v>
      </c>
      <c r="U149" s="254">
        <v>2024</v>
      </c>
      <c r="V149" s="254">
        <v>2025</v>
      </c>
      <c r="W149" s="254">
        <v>2026</v>
      </c>
      <c r="X149" s="254">
        <v>2027</v>
      </c>
      <c r="Y149" s="254">
        <v>2028</v>
      </c>
      <c r="Z149" s="254">
        <v>2029</v>
      </c>
      <c r="AA149" s="254">
        <v>2030</v>
      </c>
      <c r="AB149" s="254">
        <v>2031</v>
      </c>
      <c r="AC149" s="254">
        <v>2032</v>
      </c>
      <c r="AD149" s="254">
        <v>2033</v>
      </c>
      <c r="AE149" s="254">
        <v>2034</v>
      </c>
      <c r="AF149" s="254">
        <v>2035</v>
      </c>
      <c r="AG149" s="254">
        <v>2036</v>
      </c>
      <c r="AH149" s="254">
        <v>2037</v>
      </c>
      <c r="AI149" s="254">
        <v>2038</v>
      </c>
      <c r="AJ149" s="254">
        <v>2039</v>
      </c>
      <c r="AK149" s="254">
        <v>2040</v>
      </c>
      <c r="AL149" s="254">
        <v>2041</v>
      </c>
      <c r="AM149" s="254">
        <v>2042</v>
      </c>
      <c r="AN149" s="254">
        <v>2043</v>
      </c>
      <c r="AO149" s="254">
        <v>2044</v>
      </c>
      <c r="AP149" s="254">
        <v>2045</v>
      </c>
      <c r="AQ149" s="254">
        <v>2046</v>
      </c>
      <c r="AR149" s="254">
        <v>2047</v>
      </c>
      <c r="AS149" s="254">
        <v>2048</v>
      </c>
      <c r="AT149" s="254">
        <v>2049</v>
      </c>
      <c r="AU149" s="254">
        <v>2050</v>
      </c>
      <c r="AV149" s="254">
        <v>2051</v>
      </c>
      <c r="AW149" s="254">
        <v>2052</v>
      </c>
      <c r="AX149" s="254">
        <v>2053</v>
      </c>
      <c r="AY149" s="255" t="s">
        <v>713</v>
      </c>
      <c r="BA149" s="262" t="s">
        <v>712</v>
      </c>
      <c r="BB149" s="255" t="s">
        <v>711</v>
      </c>
    </row>
    <row r="150" spans="2:57" s="270" customFormat="1" x14ac:dyDescent="0.25">
      <c r="B150" s="263"/>
      <c r="C150" s="263">
        <v>1</v>
      </c>
      <c r="D150" s="263" t="s">
        <v>718</v>
      </c>
      <c r="E150" s="263"/>
      <c r="F150" s="263"/>
      <c r="G150" s="263">
        <v>3.2017000000000002</v>
      </c>
      <c r="H150" s="263">
        <v>3.2031999999999998</v>
      </c>
      <c r="I150" s="263" t="s">
        <v>716</v>
      </c>
      <c r="J150" s="264">
        <v>129553</v>
      </c>
      <c r="K150" s="264"/>
      <c r="L150" s="264"/>
      <c r="M150" s="264"/>
      <c r="N150" s="265"/>
      <c r="O150" s="265"/>
      <c r="P150" s="265"/>
      <c r="Q150" s="265" t="s">
        <v>702</v>
      </c>
      <c r="R150" s="265"/>
      <c r="S150" s="265"/>
      <c r="T150" s="267">
        <v>8936</v>
      </c>
      <c r="U150" s="267">
        <v>8936</v>
      </c>
      <c r="V150" s="267">
        <v>8936</v>
      </c>
      <c r="W150" s="267">
        <v>8936</v>
      </c>
      <c r="X150" s="267">
        <v>8936</v>
      </c>
      <c r="Y150" s="267">
        <v>8936</v>
      </c>
      <c r="Z150" s="267">
        <v>8936</v>
      </c>
      <c r="AA150" s="267">
        <v>8936</v>
      </c>
      <c r="AB150" s="267">
        <v>8936</v>
      </c>
      <c r="AC150" s="267">
        <v>2234</v>
      </c>
      <c r="AD150" s="267"/>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8">
        <f t="shared" ref="AY150:AY164" si="44">SUM(T150:AX150)</f>
        <v>82658</v>
      </c>
      <c r="BA150" s="269">
        <f t="shared" ref="BA150:BA163" si="45">SUM(AA150:AX150)</f>
        <v>20106</v>
      </c>
      <c r="BB150" s="268">
        <f t="shared" ref="BB150:BB163" si="46">SUM(T150:Z150,BA150)</f>
        <v>82658</v>
      </c>
      <c r="BD150" s="270" t="b">
        <f t="shared" ref="BD150:BD164" si="47">AY150=BB150</f>
        <v>1</v>
      </c>
    </row>
    <row r="151" spans="2:57" x14ac:dyDescent="0.25">
      <c r="B151" s="272"/>
      <c r="C151" s="272"/>
      <c r="D151" s="272"/>
      <c r="E151" s="272"/>
      <c r="F151" s="272"/>
      <c r="G151" s="272"/>
      <c r="H151" s="272"/>
      <c r="I151" s="272"/>
      <c r="J151" s="273"/>
      <c r="K151" s="273"/>
      <c r="L151" s="273"/>
      <c r="M151" s="273"/>
      <c r="N151" s="274">
        <f>SUM(O151:P151)</f>
        <v>3.0089999999999999</v>
      </c>
      <c r="O151" s="274">
        <v>2.7589999999999999</v>
      </c>
      <c r="P151" s="274">
        <v>0.25</v>
      </c>
      <c r="Q151" s="274" t="s">
        <v>701</v>
      </c>
      <c r="R151" s="274"/>
      <c r="S151" s="274"/>
      <c r="T151" s="276">
        <v>2756.0634599999998</v>
      </c>
      <c r="U151" s="276">
        <f>SUM(U150:$AV150)*$N151/100</f>
        <v>2218.2949800000001</v>
      </c>
      <c r="V151" s="276">
        <f>SUM(V150:$AV150)*$N151/100</f>
        <v>1949.41074</v>
      </c>
      <c r="W151" s="276">
        <f>SUM(W150:$AV150)*$N151/100</f>
        <v>1680.5264999999999</v>
      </c>
      <c r="X151" s="276">
        <f>SUM(X150:$AV150)*$N151/100</f>
        <v>1411.6422599999999</v>
      </c>
      <c r="Y151" s="276">
        <f>SUM(Y150:$AV150)*$N151/100</f>
        <v>1142.75802</v>
      </c>
      <c r="Z151" s="276">
        <f>SUM(Z150:$AV150)*$N151/100</f>
        <v>873.87378000000001</v>
      </c>
      <c r="AA151" s="276">
        <f>SUM(AA150:$AV150)*$N151/100</f>
        <v>604.98954000000003</v>
      </c>
      <c r="AB151" s="276">
        <f>SUM(AB150:$AV150)*$N151/100</f>
        <v>336.1053</v>
      </c>
      <c r="AC151" s="276">
        <f>SUM(AC150:$AV150)*$N151/100</f>
        <v>67.221059999999994</v>
      </c>
      <c r="AD151" s="276"/>
      <c r="AE151" s="276"/>
      <c r="AF151" s="276"/>
      <c r="AG151" s="276"/>
      <c r="AH151" s="276"/>
      <c r="AI151" s="276"/>
      <c r="AJ151" s="276"/>
      <c r="AK151" s="276"/>
      <c r="AL151" s="276"/>
      <c r="AM151" s="276"/>
      <c r="AN151" s="276"/>
      <c r="AO151" s="276"/>
      <c r="AP151" s="276"/>
      <c r="AQ151" s="276"/>
      <c r="AR151" s="276"/>
      <c r="AS151" s="276"/>
      <c r="AT151" s="276"/>
      <c r="AU151" s="276"/>
      <c r="AV151" s="276"/>
      <c r="AW151" s="276"/>
      <c r="AX151" s="276"/>
      <c r="AY151" s="277">
        <f t="shared" si="44"/>
        <v>13040.885639999999</v>
      </c>
      <c r="BA151" s="278">
        <f t="shared" si="45"/>
        <v>1008.3158999999999</v>
      </c>
      <c r="BB151" s="277">
        <f t="shared" si="46"/>
        <v>13040.885639999999</v>
      </c>
      <c r="BD151" s="244" t="b">
        <f t="shared" si="47"/>
        <v>1</v>
      </c>
    </row>
    <row r="152" spans="2:57" s="270" customFormat="1" x14ac:dyDescent="0.25">
      <c r="B152" s="263"/>
      <c r="C152" s="263">
        <v>2</v>
      </c>
      <c r="D152" s="263" t="s">
        <v>723</v>
      </c>
      <c r="E152" s="263"/>
      <c r="F152" s="263"/>
      <c r="G152" s="327">
        <v>43832</v>
      </c>
      <c r="H152" s="327">
        <v>45656</v>
      </c>
      <c r="I152" s="263" t="s">
        <v>716</v>
      </c>
      <c r="J152" s="264">
        <v>44681</v>
      </c>
      <c r="K152" s="264"/>
      <c r="L152" s="264"/>
      <c r="M152" s="264"/>
      <c r="N152" s="265"/>
      <c r="O152" s="265"/>
      <c r="P152" s="265"/>
      <c r="Q152" s="265" t="s">
        <v>702</v>
      </c>
      <c r="R152" s="265"/>
      <c r="S152" s="265"/>
      <c r="T152" s="267">
        <v>5976</v>
      </c>
      <c r="U152" s="267">
        <v>5976</v>
      </c>
      <c r="V152" s="267">
        <v>446.95</v>
      </c>
      <c r="W152" s="267"/>
      <c r="X152" s="267"/>
      <c r="Y152" s="267"/>
      <c r="Z152" s="267"/>
      <c r="AA152" s="267"/>
      <c r="AB152" s="267"/>
      <c r="AC152" s="267"/>
      <c r="AD152" s="267"/>
      <c r="AE152" s="267"/>
      <c r="AF152" s="267"/>
      <c r="AG152" s="267"/>
      <c r="AH152" s="267"/>
      <c r="AI152" s="267"/>
      <c r="AJ152" s="267"/>
      <c r="AK152" s="267"/>
      <c r="AL152" s="267"/>
      <c r="AM152" s="267"/>
      <c r="AN152" s="267"/>
      <c r="AO152" s="267"/>
      <c r="AP152" s="267"/>
      <c r="AQ152" s="267"/>
      <c r="AR152" s="267"/>
      <c r="AS152" s="267"/>
      <c r="AT152" s="267"/>
      <c r="AU152" s="267"/>
      <c r="AV152" s="267"/>
      <c r="AW152" s="267"/>
      <c r="AX152" s="267"/>
      <c r="AY152" s="268">
        <f t="shared" si="44"/>
        <v>12398.95</v>
      </c>
      <c r="BA152" s="269">
        <f t="shared" si="45"/>
        <v>0</v>
      </c>
      <c r="BB152" s="268">
        <f t="shared" si="46"/>
        <v>12398.95</v>
      </c>
      <c r="BD152" s="270" t="b">
        <f t="shared" si="47"/>
        <v>1</v>
      </c>
    </row>
    <row r="153" spans="2:57" x14ac:dyDescent="0.25">
      <c r="B153" s="272"/>
      <c r="C153" s="272"/>
      <c r="D153" s="272" t="s">
        <v>720</v>
      </c>
      <c r="E153" s="272"/>
      <c r="F153" s="272"/>
      <c r="G153" s="272"/>
      <c r="H153" s="272"/>
      <c r="I153" s="272"/>
      <c r="J153" s="273"/>
      <c r="K153" s="273"/>
      <c r="L153" s="273"/>
      <c r="M153" s="273"/>
      <c r="N153" s="274">
        <f>SUM(O153:P153)</f>
        <v>0.85599999999999998</v>
      </c>
      <c r="O153" s="274">
        <v>0.35599999999999998</v>
      </c>
      <c r="P153" s="274">
        <v>0.5</v>
      </c>
      <c r="Q153" s="274" t="s">
        <v>701</v>
      </c>
      <c r="R153" s="274"/>
      <c r="S153" s="274"/>
      <c r="T153" s="276"/>
      <c r="U153" s="276"/>
      <c r="V153" s="276"/>
      <c r="W153" s="276"/>
      <c r="X153" s="276"/>
      <c r="Y153" s="276"/>
      <c r="Z153" s="276"/>
      <c r="AA153" s="276"/>
      <c r="AB153" s="276"/>
      <c r="AC153" s="276"/>
      <c r="AD153" s="276"/>
      <c r="AE153" s="276"/>
      <c r="AF153" s="276"/>
      <c r="AG153" s="276"/>
      <c r="AH153" s="276"/>
      <c r="AI153" s="276"/>
      <c r="AJ153" s="276"/>
      <c r="AK153" s="276"/>
      <c r="AL153" s="276"/>
      <c r="AM153" s="276"/>
      <c r="AN153" s="276"/>
      <c r="AO153" s="276"/>
      <c r="AP153" s="276"/>
      <c r="AQ153" s="276"/>
      <c r="AR153" s="276"/>
      <c r="AS153" s="276"/>
      <c r="AT153" s="276"/>
      <c r="AU153" s="276"/>
      <c r="AV153" s="276"/>
      <c r="AW153" s="276"/>
      <c r="AX153" s="276"/>
      <c r="AY153" s="277">
        <f t="shared" si="44"/>
        <v>0</v>
      </c>
      <c r="BA153" s="278">
        <f t="shared" si="45"/>
        <v>0</v>
      </c>
      <c r="BB153" s="277">
        <f t="shared" si="46"/>
        <v>0</v>
      </c>
      <c r="BD153" s="244" t="b">
        <f t="shared" si="47"/>
        <v>1</v>
      </c>
    </row>
    <row r="154" spans="2:57" s="270" customFormat="1" x14ac:dyDescent="0.25">
      <c r="B154" s="263"/>
      <c r="C154" s="263">
        <v>3</v>
      </c>
      <c r="D154" s="263" t="s">
        <v>722</v>
      </c>
      <c r="E154" s="263"/>
      <c r="F154" s="263"/>
      <c r="G154" s="327">
        <v>44151</v>
      </c>
      <c r="H154" s="327">
        <v>45981</v>
      </c>
      <c r="I154" s="263" t="s">
        <v>716</v>
      </c>
      <c r="J154" s="264">
        <v>82111</v>
      </c>
      <c r="K154" s="264"/>
      <c r="L154" s="264"/>
      <c r="M154" s="264"/>
      <c r="N154" s="265"/>
      <c r="O154" s="265"/>
      <c r="P154" s="265"/>
      <c r="Q154" s="265" t="s">
        <v>702</v>
      </c>
      <c r="R154" s="265"/>
      <c r="S154" s="265"/>
      <c r="T154" s="267">
        <v>15204.36</v>
      </c>
      <c r="U154" s="267">
        <v>15204.36</v>
      </c>
      <c r="V154" s="267">
        <v>13937.16</v>
      </c>
      <c r="W154" s="267"/>
      <c r="X154" s="267"/>
      <c r="Y154" s="267"/>
      <c r="Z154" s="267"/>
      <c r="AA154" s="267"/>
      <c r="AB154" s="267"/>
      <c r="AC154" s="267"/>
      <c r="AD154" s="267"/>
      <c r="AE154" s="267"/>
      <c r="AF154" s="267"/>
      <c r="AG154" s="267"/>
      <c r="AH154" s="267"/>
      <c r="AI154" s="267"/>
      <c r="AJ154" s="267"/>
      <c r="AK154" s="267"/>
      <c r="AL154" s="267"/>
      <c r="AM154" s="267"/>
      <c r="AN154" s="267"/>
      <c r="AO154" s="267"/>
      <c r="AP154" s="267"/>
      <c r="AQ154" s="267"/>
      <c r="AR154" s="267"/>
      <c r="AS154" s="267"/>
      <c r="AT154" s="267"/>
      <c r="AU154" s="267"/>
      <c r="AV154" s="267"/>
      <c r="AW154" s="267"/>
      <c r="AX154" s="267"/>
      <c r="AY154" s="268">
        <f t="shared" si="44"/>
        <v>44345.880000000005</v>
      </c>
      <c r="BA154" s="269">
        <f t="shared" si="45"/>
        <v>0</v>
      </c>
      <c r="BB154" s="268">
        <f t="shared" si="46"/>
        <v>44345.880000000005</v>
      </c>
      <c r="BD154" s="270" t="b">
        <f t="shared" si="47"/>
        <v>1</v>
      </c>
    </row>
    <row r="155" spans="2:57" x14ac:dyDescent="0.25">
      <c r="B155" s="272"/>
      <c r="C155" s="272"/>
      <c r="D155" s="272" t="s">
        <v>720</v>
      </c>
      <c r="E155" s="272"/>
      <c r="F155" s="272"/>
      <c r="G155" s="272"/>
      <c r="H155" s="272"/>
      <c r="I155" s="272"/>
      <c r="J155" s="273"/>
      <c r="K155" s="273"/>
      <c r="L155" s="273"/>
      <c r="M155" s="273"/>
      <c r="N155" s="274">
        <f>SUM(O155:P155)</f>
        <v>0.85599999999999998</v>
      </c>
      <c r="O155" s="274">
        <v>0.35599999999999998</v>
      </c>
      <c r="P155" s="274">
        <v>0.5</v>
      </c>
      <c r="Q155" s="274" t="s">
        <v>701</v>
      </c>
      <c r="R155" s="274"/>
      <c r="S155" s="274"/>
      <c r="T155" s="276"/>
      <c r="U155" s="276"/>
      <c r="V155" s="276"/>
      <c r="W155" s="276"/>
      <c r="X155" s="276"/>
      <c r="Y155" s="276"/>
      <c r="Z155" s="276"/>
      <c r="AA155" s="276"/>
      <c r="AB155" s="276"/>
      <c r="AC155" s="276"/>
      <c r="AD155" s="276"/>
      <c r="AE155" s="276"/>
      <c r="AF155" s="276"/>
      <c r="AG155" s="276"/>
      <c r="AH155" s="276"/>
      <c r="AI155" s="276"/>
      <c r="AJ155" s="276"/>
      <c r="AK155" s="276"/>
      <c r="AL155" s="276"/>
      <c r="AM155" s="276"/>
      <c r="AN155" s="276"/>
      <c r="AO155" s="276"/>
      <c r="AP155" s="276"/>
      <c r="AQ155" s="276"/>
      <c r="AR155" s="276"/>
      <c r="AS155" s="276"/>
      <c r="AT155" s="276"/>
      <c r="AU155" s="276"/>
      <c r="AV155" s="276"/>
      <c r="AW155" s="276"/>
      <c r="AX155" s="276"/>
      <c r="AY155" s="277">
        <f t="shared" si="44"/>
        <v>0</v>
      </c>
      <c r="BA155" s="278">
        <f t="shared" si="45"/>
        <v>0</v>
      </c>
      <c r="BB155" s="277">
        <f t="shared" si="46"/>
        <v>0</v>
      </c>
      <c r="BD155" s="244" t="b">
        <f t="shared" si="47"/>
        <v>1</v>
      </c>
    </row>
    <row r="156" spans="2:57" s="270" customFormat="1" x14ac:dyDescent="0.25">
      <c r="B156" s="263"/>
      <c r="C156" s="263">
        <v>4</v>
      </c>
      <c r="D156" s="263" t="s">
        <v>721</v>
      </c>
      <c r="E156" s="263"/>
      <c r="F156" s="263"/>
      <c r="G156" s="327">
        <v>44313</v>
      </c>
      <c r="H156" s="327">
        <v>45774</v>
      </c>
      <c r="I156" s="263" t="s">
        <v>716</v>
      </c>
      <c r="J156" s="264">
        <v>33649.81</v>
      </c>
      <c r="K156" s="264"/>
      <c r="L156" s="264"/>
      <c r="M156" s="264"/>
      <c r="N156" s="265"/>
      <c r="O156" s="265"/>
      <c r="P156" s="265"/>
      <c r="Q156" s="265" t="s">
        <v>702</v>
      </c>
      <c r="R156" s="265"/>
      <c r="S156" s="265"/>
      <c r="T156" s="267">
        <v>8424</v>
      </c>
      <c r="U156" s="267">
        <v>8424</v>
      </c>
      <c r="V156" s="267">
        <v>2808</v>
      </c>
      <c r="W156" s="267"/>
      <c r="X156" s="267"/>
      <c r="Y156" s="267"/>
      <c r="Z156" s="267"/>
      <c r="AA156" s="267"/>
      <c r="AB156" s="267"/>
      <c r="AC156" s="267"/>
      <c r="AD156" s="267"/>
      <c r="AE156" s="267"/>
      <c r="AF156" s="267"/>
      <c r="AG156" s="267"/>
      <c r="AH156" s="267"/>
      <c r="AI156" s="267"/>
      <c r="AJ156" s="267"/>
      <c r="AK156" s="267"/>
      <c r="AL156" s="267"/>
      <c r="AM156" s="267"/>
      <c r="AN156" s="267"/>
      <c r="AO156" s="267"/>
      <c r="AP156" s="267"/>
      <c r="AQ156" s="267"/>
      <c r="AR156" s="267"/>
      <c r="AS156" s="267"/>
      <c r="AT156" s="267"/>
      <c r="AU156" s="267"/>
      <c r="AV156" s="267"/>
      <c r="AW156" s="267"/>
      <c r="AX156" s="267"/>
      <c r="AY156" s="268">
        <f t="shared" si="44"/>
        <v>19656</v>
      </c>
      <c r="BA156" s="269">
        <f t="shared" si="45"/>
        <v>0</v>
      </c>
      <c r="BB156" s="268">
        <f t="shared" si="46"/>
        <v>19656</v>
      </c>
      <c r="BD156" s="270" t="b">
        <f t="shared" si="47"/>
        <v>1</v>
      </c>
    </row>
    <row r="157" spans="2:57" x14ac:dyDescent="0.25">
      <c r="B157" s="272"/>
      <c r="C157" s="272"/>
      <c r="D157" s="272" t="s">
        <v>720</v>
      </c>
      <c r="E157" s="272"/>
      <c r="F157" s="272"/>
      <c r="G157" s="272"/>
      <c r="H157" s="272"/>
      <c r="I157" s="272"/>
      <c r="J157" s="273"/>
      <c r="K157" s="273"/>
      <c r="L157" s="273"/>
      <c r="M157" s="273"/>
      <c r="N157" s="274">
        <f>SUM(O157:P157)</f>
        <v>0.85599999999999998</v>
      </c>
      <c r="O157" s="274">
        <v>0.35599999999999998</v>
      </c>
      <c r="P157" s="274">
        <v>0.5</v>
      </c>
      <c r="Q157" s="274" t="s">
        <v>701</v>
      </c>
      <c r="R157" s="274"/>
      <c r="S157" s="274"/>
      <c r="T157" s="276"/>
      <c r="U157" s="276"/>
      <c r="V157" s="276"/>
      <c r="W157" s="276"/>
      <c r="X157" s="276"/>
      <c r="Y157" s="276"/>
      <c r="Z157" s="276"/>
      <c r="AA157" s="276"/>
      <c r="AB157" s="276"/>
      <c r="AC157" s="276"/>
      <c r="AD157" s="276"/>
      <c r="AE157" s="276"/>
      <c r="AF157" s="276"/>
      <c r="AG157" s="276"/>
      <c r="AH157" s="276"/>
      <c r="AI157" s="276"/>
      <c r="AJ157" s="276"/>
      <c r="AK157" s="276"/>
      <c r="AL157" s="276"/>
      <c r="AM157" s="276"/>
      <c r="AN157" s="276"/>
      <c r="AO157" s="276"/>
      <c r="AP157" s="276"/>
      <c r="AQ157" s="276"/>
      <c r="AR157" s="276"/>
      <c r="AS157" s="276"/>
      <c r="AT157" s="276"/>
      <c r="AU157" s="276"/>
      <c r="AV157" s="276"/>
      <c r="AW157" s="276"/>
      <c r="AX157" s="276"/>
      <c r="AY157" s="277">
        <f t="shared" si="44"/>
        <v>0</v>
      </c>
      <c r="BA157" s="278">
        <f t="shared" si="45"/>
        <v>0</v>
      </c>
      <c r="BB157" s="277">
        <f t="shared" si="46"/>
        <v>0</v>
      </c>
      <c r="BD157" s="244" t="b">
        <f t="shared" si="47"/>
        <v>1</v>
      </c>
    </row>
    <row r="158" spans="2:57" s="270" customFormat="1" x14ac:dyDescent="0.25">
      <c r="B158" s="263"/>
      <c r="C158" s="263">
        <v>5</v>
      </c>
      <c r="D158" s="263" t="s">
        <v>718</v>
      </c>
      <c r="E158" s="263"/>
      <c r="F158" s="263"/>
      <c r="G158" s="327">
        <v>44655</v>
      </c>
      <c r="H158" s="327">
        <v>55598</v>
      </c>
      <c r="I158" s="263" t="s">
        <v>716</v>
      </c>
      <c r="J158" s="264">
        <v>2209678</v>
      </c>
      <c r="K158" s="264"/>
      <c r="L158" s="264"/>
      <c r="M158" s="264"/>
      <c r="N158" s="265"/>
      <c r="O158" s="265"/>
      <c r="P158" s="265"/>
      <c r="Q158" s="265" t="s">
        <v>702</v>
      </c>
      <c r="R158" s="265"/>
      <c r="S158" s="265"/>
      <c r="T158" s="267">
        <v>0</v>
      </c>
      <c r="U158" s="267"/>
      <c r="V158" s="267">
        <v>67990</v>
      </c>
      <c r="W158" s="267">
        <v>81588</v>
      </c>
      <c r="X158" s="267">
        <v>81588</v>
      </c>
      <c r="Y158" s="267">
        <v>81588</v>
      </c>
      <c r="Z158" s="267">
        <v>81588</v>
      </c>
      <c r="AA158" s="267">
        <v>81588</v>
      </c>
      <c r="AB158" s="267">
        <v>81588</v>
      </c>
      <c r="AC158" s="267">
        <v>81588</v>
      </c>
      <c r="AD158" s="267">
        <v>81588</v>
      </c>
      <c r="AE158" s="267">
        <v>81588</v>
      </c>
      <c r="AF158" s="267">
        <v>81588</v>
      </c>
      <c r="AG158" s="267">
        <v>81588</v>
      </c>
      <c r="AH158" s="267">
        <v>81588</v>
      </c>
      <c r="AI158" s="267">
        <v>81588</v>
      </c>
      <c r="AJ158" s="267">
        <v>81588</v>
      </c>
      <c r="AK158" s="267">
        <v>81588</v>
      </c>
      <c r="AL158" s="267">
        <v>81588</v>
      </c>
      <c r="AM158" s="267">
        <v>81588</v>
      </c>
      <c r="AN158" s="267">
        <v>81588</v>
      </c>
      <c r="AO158" s="267">
        <v>81588</v>
      </c>
      <c r="AP158" s="267">
        <v>81588</v>
      </c>
      <c r="AQ158" s="267">
        <v>81588</v>
      </c>
      <c r="AR158" s="267">
        <v>81588</v>
      </c>
      <c r="AS158" s="267">
        <v>81588</v>
      </c>
      <c r="AT158" s="267">
        <v>81588</v>
      </c>
      <c r="AU158" s="267">
        <v>81588</v>
      </c>
      <c r="AV158" s="267">
        <v>81588</v>
      </c>
      <c r="AW158" s="267">
        <v>81588</v>
      </c>
      <c r="AX158" s="267">
        <v>20400</v>
      </c>
      <c r="AY158" s="268">
        <f t="shared" si="44"/>
        <v>2291266</v>
      </c>
      <c r="BA158" s="269">
        <f t="shared" si="45"/>
        <v>1896924</v>
      </c>
      <c r="BB158" s="268">
        <f t="shared" si="46"/>
        <v>2291266</v>
      </c>
      <c r="BD158" s="270" t="b">
        <f t="shared" si="47"/>
        <v>1</v>
      </c>
    </row>
    <row r="159" spans="2:57" x14ac:dyDescent="0.25">
      <c r="B159" s="272"/>
      <c r="C159" s="272"/>
      <c r="D159" s="272"/>
      <c r="E159" s="272"/>
      <c r="F159" s="272"/>
      <c r="G159" s="272"/>
      <c r="H159" s="272"/>
      <c r="I159" s="272"/>
      <c r="J159" s="273"/>
      <c r="K159" s="273"/>
      <c r="L159" s="273"/>
      <c r="M159" s="273"/>
      <c r="N159" s="274">
        <f>SUM(O159:P159)</f>
        <v>3.008</v>
      </c>
      <c r="O159" s="274">
        <v>2.758</v>
      </c>
      <c r="P159" s="274">
        <v>0.25</v>
      </c>
      <c r="Q159" s="274" t="s">
        <v>701</v>
      </c>
      <c r="R159" s="274"/>
      <c r="S159" s="274"/>
      <c r="T159" s="276">
        <v>46207.281279999996</v>
      </c>
      <c r="U159" s="276">
        <f>SUM(U158:$AX158)*$N159/100</f>
        <v>68921.281279999996</v>
      </c>
      <c r="V159" s="276">
        <f>SUM(V158:$AX158)*$N159/100</f>
        <v>68921.281279999996</v>
      </c>
      <c r="W159" s="276">
        <f>SUM(W158:$AX158)*$N159/100</f>
        <v>66876.142079999991</v>
      </c>
      <c r="X159" s="276">
        <f>SUM(X158:$AX158)*$N159/100</f>
        <v>64421.975039999998</v>
      </c>
      <c r="Y159" s="276">
        <f>SUM(Y158:$AX158)*$N159/100</f>
        <v>61967.807999999997</v>
      </c>
      <c r="Z159" s="276">
        <f>SUM(Z158:$AX158)*$N159/100</f>
        <v>59513.640959999997</v>
      </c>
      <c r="AA159" s="276">
        <f>SUM(AA158:$AX158)*$N159/100</f>
        <v>57059.473919999997</v>
      </c>
      <c r="AB159" s="276">
        <f>SUM(AB158:$AX158)*$N159/100</f>
        <v>54605.306880000004</v>
      </c>
      <c r="AC159" s="276">
        <f>SUM(AC158:$AX158)*$N159/100</f>
        <v>52151.139840000003</v>
      </c>
      <c r="AD159" s="276">
        <f>SUM(AD158:$AX158)*$N159/100</f>
        <v>49696.972800000003</v>
      </c>
      <c r="AE159" s="276">
        <f>SUM(AE158:$AX158)*$N159/100</f>
        <v>47242.805760000003</v>
      </c>
      <c r="AF159" s="276">
        <f>SUM(AF158:$AX158)*$N159/100</f>
        <v>44788.638720000003</v>
      </c>
      <c r="AG159" s="276">
        <f>SUM(AG158:$AX158)*$N159/100</f>
        <v>42334.471679999995</v>
      </c>
      <c r="AH159" s="276">
        <f>SUM(AH158:$AX158)*$N159/100</f>
        <v>39880.304640000002</v>
      </c>
      <c r="AI159" s="276">
        <f>SUM(AI158:$AX158)*$N159/100</f>
        <v>37426.137599999995</v>
      </c>
      <c r="AJ159" s="276">
        <f>SUM(AJ158:$AX158)*$N159/100</f>
        <v>34971.970560000002</v>
      </c>
      <c r="AK159" s="276">
        <f>SUM(AK158:$AX158)*$N159/100</f>
        <v>32517.803520000001</v>
      </c>
      <c r="AL159" s="276">
        <f>SUM(AL158:$AX158)*$N159/100</f>
        <v>30063.636480000001</v>
      </c>
      <c r="AM159" s="276">
        <f>SUM(AM158:$AX158)*$N159/100</f>
        <v>27609.469440000001</v>
      </c>
      <c r="AN159" s="276">
        <f>SUM(AN158:$AX158)*$N159/100</f>
        <v>25155.3024</v>
      </c>
      <c r="AO159" s="276">
        <f>SUM(AO158:$AX158)*$N159/100</f>
        <v>22701.13536</v>
      </c>
      <c r="AP159" s="276">
        <f>SUM(AP158:$AX158)*$N159/100</f>
        <v>20246.96832</v>
      </c>
      <c r="AQ159" s="276">
        <f>SUM(AQ158:$AX158)*$N159/100</f>
        <v>17792.80128</v>
      </c>
      <c r="AR159" s="276">
        <f>SUM(AR158:$AX158)*$N159/100</f>
        <v>15338.634240000001</v>
      </c>
      <c r="AS159" s="276">
        <f>SUM(AS158:$AX158)*$N159/100</f>
        <v>12884.467199999999</v>
      </c>
      <c r="AT159" s="276">
        <f>SUM(AT158:$AX158)*$N159/100</f>
        <v>10430.300159999999</v>
      </c>
      <c r="AU159" s="276">
        <f>SUM(AU158:$AX158)*$N159/100</f>
        <v>7976.1331200000004</v>
      </c>
      <c r="AV159" s="276">
        <f>SUM(AV158:$AX158)*$N159/100</f>
        <v>5521.9660800000001</v>
      </c>
      <c r="AW159" s="276">
        <f>SUM(AW158:$AX158)*$N159/100</f>
        <v>3067.7990399999999</v>
      </c>
      <c r="AX159" s="276">
        <f>SUM(AX158:$AX158)*$N159/100</f>
        <v>613.63199999999995</v>
      </c>
      <c r="AY159" s="277">
        <f t="shared" si="44"/>
        <v>1128906.68096</v>
      </c>
      <c r="AZ159" s="250"/>
      <c r="BA159" s="278">
        <f t="shared" si="45"/>
        <v>692077.27104000002</v>
      </c>
      <c r="BB159" s="277">
        <f t="shared" si="46"/>
        <v>1128906.68096</v>
      </c>
      <c r="BD159" s="244" t="b">
        <f t="shared" si="47"/>
        <v>1</v>
      </c>
    </row>
    <row r="160" spans="2:57" s="270" customFormat="1" x14ac:dyDescent="0.25">
      <c r="B160" s="263"/>
      <c r="C160" s="263">
        <v>6</v>
      </c>
      <c r="D160" s="263" t="s">
        <v>719</v>
      </c>
      <c r="E160" s="263"/>
      <c r="F160" s="263"/>
      <c r="G160" s="327">
        <v>45112</v>
      </c>
      <c r="H160" s="327">
        <v>46965</v>
      </c>
      <c r="I160" s="263" t="s">
        <v>716</v>
      </c>
      <c r="J160" s="264">
        <v>134432.07999999999</v>
      </c>
      <c r="K160" s="264"/>
      <c r="L160" s="264"/>
      <c r="M160" s="264"/>
      <c r="N160" s="265"/>
      <c r="O160" s="265"/>
      <c r="P160" s="265"/>
      <c r="Q160" s="265" t="s">
        <v>702</v>
      </c>
      <c r="R160" s="265"/>
      <c r="S160" s="265"/>
      <c r="T160" s="267">
        <v>27121</v>
      </c>
      <c r="U160" s="267">
        <v>24300</v>
      </c>
      <c r="V160" s="267">
        <v>24300</v>
      </c>
      <c r="W160" s="267">
        <v>24300</v>
      </c>
      <c r="X160" s="267">
        <v>24300</v>
      </c>
      <c r="Y160" s="267">
        <v>10125</v>
      </c>
      <c r="Z160" s="267"/>
      <c r="AA160" s="267"/>
      <c r="AB160" s="267"/>
      <c r="AC160" s="267"/>
      <c r="AD160" s="267"/>
      <c r="AE160" s="267"/>
      <c r="AF160" s="267"/>
      <c r="AG160" s="267"/>
      <c r="AH160" s="267"/>
      <c r="AI160" s="267"/>
      <c r="AJ160" s="267"/>
      <c r="AK160" s="267"/>
      <c r="AL160" s="267"/>
      <c r="AM160" s="267"/>
      <c r="AN160" s="267"/>
      <c r="AO160" s="267"/>
      <c r="AP160" s="267"/>
      <c r="AQ160" s="267"/>
      <c r="AR160" s="267"/>
      <c r="AS160" s="267"/>
      <c r="AT160" s="267"/>
      <c r="AU160" s="267"/>
      <c r="AV160" s="267"/>
      <c r="AW160" s="267"/>
      <c r="AX160" s="267"/>
      <c r="AY160" s="268">
        <f t="shared" si="44"/>
        <v>134446</v>
      </c>
      <c r="BA160" s="269">
        <f t="shared" si="45"/>
        <v>0</v>
      </c>
      <c r="BB160" s="268">
        <f t="shared" si="46"/>
        <v>134446</v>
      </c>
      <c r="BD160" s="270" t="b">
        <f t="shared" si="47"/>
        <v>1</v>
      </c>
    </row>
    <row r="161" spans="2:56" x14ac:dyDescent="0.25">
      <c r="B161" s="272"/>
      <c r="C161" s="272"/>
      <c r="D161" s="272"/>
      <c r="E161" s="272"/>
      <c r="F161" s="272"/>
      <c r="G161" s="272"/>
      <c r="H161" s="272"/>
      <c r="I161" s="272"/>
      <c r="J161" s="273"/>
      <c r="K161" s="273"/>
      <c r="L161" s="273"/>
      <c r="M161" s="273"/>
      <c r="N161" s="274">
        <f>SUM(O161:P161)</f>
        <v>3.008</v>
      </c>
      <c r="O161" s="274">
        <v>2.758</v>
      </c>
      <c r="P161" s="274">
        <v>0.25</v>
      </c>
      <c r="Q161" s="274" t="s">
        <v>701</v>
      </c>
      <c r="R161" s="274"/>
      <c r="S161" s="274"/>
      <c r="T161" s="328"/>
      <c r="U161" s="276"/>
      <c r="V161" s="276"/>
      <c r="W161" s="276"/>
      <c r="X161" s="276"/>
      <c r="Y161" s="276"/>
      <c r="Z161" s="276"/>
      <c r="AA161" s="276"/>
      <c r="AB161" s="276"/>
      <c r="AC161" s="276"/>
      <c r="AD161" s="276"/>
      <c r="AE161" s="276"/>
      <c r="AF161" s="276"/>
      <c r="AG161" s="276"/>
      <c r="AH161" s="276"/>
      <c r="AI161" s="276"/>
      <c r="AJ161" s="276"/>
      <c r="AK161" s="276"/>
      <c r="AL161" s="276"/>
      <c r="AM161" s="276"/>
      <c r="AN161" s="276"/>
      <c r="AO161" s="276"/>
      <c r="AP161" s="276"/>
      <c r="AQ161" s="276"/>
      <c r="AR161" s="276"/>
      <c r="AS161" s="276"/>
      <c r="AT161" s="276"/>
      <c r="AU161" s="276"/>
      <c r="AV161" s="276"/>
      <c r="AW161" s="276"/>
      <c r="AX161" s="276"/>
      <c r="AY161" s="277">
        <f t="shared" si="44"/>
        <v>0</v>
      </c>
      <c r="BA161" s="278">
        <f t="shared" si="45"/>
        <v>0</v>
      </c>
      <c r="BB161" s="277">
        <f t="shared" si="46"/>
        <v>0</v>
      </c>
      <c r="BD161" s="244" t="b">
        <f t="shared" si="47"/>
        <v>1</v>
      </c>
    </row>
    <row r="162" spans="2:56" s="288" customFormat="1" x14ac:dyDescent="0.25">
      <c r="B162" s="282"/>
      <c r="C162" s="282">
        <v>7</v>
      </c>
      <c r="D162" s="282" t="s">
        <v>718</v>
      </c>
      <c r="E162" s="282"/>
      <c r="F162" s="282"/>
      <c r="G162" s="329" t="s">
        <v>717</v>
      </c>
      <c r="H162" s="329">
        <v>49572</v>
      </c>
      <c r="I162" s="282" t="s">
        <v>716</v>
      </c>
      <c r="J162" s="264">
        <v>801681</v>
      </c>
      <c r="K162" s="264"/>
      <c r="L162" s="264"/>
      <c r="M162" s="264"/>
      <c r="N162" s="265"/>
      <c r="O162" s="265"/>
      <c r="P162" s="265"/>
      <c r="Q162" s="265" t="s">
        <v>702</v>
      </c>
      <c r="R162" s="265"/>
      <c r="S162" s="265"/>
      <c r="T162" s="267"/>
      <c r="U162" s="267"/>
      <c r="V162" s="267"/>
      <c r="W162" s="267"/>
      <c r="X162" s="267">
        <f t="shared" ref="X162:AG162" si="48">$J$162/40*4</f>
        <v>80168.100000000006</v>
      </c>
      <c r="Y162" s="267">
        <f t="shared" si="48"/>
        <v>80168.100000000006</v>
      </c>
      <c r="Z162" s="267">
        <f t="shared" si="48"/>
        <v>80168.100000000006</v>
      </c>
      <c r="AA162" s="267">
        <f t="shared" si="48"/>
        <v>80168.100000000006</v>
      </c>
      <c r="AB162" s="267">
        <f t="shared" si="48"/>
        <v>80168.100000000006</v>
      </c>
      <c r="AC162" s="267">
        <f t="shared" si="48"/>
        <v>80168.100000000006</v>
      </c>
      <c r="AD162" s="267">
        <f t="shared" si="48"/>
        <v>80168.100000000006</v>
      </c>
      <c r="AE162" s="267">
        <f t="shared" si="48"/>
        <v>80168.100000000006</v>
      </c>
      <c r="AF162" s="267">
        <f t="shared" si="48"/>
        <v>80168.100000000006</v>
      </c>
      <c r="AG162" s="267">
        <f t="shared" si="48"/>
        <v>80168.100000000006</v>
      </c>
      <c r="AH162" s="267"/>
      <c r="AI162" s="267"/>
      <c r="AJ162" s="267"/>
      <c r="AK162" s="267"/>
      <c r="AL162" s="267"/>
      <c r="AM162" s="267"/>
      <c r="AN162" s="267"/>
      <c r="AO162" s="267"/>
      <c r="AP162" s="267"/>
      <c r="AQ162" s="267"/>
      <c r="AR162" s="267"/>
      <c r="AS162" s="267"/>
      <c r="AT162" s="267"/>
      <c r="AU162" s="267"/>
      <c r="AV162" s="267"/>
      <c r="AW162" s="267"/>
      <c r="AX162" s="267"/>
      <c r="AY162" s="268">
        <f t="shared" si="44"/>
        <v>801680.99999999988</v>
      </c>
      <c r="BA162" s="269">
        <f t="shared" si="45"/>
        <v>561176.69999999995</v>
      </c>
      <c r="BB162" s="268">
        <f t="shared" si="46"/>
        <v>801681</v>
      </c>
      <c r="BD162" s="288" t="b">
        <f t="shared" si="47"/>
        <v>1</v>
      </c>
    </row>
    <row r="163" spans="2:56" s="287" customFormat="1" x14ac:dyDescent="0.25">
      <c r="B163" s="290"/>
      <c r="C163" s="290"/>
      <c r="D163" s="330" t="s">
        <v>715</v>
      </c>
      <c r="E163" s="290"/>
      <c r="F163" s="290"/>
      <c r="G163" s="290"/>
      <c r="H163" s="290"/>
      <c r="I163" s="290"/>
      <c r="J163" s="273"/>
      <c r="K163" s="273"/>
      <c r="L163" s="273"/>
      <c r="M163" s="273"/>
      <c r="N163" s="274">
        <f>SUM(O163:P163)</f>
        <v>4.915</v>
      </c>
      <c r="O163" s="274">
        <v>4.665</v>
      </c>
      <c r="P163" s="274">
        <v>0.25</v>
      </c>
      <c r="Q163" s="274" t="s">
        <v>701</v>
      </c>
      <c r="R163" s="274"/>
      <c r="S163" s="274"/>
      <c r="T163" s="276"/>
      <c r="U163" s="276">
        <f>SUM(U162:$AX162)*$N163/100</f>
        <v>39402.621149999992</v>
      </c>
      <c r="V163" s="276">
        <f>SUM(V162:$AX162)*$N163/100</f>
        <v>39402.621149999992</v>
      </c>
      <c r="W163" s="276">
        <f>SUM(W162:$AX162)*$N163/100</f>
        <v>39402.621149999992</v>
      </c>
      <c r="X163" s="276">
        <f>SUM(X162:$AX162)*$N163/100</f>
        <v>39402.621149999992</v>
      </c>
      <c r="Y163" s="276">
        <f>SUM(Y162:$AX162)*$N163/100</f>
        <v>35462.359034999994</v>
      </c>
      <c r="Z163" s="276">
        <f>SUM(Z162:$AX162)*$N163/100</f>
        <v>31522.096919999996</v>
      </c>
      <c r="AA163" s="276">
        <f>SUM(AA162:$AX162)*$N163/100</f>
        <v>27581.834804999995</v>
      </c>
      <c r="AB163" s="276">
        <f>SUM(AB162:$AX162)*$N163/100</f>
        <v>23641.572689999997</v>
      </c>
      <c r="AC163" s="276">
        <f>SUM(AC162:$AX162)*$N163/100</f>
        <v>19701.310575</v>
      </c>
      <c r="AD163" s="276">
        <f>SUM(AD162:$AX162)*$N163/100</f>
        <v>15761.048460000002</v>
      </c>
      <c r="AE163" s="276">
        <f>SUM(AE162:$AX162)*$N163/100</f>
        <v>11820.786345000002</v>
      </c>
      <c r="AF163" s="276">
        <f>SUM(AF162:$AX162)*$N163/100</f>
        <v>7880.5242300000009</v>
      </c>
      <c r="AG163" s="276">
        <f>SUM(AG162:$AX162)*$N163/100</f>
        <v>3940.2621150000004</v>
      </c>
      <c r="AH163" s="276">
        <f>SUM(AH162:$AX162)*$N163/100</f>
        <v>0</v>
      </c>
      <c r="AI163" s="276">
        <f>SUM(AI162:$AX162)*$N163/100</f>
        <v>0</v>
      </c>
      <c r="AJ163" s="276">
        <f>SUM(AJ162:$AX162)*$N163/100</f>
        <v>0</v>
      </c>
      <c r="AK163" s="276">
        <f>SUM(AK162:$AX162)*$N163/100</f>
        <v>0</v>
      </c>
      <c r="AL163" s="276">
        <f>SUM(AL162:$AX162)*$N163/100</f>
        <v>0</v>
      </c>
      <c r="AM163" s="276">
        <f>SUM(AM162:$AX162)*$N163/100</f>
        <v>0</v>
      </c>
      <c r="AN163" s="276">
        <f>SUM(AN162:$AX162)*$N163/100</f>
        <v>0</v>
      </c>
      <c r="AO163" s="276">
        <f>SUM(AO162:$AX162)*$N163/100</f>
        <v>0</v>
      </c>
      <c r="AP163" s="276">
        <f>SUM(AP162:$AX162)*$N163/100</f>
        <v>0</v>
      </c>
      <c r="AQ163" s="276">
        <f>SUM(AQ162:$AX162)*$N163/100</f>
        <v>0</v>
      </c>
      <c r="AR163" s="276">
        <f>SUM(AR162:$AX162)*$N163/100</f>
        <v>0</v>
      </c>
      <c r="AS163" s="276">
        <f>SUM(AS162:$AX162)*$N163/100</f>
        <v>0</v>
      </c>
      <c r="AT163" s="276">
        <f>SUM(AT162:$AX162)*$N163/100</f>
        <v>0</v>
      </c>
      <c r="AU163" s="276">
        <f>SUM(AU162:$AX162)*$N163/100</f>
        <v>0</v>
      </c>
      <c r="AV163" s="276">
        <f>SUM(AV162:$AX162)*$N163/100</f>
        <v>0</v>
      </c>
      <c r="AW163" s="276">
        <f>SUM(AW162:$AX162)*$N163/100</f>
        <v>0</v>
      </c>
      <c r="AX163" s="276">
        <f>SUM(AX162:$AX162)*$N163/100</f>
        <v>0</v>
      </c>
      <c r="AY163" s="277">
        <f t="shared" si="44"/>
        <v>334922.279775</v>
      </c>
      <c r="AZ163" s="286"/>
      <c r="BA163" s="278">
        <f t="shared" si="45"/>
        <v>110327.33921999999</v>
      </c>
      <c r="BB163" s="277">
        <f t="shared" si="46"/>
        <v>334922.27977499994</v>
      </c>
      <c r="BD163" s="287" t="b">
        <f t="shared" si="47"/>
        <v>1</v>
      </c>
    </row>
    <row r="164" spans="2:56" s="288" customFormat="1" x14ac:dyDescent="0.25">
      <c r="Q164" s="331" t="s">
        <v>714</v>
      </c>
      <c r="R164" s="331"/>
      <c r="T164" s="323">
        <f t="shared" ref="T164:AX164" si="49">SUM(T150:T163)</f>
        <v>114624.70473999999</v>
      </c>
      <c r="U164" s="323">
        <f t="shared" si="49"/>
        <v>173382.55740999998</v>
      </c>
      <c r="V164" s="323">
        <f t="shared" si="49"/>
        <v>228691.42316999999</v>
      </c>
      <c r="W164" s="323">
        <f t="shared" si="49"/>
        <v>222783.28972999999</v>
      </c>
      <c r="X164" s="323">
        <f t="shared" si="49"/>
        <v>300228.33844999998</v>
      </c>
      <c r="Y164" s="323">
        <f t="shared" si="49"/>
        <v>279390.02505499998</v>
      </c>
      <c r="Z164" s="323">
        <f t="shared" si="49"/>
        <v>262601.71165999997</v>
      </c>
      <c r="AA164" s="323">
        <f t="shared" si="49"/>
        <v>255938.398265</v>
      </c>
      <c r="AB164" s="323">
        <f t="shared" si="49"/>
        <v>249275.08486999999</v>
      </c>
      <c r="AC164" s="323">
        <f t="shared" si="49"/>
        <v>235909.77147500002</v>
      </c>
      <c r="AD164" s="323">
        <f t="shared" si="49"/>
        <v>227214.12125999999</v>
      </c>
      <c r="AE164" s="323">
        <f t="shared" si="49"/>
        <v>220819.69210499999</v>
      </c>
      <c r="AF164" s="323">
        <f t="shared" si="49"/>
        <v>214425.26295000003</v>
      </c>
      <c r="AG164" s="323">
        <f t="shared" si="49"/>
        <v>208030.83379499998</v>
      </c>
      <c r="AH164" s="323">
        <f t="shared" si="49"/>
        <v>121468.30464</v>
      </c>
      <c r="AI164" s="323">
        <f t="shared" si="49"/>
        <v>119014.13759999999</v>
      </c>
      <c r="AJ164" s="323">
        <f t="shared" si="49"/>
        <v>116559.97056</v>
      </c>
      <c r="AK164" s="323">
        <f t="shared" si="49"/>
        <v>114105.80352</v>
      </c>
      <c r="AL164" s="323">
        <f t="shared" si="49"/>
        <v>111651.63648</v>
      </c>
      <c r="AM164" s="323">
        <f t="shared" si="49"/>
        <v>109197.46944</v>
      </c>
      <c r="AN164" s="323">
        <f t="shared" si="49"/>
        <v>106743.3024</v>
      </c>
      <c r="AO164" s="323">
        <f t="shared" si="49"/>
        <v>104289.13536</v>
      </c>
      <c r="AP164" s="323">
        <f t="shared" si="49"/>
        <v>101834.96832</v>
      </c>
      <c r="AQ164" s="323">
        <f t="shared" si="49"/>
        <v>99380.80128</v>
      </c>
      <c r="AR164" s="323">
        <f t="shared" si="49"/>
        <v>96926.634239999999</v>
      </c>
      <c r="AS164" s="323">
        <f t="shared" si="49"/>
        <v>94472.467199999999</v>
      </c>
      <c r="AT164" s="323">
        <f t="shared" si="49"/>
        <v>92018.300159999999</v>
      </c>
      <c r="AU164" s="323">
        <f t="shared" si="49"/>
        <v>89564.133119999999</v>
      </c>
      <c r="AV164" s="323">
        <f t="shared" si="49"/>
        <v>87109.966079999998</v>
      </c>
      <c r="AW164" s="323">
        <f t="shared" si="49"/>
        <v>84655.799039999998</v>
      </c>
      <c r="AX164" s="323">
        <f t="shared" si="49"/>
        <v>21013.632000000001</v>
      </c>
      <c r="AY164" s="332">
        <f t="shared" si="44"/>
        <v>4863321.6763749998</v>
      </c>
      <c r="BA164" s="333">
        <f>SUM(BA150:BA163)</f>
        <v>3281619.62616</v>
      </c>
      <c r="BB164" s="333">
        <f>SUM(BB150:BB163)</f>
        <v>4863321.6763750007</v>
      </c>
      <c r="BD164" s="288" t="b">
        <f t="shared" si="47"/>
        <v>1</v>
      </c>
    </row>
    <row r="167" spans="2:56" ht="27.6" x14ac:dyDescent="0.25">
      <c r="R167" s="260"/>
      <c r="S167" s="260"/>
      <c r="T167" s="260">
        <v>2023</v>
      </c>
      <c r="U167" s="254">
        <v>2024</v>
      </c>
      <c r="V167" s="254">
        <v>2025</v>
      </c>
      <c r="W167" s="254">
        <v>2026</v>
      </c>
      <c r="X167" s="254">
        <v>2027</v>
      </c>
      <c r="Y167" s="254">
        <v>2028</v>
      </c>
      <c r="Z167" s="254">
        <v>2029</v>
      </c>
      <c r="AA167" s="254">
        <v>2030</v>
      </c>
      <c r="AB167" s="254">
        <v>2031</v>
      </c>
      <c r="AC167" s="254">
        <v>2032</v>
      </c>
      <c r="AD167" s="254">
        <v>2033</v>
      </c>
      <c r="AE167" s="254">
        <v>2034</v>
      </c>
      <c r="AF167" s="254">
        <v>2035</v>
      </c>
      <c r="AG167" s="254">
        <v>2036</v>
      </c>
      <c r="AH167" s="254">
        <v>2037</v>
      </c>
      <c r="AI167" s="254">
        <v>2038</v>
      </c>
      <c r="AJ167" s="254">
        <v>2039</v>
      </c>
      <c r="AK167" s="254">
        <v>2040</v>
      </c>
      <c r="AL167" s="254">
        <v>2041</v>
      </c>
      <c r="AM167" s="254">
        <v>2042</v>
      </c>
      <c r="AN167" s="254">
        <v>2043</v>
      </c>
      <c r="AO167" s="254">
        <v>2044</v>
      </c>
      <c r="AP167" s="254">
        <v>2045</v>
      </c>
      <c r="AQ167" s="254">
        <v>2046</v>
      </c>
      <c r="AR167" s="254">
        <v>2047</v>
      </c>
      <c r="AS167" s="254">
        <v>2048</v>
      </c>
      <c r="AT167" s="254">
        <v>2049</v>
      </c>
      <c r="AU167" s="254">
        <v>2050</v>
      </c>
      <c r="AV167" s="254">
        <v>2051</v>
      </c>
      <c r="AW167" s="254">
        <v>2052</v>
      </c>
      <c r="AX167" s="254">
        <v>2053</v>
      </c>
      <c r="AY167" s="255" t="s">
        <v>713</v>
      </c>
      <c r="BA167" s="254" t="s">
        <v>712</v>
      </c>
      <c r="BB167" s="255" t="s">
        <v>711</v>
      </c>
    </row>
    <row r="168" spans="2:56" x14ac:dyDescent="0.25">
      <c r="Q168" s="334" t="s">
        <v>710</v>
      </c>
      <c r="R168" s="335"/>
      <c r="S168" s="335"/>
      <c r="T168" s="335">
        <f t="shared" ref="T168:AX168" si="50">T143</f>
        <v>3601890.05</v>
      </c>
      <c r="U168" s="335">
        <f t="shared" si="50"/>
        <v>3539750.5</v>
      </c>
      <c r="V168" s="335">
        <f t="shared" si="50"/>
        <v>3475198.49</v>
      </c>
      <c r="W168" s="335">
        <f t="shared" si="50"/>
        <v>3442537.96</v>
      </c>
      <c r="X168" s="335">
        <f t="shared" si="50"/>
        <v>3444399.7488888884</v>
      </c>
      <c r="Y168" s="335">
        <f t="shared" si="50"/>
        <v>3563680.0044444441</v>
      </c>
      <c r="Z168" s="335">
        <f t="shared" si="50"/>
        <v>3505903.0044444441</v>
      </c>
      <c r="AA168" s="335">
        <f t="shared" si="50"/>
        <v>3476840.0044444441</v>
      </c>
      <c r="AB168" s="335">
        <f t="shared" si="50"/>
        <v>3390520.864444444</v>
      </c>
      <c r="AC168" s="335">
        <f t="shared" si="50"/>
        <v>2731893.7544444441</v>
      </c>
      <c r="AD168" s="335">
        <f t="shared" si="50"/>
        <v>2528174.0244444441</v>
      </c>
      <c r="AE168" s="335">
        <f t="shared" si="50"/>
        <v>2171093.8044444444</v>
      </c>
      <c r="AF168" s="335">
        <f t="shared" si="50"/>
        <v>2072237.8044444444</v>
      </c>
      <c r="AG168" s="335">
        <f t="shared" si="50"/>
        <v>1943128.7544444446</v>
      </c>
      <c r="AH168" s="335">
        <f t="shared" si="50"/>
        <v>1832316.0444444446</v>
      </c>
      <c r="AI168" s="335">
        <f t="shared" si="50"/>
        <v>1697912.0444444446</v>
      </c>
      <c r="AJ168" s="335">
        <f t="shared" si="50"/>
        <v>1625784.0444444446</v>
      </c>
      <c r="AK168" s="335">
        <f t="shared" si="50"/>
        <v>1584734.0844444446</v>
      </c>
      <c r="AL168" s="335">
        <f t="shared" si="50"/>
        <v>1559973.1144444444</v>
      </c>
      <c r="AM168" s="335">
        <f t="shared" si="50"/>
        <v>1500459.111111111</v>
      </c>
      <c r="AN168" s="335">
        <f t="shared" si="50"/>
        <v>1500459.111111111</v>
      </c>
      <c r="AO168" s="335">
        <f t="shared" si="50"/>
        <v>1658514.6666666667</v>
      </c>
      <c r="AP168" s="335">
        <f t="shared" si="50"/>
        <v>1184348</v>
      </c>
      <c r="AQ168" s="335">
        <f t="shared" si="50"/>
        <v>1184348</v>
      </c>
      <c r="AR168" s="335">
        <f t="shared" si="50"/>
        <v>1184348</v>
      </c>
      <c r="AS168" s="335">
        <f t="shared" si="50"/>
        <v>867315.83000000007</v>
      </c>
      <c r="AT168" s="335">
        <f t="shared" si="50"/>
        <v>452632</v>
      </c>
      <c r="AU168" s="335">
        <f t="shared" si="50"/>
        <v>409981</v>
      </c>
      <c r="AV168" s="335">
        <f t="shared" si="50"/>
        <v>55587.92</v>
      </c>
      <c r="AW168" s="335">
        <f t="shared" si="50"/>
        <v>0</v>
      </c>
      <c r="AX168" s="335">
        <f t="shared" si="50"/>
        <v>0</v>
      </c>
      <c r="AY168" s="336">
        <f>SUM(S168:AX168)</f>
        <v>61185961.73999998</v>
      </c>
      <c r="BA168" s="337">
        <f>SUM(AA168:AX168)</f>
        <v>36612601.982222229</v>
      </c>
      <c r="BB168" s="268">
        <f>SUM(S168:Z168,BA168)</f>
        <v>61185961.740000002</v>
      </c>
    </row>
    <row r="169" spans="2:56" x14ac:dyDescent="0.25">
      <c r="Q169" s="334" t="s">
        <v>709</v>
      </c>
      <c r="R169" s="335"/>
      <c r="S169" s="335"/>
      <c r="T169" s="335">
        <f t="shared" ref="T169:AX169" si="51">T144</f>
        <v>1224363.0000000002</v>
      </c>
      <c r="U169" s="335">
        <f t="shared" si="51"/>
        <v>2236953.5415089009</v>
      </c>
      <c r="V169" s="335">
        <f t="shared" si="51"/>
        <v>2206446.6959199002</v>
      </c>
      <c r="W169" s="335">
        <f t="shared" si="51"/>
        <v>2274233.1074909</v>
      </c>
      <c r="X169" s="335">
        <f t="shared" si="51"/>
        <v>2125245.5962509001</v>
      </c>
      <c r="Y169" s="335">
        <f t="shared" si="51"/>
        <v>1973545.1038474997</v>
      </c>
      <c r="Z169" s="335">
        <f t="shared" si="51"/>
        <v>1815647.2633235008</v>
      </c>
      <c r="AA169" s="335">
        <f t="shared" si="51"/>
        <v>1660110.8018895001</v>
      </c>
      <c r="AB169" s="335">
        <f t="shared" si="51"/>
        <v>1505731.6059854999</v>
      </c>
      <c r="AC169" s="335">
        <f t="shared" si="51"/>
        <v>1355405.2811271001</v>
      </c>
      <c r="AD169" s="335">
        <f t="shared" si="51"/>
        <v>1232333.8402090995</v>
      </c>
      <c r="AE169" s="335">
        <f t="shared" si="51"/>
        <v>1118819.1434494001</v>
      </c>
      <c r="AF169" s="335">
        <f t="shared" si="51"/>
        <v>1020292.0111166001</v>
      </c>
      <c r="AG169" s="335">
        <f t="shared" si="51"/>
        <v>926221.77864379983</v>
      </c>
      <c r="AH169" s="335">
        <f t="shared" si="51"/>
        <v>837831.63125500013</v>
      </c>
      <c r="AI169" s="335">
        <f t="shared" si="51"/>
        <v>753822.72227100015</v>
      </c>
      <c r="AJ169" s="335">
        <f t="shared" si="51"/>
        <v>675771.50826699985</v>
      </c>
      <c r="AK169" s="335">
        <f t="shared" si="51"/>
        <v>600907.595203</v>
      </c>
      <c r="AL169" s="335">
        <f t="shared" si="51"/>
        <v>527827.85213899997</v>
      </c>
      <c r="AM169" s="335">
        <f t="shared" si="51"/>
        <v>455910.62948799995</v>
      </c>
      <c r="AN169" s="335">
        <f t="shared" si="51"/>
        <v>386898.32936799998</v>
      </c>
      <c r="AO169" s="335">
        <f t="shared" si="51"/>
        <v>317886.02924799989</v>
      </c>
      <c r="AP169" s="335">
        <f t="shared" si="51"/>
        <v>240808.15412799999</v>
      </c>
      <c r="AQ169" s="335">
        <f t="shared" si="51"/>
        <v>187927.00400799996</v>
      </c>
      <c r="AR169" s="335">
        <f t="shared" si="51"/>
        <v>135045.85388799998</v>
      </c>
      <c r="AS169" s="335">
        <f t="shared" si="51"/>
        <v>82164.703767999992</v>
      </c>
      <c r="AT169" s="335">
        <f t="shared" si="51"/>
        <v>43306.896070000003</v>
      </c>
      <c r="AU169" s="335">
        <f t="shared" si="51"/>
        <v>22024.558349999996</v>
      </c>
      <c r="AV169" s="335">
        <f t="shared" si="51"/>
        <v>2596.5674300000001</v>
      </c>
      <c r="AW169" s="335">
        <f t="shared" si="51"/>
        <v>0</v>
      </c>
      <c r="AX169" s="335">
        <f t="shared" si="51"/>
        <v>0</v>
      </c>
      <c r="AY169" s="336">
        <f>SUM(S169:AX169)</f>
        <v>27946078.805643599</v>
      </c>
      <c r="BA169" s="337">
        <f>SUM(AA169:AX169)</f>
        <v>14089644.497302003</v>
      </c>
      <c r="BB169" s="336">
        <f>SUM(S169:Z169,BA169)</f>
        <v>27946078.805643603</v>
      </c>
    </row>
    <row r="170" spans="2:56" x14ac:dyDescent="0.25">
      <c r="Q170" s="334" t="s">
        <v>708</v>
      </c>
      <c r="R170" s="335"/>
      <c r="S170" s="335"/>
      <c r="T170" s="335">
        <f t="shared" ref="T170:AX170" si="52">T164</f>
        <v>114624.70473999999</v>
      </c>
      <c r="U170" s="335">
        <f t="shared" si="52"/>
        <v>173382.55740999998</v>
      </c>
      <c r="V170" s="335">
        <f t="shared" si="52"/>
        <v>228691.42316999999</v>
      </c>
      <c r="W170" s="335">
        <f t="shared" si="52"/>
        <v>222783.28972999999</v>
      </c>
      <c r="X170" s="335">
        <f t="shared" si="52"/>
        <v>300228.33844999998</v>
      </c>
      <c r="Y170" s="335">
        <f t="shared" si="52"/>
        <v>279390.02505499998</v>
      </c>
      <c r="Z170" s="335">
        <f t="shared" si="52"/>
        <v>262601.71165999997</v>
      </c>
      <c r="AA170" s="335">
        <f t="shared" si="52"/>
        <v>255938.398265</v>
      </c>
      <c r="AB170" s="335">
        <f t="shared" si="52"/>
        <v>249275.08486999999</v>
      </c>
      <c r="AC170" s="335">
        <f t="shared" si="52"/>
        <v>235909.77147500002</v>
      </c>
      <c r="AD170" s="335">
        <f t="shared" si="52"/>
        <v>227214.12125999999</v>
      </c>
      <c r="AE170" s="335">
        <f t="shared" si="52"/>
        <v>220819.69210499999</v>
      </c>
      <c r="AF170" s="335">
        <f t="shared" si="52"/>
        <v>214425.26295000003</v>
      </c>
      <c r="AG170" s="335">
        <f t="shared" si="52"/>
        <v>208030.83379499998</v>
      </c>
      <c r="AH170" s="335">
        <f t="shared" si="52"/>
        <v>121468.30464</v>
      </c>
      <c r="AI170" s="335">
        <f t="shared" si="52"/>
        <v>119014.13759999999</v>
      </c>
      <c r="AJ170" s="335">
        <f t="shared" si="52"/>
        <v>116559.97056</v>
      </c>
      <c r="AK170" s="335">
        <f t="shared" si="52"/>
        <v>114105.80352</v>
      </c>
      <c r="AL170" s="335">
        <f t="shared" si="52"/>
        <v>111651.63648</v>
      </c>
      <c r="AM170" s="335">
        <f t="shared" si="52"/>
        <v>109197.46944</v>
      </c>
      <c r="AN170" s="335">
        <f t="shared" si="52"/>
        <v>106743.3024</v>
      </c>
      <c r="AO170" s="335">
        <f t="shared" si="52"/>
        <v>104289.13536</v>
      </c>
      <c r="AP170" s="335">
        <f t="shared" si="52"/>
        <v>101834.96832</v>
      </c>
      <c r="AQ170" s="335">
        <f t="shared" si="52"/>
        <v>99380.80128</v>
      </c>
      <c r="AR170" s="335">
        <f t="shared" si="52"/>
        <v>96926.634239999999</v>
      </c>
      <c r="AS170" s="335">
        <f t="shared" si="52"/>
        <v>94472.467199999999</v>
      </c>
      <c r="AT170" s="335">
        <f t="shared" si="52"/>
        <v>92018.300159999999</v>
      </c>
      <c r="AU170" s="335">
        <f t="shared" si="52"/>
        <v>89564.133119999999</v>
      </c>
      <c r="AV170" s="335">
        <f t="shared" si="52"/>
        <v>87109.966079999998</v>
      </c>
      <c r="AW170" s="335">
        <f t="shared" si="52"/>
        <v>84655.799039999998</v>
      </c>
      <c r="AX170" s="335">
        <f t="shared" si="52"/>
        <v>21013.632000000001</v>
      </c>
      <c r="AY170" s="336">
        <f>SUM(S170:AX170)</f>
        <v>4863321.6763749998</v>
      </c>
      <c r="BA170" s="276">
        <f>SUM(AA170:AX170)</f>
        <v>3281619.62616</v>
      </c>
      <c r="BB170" s="336">
        <f>SUM(S170:Z170,BA170)</f>
        <v>4863321.6763749998</v>
      </c>
    </row>
    <row r="171" spans="2:56" s="288" customFormat="1" x14ac:dyDescent="0.25">
      <c r="Q171" s="331" t="s">
        <v>707</v>
      </c>
      <c r="R171" s="333"/>
      <c r="S171" s="333"/>
      <c r="T171" s="333">
        <f t="shared" ref="T171:AX171" si="53">SUM(T168:T170)</f>
        <v>4940877.7547399998</v>
      </c>
      <c r="U171" s="333">
        <f t="shared" si="53"/>
        <v>5950086.5989189008</v>
      </c>
      <c r="V171" s="333">
        <f t="shared" si="53"/>
        <v>5910336.6090899007</v>
      </c>
      <c r="W171" s="333">
        <f t="shared" si="53"/>
        <v>5939554.3572209002</v>
      </c>
      <c r="X171" s="333">
        <f t="shared" si="53"/>
        <v>5869873.6835897882</v>
      </c>
      <c r="Y171" s="333">
        <f t="shared" si="53"/>
        <v>5816615.1333469432</v>
      </c>
      <c r="Z171" s="333">
        <f t="shared" si="53"/>
        <v>5584151.9794279449</v>
      </c>
      <c r="AA171" s="333">
        <f t="shared" si="53"/>
        <v>5392889.2045989446</v>
      </c>
      <c r="AB171" s="333">
        <f t="shared" si="53"/>
        <v>5145527.5552999442</v>
      </c>
      <c r="AC171" s="333">
        <f t="shared" si="53"/>
        <v>4323208.8070465447</v>
      </c>
      <c r="AD171" s="333">
        <f t="shared" si="53"/>
        <v>3987721.9859135435</v>
      </c>
      <c r="AE171" s="333">
        <f t="shared" si="53"/>
        <v>3510732.6399988444</v>
      </c>
      <c r="AF171" s="333">
        <f t="shared" si="53"/>
        <v>3306955.0785110444</v>
      </c>
      <c r="AG171" s="333">
        <f t="shared" si="53"/>
        <v>3077381.3668832444</v>
      </c>
      <c r="AH171" s="333">
        <f t="shared" si="53"/>
        <v>2791615.9803394447</v>
      </c>
      <c r="AI171" s="333">
        <f t="shared" si="53"/>
        <v>2570748.9043154446</v>
      </c>
      <c r="AJ171" s="333">
        <f t="shared" si="53"/>
        <v>2418115.5232714443</v>
      </c>
      <c r="AK171" s="333">
        <f t="shared" si="53"/>
        <v>2299747.4831674448</v>
      </c>
      <c r="AL171" s="333">
        <f t="shared" si="53"/>
        <v>2199452.6030634441</v>
      </c>
      <c r="AM171" s="333">
        <f t="shared" si="53"/>
        <v>2065567.2100391109</v>
      </c>
      <c r="AN171" s="333">
        <f t="shared" si="53"/>
        <v>1994100.7428791109</v>
      </c>
      <c r="AO171" s="333">
        <f t="shared" si="53"/>
        <v>2080689.8312746666</v>
      </c>
      <c r="AP171" s="333">
        <f t="shared" si="53"/>
        <v>1526991.1224479999</v>
      </c>
      <c r="AQ171" s="333">
        <f t="shared" si="53"/>
        <v>1471655.805288</v>
      </c>
      <c r="AR171" s="333">
        <f t="shared" si="53"/>
        <v>1416320.4881279999</v>
      </c>
      <c r="AS171" s="333">
        <f t="shared" si="53"/>
        <v>1043953.000968</v>
      </c>
      <c r="AT171" s="333">
        <f t="shared" si="53"/>
        <v>587957.19623</v>
      </c>
      <c r="AU171" s="333">
        <f t="shared" si="53"/>
        <v>521569.69147000002</v>
      </c>
      <c r="AV171" s="333">
        <f t="shared" si="53"/>
        <v>145294.45350999999</v>
      </c>
      <c r="AW171" s="333">
        <f t="shared" si="53"/>
        <v>84655.799039999998</v>
      </c>
      <c r="AX171" s="333">
        <f t="shared" si="53"/>
        <v>21013.632000000001</v>
      </c>
      <c r="AY171" s="333">
        <f>SUM(S171:AX171)</f>
        <v>93995362.2220186</v>
      </c>
      <c r="BA171" s="333">
        <f>SUM(BA168:BA170)</f>
        <v>53983866.105684236</v>
      </c>
      <c r="BB171" s="333">
        <f>SUM(BB168:BB170)</f>
        <v>93995362.2220186</v>
      </c>
    </row>
    <row r="172" spans="2:56" x14ac:dyDescent="0.25">
      <c r="R172" s="247"/>
    </row>
    <row r="173" spans="2:56" s="288" customFormat="1" x14ac:dyDescent="0.25">
      <c r="Q173" s="331" t="s">
        <v>706</v>
      </c>
      <c r="R173" s="338"/>
      <c r="S173" s="338"/>
      <c r="T173" s="338">
        <f t="shared" ref="T173:AX173" si="54">T171/$Q$175</f>
        <v>0.15455110316714982</v>
      </c>
      <c r="U173" s="338">
        <f t="shared" si="54"/>
        <v>0.18611924711571451</v>
      </c>
      <c r="V173" s="338">
        <f t="shared" si="54"/>
        <v>0.18487586383770052</v>
      </c>
      <c r="W173" s="338">
        <f t="shared" si="54"/>
        <v>0.1857897976425541</v>
      </c>
      <c r="X173" s="338">
        <f t="shared" si="54"/>
        <v>0.1836101798673952</v>
      </c>
      <c r="Y173" s="338">
        <f t="shared" si="54"/>
        <v>0.18194424759752306</v>
      </c>
      <c r="Z173" s="338">
        <f t="shared" si="54"/>
        <v>0.17467277911210477</v>
      </c>
      <c r="AA173" s="338">
        <f t="shared" si="54"/>
        <v>0.16869006221200053</v>
      </c>
      <c r="AB173" s="338">
        <f t="shared" si="54"/>
        <v>0.16095256744323591</v>
      </c>
      <c r="AC173" s="338">
        <f t="shared" si="54"/>
        <v>0.13523036260307986</v>
      </c>
      <c r="AD173" s="338">
        <f t="shared" si="54"/>
        <v>0.12473630448670493</v>
      </c>
      <c r="AE173" s="338">
        <f t="shared" si="54"/>
        <v>0.10981603459349175</v>
      </c>
      <c r="AF173" s="338">
        <f t="shared" si="54"/>
        <v>0.10344185403449338</v>
      </c>
      <c r="AG173" s="338">
        <f t="shared" si="54"/>
        <v>9.6260767565350264E-2</v>
      </c>
      <c r="AH173" s="338">
        <f t="shared" si="54"/>
        <v>8.7322000421200335E-2</v>
      </c>
      <c r="AI173" s="338">
        <f t="shared" si="54"/>
        <v>8.04132583014293E-2</v>
      </c>
      <c r="AJ173" s="338">
        <f t="shared" si="54"/>
        <v>7.5638872333702895E-2</v>
      </c>
      <c r="AK173" s="338">
        <f t="shared" si="54"/>
        <v>7.1936309330548967E-2</v>
      </c>
      <c r="AL173" s="338">
        <f t="shared" si="54"/>
        <v>6.8799076407265278E-2</v>
      </c>
      <c r="AM173" s="338">
        <f t="shared" si="54"/>
        <v>6.4611129200915704E-2</v>
      </c>
      <c r="AN173" s="338">
        <f t="shared" si="54"/>
        <v>6.2375651642613293E-2</v>
      </c>
      <c r="AO173" s="338">
        <f t="shared" si="54"/>
        <v>6.5084166161300305E-2</v>
      </c>
      <c r="AP173" s="338">
        <f t="shared" si="54"/>
        <v>4.7764420456340856E-2</v>
      </c>
      <c r="AQ173" s="338">
        <f t="shared" si="54"/>
        <v>4.6033526729415991E-2</v>
      </c>
      <c r="AR173" s="338">
        <f t="shared" si="54"/>
        <v>4.4302633002491112E-2</v>
      </c>
      <c r="AS173" s="338">
        <f t="shared" si="54"/>
        <v>3.2654944316215191E-2</v>
      </c>
      <c r="AT173" s="338">
        <f t="shared" si="54"/>
        <v>1.8391354290284934E-2</v>
      </c>
      <c r="AU173" s="338">
        <f t="shared" si="54"/>
        <v>1.6314747135345857E-2</v>
      </c>
      <c r="AV173" s="338">
        <f t="shared" si="54"/>
        <v>4.5448236505135544E-3</v>
      </c>
      <c r="AW173" s="338">
        <f t="shared" si="54"/>
        <v>2.6480410527414543E-3</v>
      </c>
      <c r="AX173" s="338">
        <f t="shared" si="54"/>
        <v>6.5730831005338672E-4</v>
      </c>
      <c r="BA173" s="339"/>
      <c r="BB173" s="339"/>
    </row>
    <row r="174" spans="2:56" x14ac:dyDescent="0.25">
      <c r="T174" s="340"/>
      <c r="U174" s="340"/>
      <c r="V174" s="340"/>
      <c r="W174" s="340"/>
      <c r="X174" s="340"/>
      <c r="Y174" s="340"/>
      <c r="Z174" s="340"/>
    </row>
    <row r="175" spans="2:56" x14ac:dyDescent="0.25">
      <c r="J175" s="241" t="s">
        <v>705</v>
      </c>
      <c r="Q175" s="341">
        <v>31969217</v>
      </c>
      <c r="R175" s="341"/>
    </row>
    <row r="176" spans="2:56" s="342" customFormat="1" hidden="1" outlineLevel="1" x14ac:dyDescent="0.25">
      <c r="F176" s="343"/>
      <c r="J176" s="344" t="s">
        <v>704</v>
      </c>
      <c r="K176" s="345"/>
      <c r="L176" s="345"/>
      <c r="M176" s="345"/>
      <c r="N176" s="345"/>
      <c r="O176" s="345"/>
      <c r="P176" s="345"/>
      <c r="Q176" s="346">
        <f>Q175+4226235</f>
        <v>36195452</v>
      </c>
      <c r="T176" s="247"/>
      <c r="U176" s="347">
        <f t="shared" ref="U176:Z176" si="55">U171/$Q$176</f>
        <v>0.16438768602527468</v>
      </c>
      <c r="V176" s="347">
        <f t="shared" si="55"/>
        <v>0.16328948203464624</v>
      </c>
      <c r="W176" s="347">
        <f t="shared" si="55"/>
        <v>0.16409670356432904</v>
      </c>
      <c r="X176" s="347">
        <f t="shared" si="55"/>
        <v>0.1621715812138439</v>
      </c>
      <c r="Y176" s="347">
        <f t="shared" si="55"/>
        <v>0.16070016568233333</v>
      </c>
      <c r="Z176" s="347">
        <f t="shared" si="55"/>
        <v>0.15427772471049525</v>
      </c>
    </row>
    <row r="177" spans="6:24" hidden="1" outlineLevel="1" x14ac:dyDescent="0.25">
      <c r="F177" s="348"/>
      <c r="J177" s="349"/>
      <c r="K177" s="350"/>
      <c r="L177" s="350"/>
      <c r="M177" s="350"/>
      <c r="N177" s="350"/>
      <c r="O177" s="350"/>
      <c r="P177" s="350"/>
      <c r="Q177" s="350"/>
      <c r="U177" s="250"/>
      <c r="V177" s="250"/>
      <c r="W177" s="250"/>
      <c r="X177" s="250"/>
    </row>
    <row r="178" spans="6:24" hidden="1" outlineLevel="1" x14ac:dyDescent="0.25">
      <c r="Q178" s="250"/>
      <c r="T178" s="288" t="s">
        <v>703</v>
      </c>
    </row>
    <row r="179" spans="6:24" hidden="1" outlineLevel="1" x14ac:dyDescent="0.25">
      <c r="Q179" s="287" t="s">
        <v>702</v>
      </c>
      <c r="R179" s="247"/>
      <c r="T179" s="351">
        <v>3601890.1379218102</v>
      </c>
      <c r="U179" s="250">
        <f>T168-T179</f>
        <v>-8.7921810336410999E-2</v>
      </c>
      <c r="V179" s="247"/>
    </row>
    <row r="180" spans="6:24" hidden="1" outlineLevel="1" x14ac:dyDescent="0.25">
      <c r="Q180" s="287" t="s">
        <v>701</v>
      </c>
      <c r="T180" s="351">
        <v>1087339.57</v>
      </c>
      <c r="U180" s="250">
        <f>T169-T180</f>
        <v>137023.43000000017</v>
      </c>
      <c r="V180" s="244" t="s">
        <v>700</v>
      </c>
    </row>
    <row r="181" spans="6:24" collapsed="1" x14ac:dyDescent="0.25"/>
    <row r="184" spans="6:24" x14ac:dyDescent="0.25">
      <c r="Q184" s="247"/>
    </row>
  </sheetData>
  <autoFilter ref="C5:AV143" xr:uid="{5C4CEF7F-6C1E-4973-A858-44E223216DFF}"/>
  <pageMargins left="0.25" right="0.25" top="0.75" bottom="0.75" header="0.3" footer="0.3"/>
  <pageSetup paperSize="9" scale="56" fitToHeight="0" orientation="landscape" r:id="rId1"/>
  <rowBreaks count="3" manualBreakCount="3">
    <brk id="55" max="16383" man="1"/>
    <brk id="113" max="16383" man="1"/>
    <brk id="16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2023.gada budzeta plans_apvieno</vt:lpstr>
      <vt:lpstr>Saistibas</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2023-10-16T11:31:08Z</dcterms:created>
  <dcterms:modified xsi:type="dcterms:W3CDTF">2023-10-20T07:13:44Z</dcterms:modified>
</cp:coreProperties>
</file>