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Linda Povlovska\Desktop\"/>
    </mc:Choice>
  </mc:AlternateContent>
  <xr:revisionPtr revIDLastSave="0" documentId="8_{97C15D25-ACF5-446F-A785-7C880DAF0B6B}" xr6:coauthVersionLast="47" xr6:coauthVersionMax="47" xr10:uidLastSave="{00000000-0000-0000-0000-000000000000}"/>
  <bookViews>
    <workbookView xWindow="-120" yWindow="-120" windowWidth="29040" windowHeight="17520" xr2:uid="{1F5DECEF-A338-4646-B835-2E64E7465051}"/>
  </bookViews>
  <sheets>
    <sheet name="2023.gada budzeta plans_apvieno" sheetId="1" r:id="rId1"/>
    <sheet name="Saistibas" sheetId="2" r:id="rId2"/>
  </sheets>
  <externalReferences>
    <externalReference r:id="rId3"/>
    <externalReference r:id="rId4"/>
    <externalReference r:id="rId5"/>
    <externalReference r:id="rId6"/>
  </externalReferences>
  <definedNames>
    <definedName name="_0812" localSheetId="1">[1]Groz_NIN_12_2014!#REF!</definedName>
    <definedName name="_0812">[1]Groz_NIN_12_2014!#REF!</definedName>
    <definedName name="_xlnm._FilterDatabase" localSheetId="0" hidden="1">'2023.gada budzeta plans_apvieno'!#REF!</definedName>
    <definedName name="_xlnm._FilterDatabase" localSheetId="1" hidden="1">Saistibas!$C$5:$AV$143</definedName>
    <definedName name="Apmaksa" localSheetId="0">[2]Apmaksa!$A:$A</definedName>
    <definedName name="Apmaksa">[3]Apmaksa!$A$1:$A$65536</definedName>
    <definedName name="Darijums" localSheetId="0">[2]Darijums!$A:$A</definedName>
    <definedName name="Darijums">[3]Darijums!$A$1:$A$65536</definedName>
    <definedName name="Excel_BuiltIn__FilterDatabase" localSheetId="0">[1]Groz_NIN_12_2014!#REF!</definedName>
    <definedName name="Excel_BuiltIn__FilterDatabase" localSheetId="1">[1]Groz_NIN_12_2014!#REF!</definedName>
    <definedName name="Excel_BuiltIn__FilterDatabase">[1]Groz_NIN_12_2014!#REF!</definedName>
    <definedName name="Firmas" localSheetId="0">[2]Firma!$A:$A</definedName>
    <definedName name="Firmas">[3]Firma!$A$1:$A$65536</definedName>
    <definedName name="KolonnasNosaukums1">[4]!Piedāvājums[[#Headers],[Apraksts]]</definedName>
    <definedName name="Parvadataji" localSheetId="0">[2]Ligumi!$A:$A</definedName>
    <definedName name="Parvadataji">[3]Ligumi!$A$1:$A$65536</definedName>
    <definedName name="_xlnm.Print_Area" localSheetId="0">'2023.gada budzeta plans_apvieno'!$C$1:$K$280</definedName>
    <definedName name="_xlnm.Print_Titles" localSheetId="0">'2023.gada budzeta plans_apvieno'!$5:$5</definedName>
    <definedName name="Saist_apmers_ar_galvojumu">[3]Ligumi!$A$1:$A$65536</definedName>
    <definedName name="Z_1893421C_DBAA_4C10_AA6C_4D0F39122205_.wvu.FilterData" localSheetId="0">[1]Groz_NIN_12_2014!#REF!</definedName>
    <definedName name="Z_1893421C_DBAA_4C10_AA6C_4D0F39122205_.wvu.FilterData" localSheetId="1">[1]Groz_NIN_12_2014!#REF!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 localSheetId="1">[1]Groz_NIN_12_2014!#REF!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76" i="1" l="1"/>
  <c r="R178" i="1"/>
  <c r="Q176" i="2"/>
  <c r="AC164" i="2"/>
  <c r="AC170" i="2" s="1"/>
  <c r="T164" i="2"/>
  <c r="AQ163" i="2"/>
  <c r="AP163" i="2"/>
  <c r="AO163" i="2"/>
  <c r="AN163" i="2"/>
  <c r="AE163" i="2"/>
  <c r="AD163" i="2"/>
  <c r="AC163" i="2"/>
  <c r="AB163" i="2"/>
  <c r="N163" i="2"/>
  <c r="AW163" i="2" s="1"/>
  <c r="BA162" i="2"/>
  <c r="AG162" i="2"/>
  <c r="AF162" i="2"/>
  <c r="AE162" i="2"/>
  <c r="AD162" i="2"/>
  <c r="AC162" i="2"/>
  <c r="AB162" i="2"/>
  <c r="AA162" i="2"/>
  <c r="Z162" i="2"/>
  <c r="Y162" i="2"/>
  <c r="AY162" i="2" s="1"/>
  <c r="X162" i="2"/>
  <c r="BD161" i="2"/>
  <c r="BB161" i="2"/>
  <c r="BA161" i="2"/>
  <c r="AY161" i="2"/>
  <c r="N161" i="2"/>
  <c r="BB160" i="2"/>
  <c r="BA160" i="2"/>
  <c r="AY160" i="2"/>
  <c r="BD160" i="2" s="1"/>
  <c r="AX159" i="2"/>
  <c r="AO159" i="2"/>
  <c r="AO164" i="2" s="1"/>
  <c r="AO170" i="2" s="1"/>
  <c r="AN159" i="2"/>
  <c r="AN164" i="2" s="1"/>
  <c r="AN170" i="2" s="1"/>
  <c r="AM159" i="2"/>
  <c r="AL159" i="2"/>
  <c r="AC159" i="2"/>
  <c r="AB159" i="2"/>
  <c r="AA159" i="2"/>
  <c r="Z159" i="2"/>
  <c r="Y159" i="2"/>
  <c r="X159" i="2"/>
  <c r="N159" i="2"/>
  <c r="AU159" i="2" s="1"/>
  <c r="BA158" i="2"/>
  <c r="BB158" i="2" s="1"/>
  <c r="AY158" i="2"/>
  <c r="BD158" i="2" s="1"/>
  <c r="BD157" i="2"/>
  <c r="BB157" i="2"/>
  <c r="BA157" i="2"/>
  <c r="AY157" i="2"/>
  <c r="N157" i="2"/>
  <c r="BB156" i="2"/>
  <c r="BA156" i="2"/>
  <c r="AY156" i="2"/>
  <c r="BD156" i="2" s="1"/>
  <c r="BB155" i="2"/>
  <c r="BA155" i="2"/>
  <c r="AY155" i="2"/>
  <c r="N155" i="2"/>
  <c r="BB154" i="2"/>
  <c r="BD154" i="2" s="1"/>
  <c r="BA154" i="2"/>
  <c r="AY154" i="2"/>
  <c r="BB153" i="2"/>
  <c r="BA153" i="2"/>
  <c r="AY153" i="2"/>
  <c r="BD153" i="2" s="1"/>
  <c r="N153" i="2"/>
  <c r="BA152" i="2"/>
  <c r="BB152" i="2" s="1"/>
  <c r="BD152" i="2" s="1"/>
  <c r="AY152" i="2"/>
  <c r="AC151" i="2"/>
  <c r="AA151" i="2"/>
  <c r="Z151" i="2"/>
  <c r="Y151" i="2"/>
  <c r="X151" i="2"/>
  <c r="W151" i="2"/>
  <c r="V151" i="2"/>
  <c r="U151" i="2"/>
  <c r="N151" i="2"/>
  <c r="AB151" i="2" s="1"/>
  <c r="AB164" i="2" s="1"/>
  <c r="AB170" i="2" s="1"/>
  <c r="BA150" i="2"/>
  <c r="BB150" i="2" s="1"/>
  <c r="AY150" i="2"/>
  <c r="BD150" i="2" s="1"/>
  <c r="AX145" i="2"/>
  <c r="AX147" i="2" s="1"/>
  <c r="AX144" i="2"/>
  <c r="AX169" i="2" s="1"/>
  <c r="AW144" i="2"/>
  <c r="AW169" i="2" s="1"/>
  <c r="S144" i="2"/>
  <c r="R144" i="2"/>
  <c r="AX143" i="2"/>
  <c r="AX168" i="2" s="1"/>
  <c r="AW143" i="2"/>
  <c r="AW168" i="2" s="1"/>
  <c r="AV143" i="2"/>
  <c r="AV168" i="2" s="1"/>
  <c r="AU143" i="2"/>
  <c r="AT143" i="2"/>
  <c r="AS143" i="2"/>
  <c r="AR143" i="2"/>
  <c r="AQ143" i="2"/>
  <c r="AP143" i="2"/>
  <c r="AP168" i="2" s="1"/>
  <c r="S143" i="2"/>
  <c r="S145" i="2" s="1"/>
  <c r="R143" i="2"/>
  <c r="R145" i="2" s="1"/>
  <c r="K143" i="2"/>
  <c r="BD142" i="2"/>
  <c r="AZ142" i="2"/>
  <c r="BA141" i="2"/>
  <c r="AZ141" i="2"/>
  <c r="AY141" i="2"/>
  <c r="BD141" i="2" s="1"/>
  <c r="T141" i="2"/>
  <c r="BB141" i="2" s="1"/>
  <c r="BA140" i="2"/>
  <c r="AY140" i="2"/>
  <c r="AZ140" i="2" s="1"/>
  <c r="T140" i="2"/>
  <c r="BB140" i="2" s="1"/>
  <c r="BD140" i="2" s="1"/>
  <c r="J140" i="2"/>
  <c r="BA139" i="2"/>
  <c r="AY139" i="2"/>
  <c r="T139" i="2"/>
  <c r="BB138" i="2"/>
  <c r="BA138" i="2"/>
  <c r="AZ138" i="2"/>
  <c r="AY138" i="2"/>
  <c r="BD138" i="2" s="1"/>
  <c r="T138" i="2"/>
  <c r="BA137" i="2"/>
  <c r="T137" i="2"/>
  <c r="BB137" i="2" s="1"/>
  <c r="BB136" i="2"/>
  <c r="BA136" i="2"/>
  <c r="AZ136" i="2"/>
  <c r="AY136" i="2"/>
  <c r="BD136" i="2" s="1"/>
  <c r="T136" i="2"/>
  <c r="P135" i="2"/>
  <c r="N135" i="2"/>
  <c r="J134" i="2"/>
  <c r="X134" i="2" s="1"/>
  <c r="P133" i="2"/>
  <c r="N133" i="2" s="1"/>
  <c r="BA132" i="2"/>
  <c r="AA132" i="2"/>
  <c r="Z132" i="2"/>
  <c r="Y132" i="2"/>
  <c r="X132" i="2"/>
  <c r="W132" i="2"/>
  <c r="V132" i="2"/>
  <c r="U132" i="2"/>
  <c r="P131" i="2"/>
  <c r="N131" i="2" s="1"/>
  <c r="AL130" i="2"/>
  <c r="AK130" i="2"/>
  <c r="AJ130" i="2"/>
  <c r="AI130" i="2"/>
  <c r="AH130" i="2"/>
  <c r="AG130" i="2"/>
  <c r="AF130" i="2"/>
  <c r="AE130" i="2"/>
  <c r="AD130" i="2"/>
  <c r="AC130" i="2"/>
  <c r="AB130" i="2"/>
  <c r="AA130" i="2"/>
  <c r="Z130" i="2"/>
  <c r="Y130" i="2"/>
  <c r="X130" i="2"/>
  <c r="P129" i="2"/>
  <c r="N129" i="2" s="1"/>
  <c r="BA128" i="2"/>
  <c r="AA128" i="2"/>
  <c r="Z128" i="2"/>
  <c r="Y128" i="2"/>
  <c r="X128" i="2"/>
  <c r="W128" i="2"/>
  <c r="N127" i="2"/>
  <c r="AF126" i="2"/>
  <c r="AE126" i="2"/>
  <c r="AD126" i="2"/>
  <c r="AC126" i="2"/>
  <c r="AB126" i="2"/>
  <c r="AA126" i="2"/>
  <c r="Z126" i="2"/>
  <c r="Y126" i="2"/>
  <c r="X126" i="2"/>
  <c r="W126" i="2"/>
  <c r="V126" i="2"/>
  <c r="U126" i="2"/>
  <c r="Y125" i="2"/>
  <c r="X125" i="2"/>
  <c r="W125" i="2"/>
  <c r="V125" i="2"/>
  <c r="P125" i="2"/>
  <c r="N125" i="2"/>
  <c r="AC125" i="2" s="1"/>
  <c r="AY124" i="2"/>
  <c r="AD124" i="2"/>
  <c r="BA123" i="2"/>
  <c r="T123" i="2"/>
  <c r="P123" i="2"/>
  <c r="N123" i="2"/>
  <c r="BB122" i="2"/>
  <c r="BE122" i="2" s="1"/>
  <c r="BA122" i="2"/>
  <c r="W122" i="2"/>
  <c r="AY122" i="2" s="1"/>
  <c r="AZ122" i="2" s="1"/>
  <c r="V122" i="2"/>
  <c r="V143" i="2" s="1"/>
  <c r="U122" i="2"/>
  <c r="T122" i="2"/>
  <c r="AG121" i="2"/>
  <c r="AF121" i="2"/>
  <c r="AA121" i="2"/>
  <c r="Z121" i="2"/>
  <c r="Y121" i="2"/>
  <c r="X121" i="2"/>
  <c r="U121" i="2"/>
  <c r="T121" i="2"/>
  <c r="P121" i="2"/>
  <c r="N121" i="2"/>
  <c r="AE121" i="2" s="1"/>
  <c r="BA120" i="2"/>
  <c r="BB120" i="2" s="1"/>
  <c r="BE120" i="2" s="1"/>
  <c r="AZ120" i="2"/>
  <c r="AY120" i="2"/>
  <c r="T120" i="2"/>
  <c r="BA119" i="2"/>
  <c r="T119" i="2"/>
  <c r="P119" i="2"/>
  <c r="N119" i="2" s="1"/>
  <c r="U119" i="2" s="1"/>
  <c r="BB119" i="2" s="1"/>
  <c r="BE118" i="2"/>
  <c r="BD118" i="2"/>
  <c r="BB118" i="2"/>
  <c r="BA118" i="2"/>
  <c r="AY118" i="2"/>
  <c r="AZ118" i="2" s="1"/>
  <c r="T118" i="2"/>
  <c r="V117" i="2"/>
  <c r="U117" i="2"/>
  <c r="T117" i="2"/>
  <c r="P117" i="2"/>
  <c r="N117" i="2" s="1"/>
  <c r="AY116" i="2"/>
  <c r="AH116" i="2"/>
  <c r="T116" i="2"/>
  <c r="Y115" i="2"/>
  <c r="X115" i="2"/>
  <c r="W115" i="2"/>
  <c r="V115" i="2"/>
  <c r="T115" i="2"/>
  <c r="P115" i="2"/>
  <c r="N115" i="2"/>
  <c r="AC115" i="2" s="1"/>
  <c r="BA114" i="2"/>
  <c r="AZ114" i="2"/>
  <c r="AY114" i="2"/>
  <c r="BD114" i="2" s="1"/>
  <c r="T114" i="2"/>
  <c r="BB114" i="2" s="1"/>
  <c r="BE114" i="2" s="1"/>
  <c r="T113" i="2"/>
  <c r="P113" i="2"/>
  <c r="N113" i="2"/>
  <c r="BB112" i="2"/>
  <c r="BE112" i="2" s="1"/>
  <c r="BA112" i="2"/>
  <c r="T112" i="2"/>
  <c r="AY112" i="2" s="1"/>
  <c r="AZ112" i="2" s="1"/>
  <c r="BA111" i="2"/>
  <c r="T111" i="2"/>
  <c r="P111" i="2"/>
  <c r="N111" i="2" s="1"/>
  <c r="BA110" i="2"/>
  <c r="BB110" i="2" s="1"/>
  <c r="BE110" i="2" s="1"/>
  <c r="AZ110" i="2"/>
  <c r="AY110" i="2"/>
  <c r="T110" i="2"/>
  <c r="AA109" i="2"/>
  <c r="Z109" i="2"/>
  <c r="Y109" i="2"/>
  <c r="X109" i="2"/>
  <c r="T109" i="2"/>
  <c r="P109" i="2"/>
  <c r="N109" i="2"/>
  <c r="U109" i="2" s="1"/>
  <c r="BA108" i="2"/>
  <c r="BB108" i="2" s="1"/>
  <c r="BE108" i="2" s="1"/>
  <c r="AZ108" i="2"/>
  <c r="AY108" i="2"/>
  <c r="T108" i="2"/>
  <c r="BA107" i="2"/>
  <c r="T107" i="2"/>
  <c r="P107" i="2"/>
  <c r="N107" i="2" s="1"/>
  <c r="BB106" i="2"/>
  <c r="BE106" i="2" s="1"/>
  <c r="BA106" i="2"/>
  <c r="AY106" i="2"/>
  <c r="BD106" i="2" s="1"/>
  <c r="T106" i="2"/>
  <c r="BA105" i="2"/>
  <c r="T105" i="2"/>
  <c r="P105" i="2"/>
  <c r="N105" i="2" s="1"/>
  <c r="BA104" i="2"/>
  <c r="BB104" i="2" s="1"/>
  <c r="AY104" i="2"/>
  <c r="AZ104" i="2" s="1"/>
  <c r="T104" i="2"/>
  <c r="AD103" i="2"/>
  <c r="AC103" i="2"/>
  <c r="AB103" i="2"/>
  <c r="AA103" i="2"/>
  <c r="T103" i="2"/>
  <c r="P103" i="2"/>
  <c r="N103" i="2"/>
  <c r="BB102" i="2"/>
  <c r="BD102" i="2" s="1"/>
  <c r="BA102" i="2"/>
  <c r="T102" i="2"/>
  <c r="AY102" i="2" s="1"/>
  <c r="AZ102" i="2" s="1"/>
  <c r="BA101" i="2"/>
  <c r="T101" i="2"/>
  <c r="P101" i="2"/>
  <c r="N101" i="2"/>
  <c r="BA100" i="2"/>
  <c r="AY100" i="2"/>
  <c r="AZ100" i="2" s="1"/>
  <c r="T100" i="2"/>
  <c r="BB100" i="2" s="1"/>
  <c r="BE100" i="2" s="1"/>
  <c r="T99" i="2"/>
  <c r="P99" i="2"/>
  <c r="N99" i="2"/>
  <c r="BA98" i="2"/>
  <c r="T98" i="2"/>
  <c r="AY98" i="2" s="1"/>
  <c r="R98" i="2"/>
  <c r="BB97" i="2"/>
  <c r="BA97" i="2"/>
  <c r="T97" i="2"/>
  <c r="P97" i="2"/>
  <c r="N97" i="2"/>
  <c r="U97" i="2" s="1"/>
  <c r="AY97" i="2" s="1"/>
  <c r="BA96" i="2"/>
  <c r="T96" i="2"/>
  <c r="BB96" i="2" s="1"/>
  <c r="BE96" i="2" s="1"/>
  <c r="X95" i="2"/>
  <c r="W95" i="2"/>
  <c r="V95" i="2"/>
  <c r="U95" i="2"/>
  <c r="T95" i="2"/>
  <c r="P95" i="2"/>
  <c r="N95" i="2"/>
  <c r="AB95" i="2" s="1"/>
  <c r="BA94" i="2"/>
  <c r="T94" i="2"/>
  <c r="BB94" i="2" s="1"/>
  <c r="BE94" i="2" s="1"/>
  <c r="AB93" i="2"/>
  <c r="Z93" i="2"/>
  <c r="Y93" i="2"/>
  <c r="W93" i="2"/>
  <c r="V93" i="2"/>
  <c r="U93" i="2"/>
  <c r="T93" i="2"/>
  <c r="P93" i="2"/>
  <c r="N93" i="2"/>
  <c r="AA93" i="2" s="1"/>
  <c r="BA93" i="2" s="1"/>
  <c r="BA92" i="2"/>
  <c r="T92" i="2"/>
  <c r="T91" i="2"/>
  <c r="P91" i="2"/>
  <c r="N91" i="2" s="1"/>
  <c r="AE91" i="2" s="1"/>
  <c r="BA90" i="2"/>
  <c r="T90" i="2"/>
  <c r="AY90" i="2" s="1"/>
  <c r="BA89" i="2"/>
  <c r="W89" i="2"/>
  <c r="V89" i="2"/>
  <c r="AY89" i="2" s="1"/>
  <c r="T89" i="2"/>
  <c r="P89" i="2"/>
  <c r="N89" i="2"/>
  <c r="U89" i="2" s="1"/>
  <c r="BA88" i="2"/>
  <c r="T88" i="2"/>
  <c r="AH87" i="2"/>
  <c r="AG87" i="2"/>
  <c r="AF87" i="2"/>
  <c r="AE87" i="2"/>
  <c r="V87" i="2"/>
  <c r="U87" i="2"/>
  <c r="T87" i="2"/>
  <c r="P87" i="2"/>
  <c r="N87" i="2" s="1"/>
  <c r="BA86" i="2"/>
  <c r="T86" i="2"/>
  <c r="BB86" i="2" s="1"/>
  <c r="BE86" i="2" s="1"/>
  <c r="AE85" i="2"/>
  <c r="AD85" i="2"/>
  <c r="AC85" i="2"/>
  <c r="AB85" i="2"/>
  <c r="T85" i="2"/>
  <c r="P85" i="2"/>
  <c r="N85" i="2"/>
  <c r="BA84" i="2"/>
  <c r="T84" i="2"/>
  <c r="AY84" i="2" s="1"/>
  <c r="AZ84" i="2" s="1"/>
  <c r="T83" i="2"/>
  <c r="P83" i="2"/>
  <c r="N83" i="2" s="1"/>
  <c r="BA82" i="2"/>
  <c r="AZ82" i="2"/>
  <c r="AY82" i="2"/>
  <c r="T82" i="2"/>
  <c r="T81" i="2"/>
  <c r="P81" i="2"/>
  <c r="N81" i="2" s="1"/>
  <c r="BB80" i="2"/>
  <c r="BE80" i="2" s="1"/>
  <c r="BA80" i="2"/>
  <c r="T80" i="2"/>
  <c r="AY80" i="2" s="1"/>
  <c r="AZ80" i="2" s="1"/>
  <c r="AV79" i="2"/>
  <c r="AU79" i="2"/>
  <c r="AT79" i="2"/>
  <c r="AS79" i="2"/>
  <c r="AR79" i="2"/>
  <c r="AO79" i="2"/>
  <c r="AM79" i="2"/>
  <c r="AL79" i="2"/>
  <c r="AK79" i="2"/>
  <c r="AJ79" i="2"/>
  <c r="AI79" i="2"/>
  <c r="AH79" i="2"/>
  <c r="AG79" i="2"/>
  <c r="AF79" i="2"/>
  <c r="AC79" i="2"/>
  <c r="AA79" i="2"/>
  <c r="Z79" i="2"/>
  <c r="Y79" i="2"/>
  <c r="X79" i="2"/>
  <c r="W79" i="2"/>
  <c r="V79" i="2"/>
  <c r="U79" i="2"/>
  <c r="T79" i="2"/>
  <c r="P79" i="2"/>
  <c r="N79" i="2"/>
  <c r="AQ79" i="2" s="1"/>
  <c r="BB78" i="2"/>
  <c r="BE78" i="2" s="1"/>
  <c r="BA78" i="2"/>
  <c r="AZ78" i="2"/>
  <c r="T78" i="2"/>
  <c r="AY78" i="2" s="1"/>
  <c r="BA77" i="2"/>
  <c r="T77" i="2"/>
  <c r="P77" i="2"/>
  <c r="N77" i="2"/>
  <c r="U77" i="2" s="1"/>
  <c r="BE76" i="2"/>
  <c r="BB76" i="2"/>
  <c r="BA76" i="2"/>
  <c r="AY76" i="2"/>
  <c r="T76" i="2"/>
  <c r="AT75" i="2"/>
  <c r="AQ75" i="2"/>
  <c r="AK75" i="2"/>
  <c r="AF75" i="2"/>
  <c r="AE75" i="2"/>
  <c r="Z75" i="2"/>
  <c r="Y75" i="2"/>
  <c r="U75" i="2"/>
  <c r="T75" i="2"/>
  <c r="P75" i="2"/>
  <c r="N75" i="2" s="1"/>
  <c r="AJ75" i="2" s="1"/>
  <c r="BA74" i="2"/>
  <c r="AZ74" i="2"/>
  <c r="AY74" i="2"/>
  <c r="T74" i="2"/>
  <c r="BB74" i="2" s="1"/>
  <c r="BE74" i="2" s="1"/>
  <c r="T73" i="2"/>
  <c r="P73" i="2"/>
  <c r="N73" i="2" s="1"/>
  <c r="BA72" i="2"/>
  <c r="AY72" i="2"/>
  <c r="BD72" i="2" s="1"/>
  <c r="T72" i="2"/>
  <c r="BB72" i="2" s="1"/>
  <c r="BE72" i="2" s="1"/>
  <c r="AM71" i="2"/>
  <c r="AL71" i="2"/>
  <c r="AK71" i="2"/>
  <c r="AF71" i="2"/>
  <c r="T71" i="2"/>
  <c r="P71" i="2"/>
  <c r="N71" i="2"/>
  <c r="AE71" i="2" s="1"/>
  <c r="BA70" i="2"/>
  <c r="BB70" i="2" s="1"/>
  <c r="AZ70" i="2"/>
  <c r="T70" i="2"/>
  <c r="AY70" i="2" s="1"/>
  <c r="BA69" i="2"/>
  <c r="T69" i="2"/>
  <c r="P69" i="2"/>
  <c r="N69" i="2"/>
  <c r="V69" i="2" s="1"/>
  <c r="BA68" i="2"/>
  <c r="AY68" i="2"/>
  <c r="BD68" i="2" s="1"/>
  <c r="T68" i="2"/>
  <c r="BB68" i="2" s="1"/>
  <c r="BE68" i="2" s="1"/>
  <c r="BA67" i="2"/>
  <c r="T67" i="2"/>
  <c r="P67" i="2"/>
  <c r="N67" i="2"/>
  <c r="BA66" i="2"/>
  <c r="AZ66" i="2"/>
  <c r="AY66" i="2"/>
  <c r="T66" i="2"/>
  <c r="AE65" i="2"/>
  <c r="Z65" i="2"/>
  <c r="Y65" i="2"/>
  <c r="X65" i="2"/>
  <c r="T65" i="2"/>
  <c r="P65" i="2"/>
  <c r="N65" i="2" s="1"/>
  <c r="AJ65" i="2" s="1"/>
  <c r="BA64" i="2"/>
  <c r="AZ64" i="2"/>
  <c r="AY64" i="2"/>
  <c r="T64" i="2"/>
  <c r="AD63" i="2"/>
  <c r="T63" i="2"/>
  <c r="P63" i="2"/>
  <c r="N63" i="2" s="1"/>
  <c r="AB63" i="2" s="1"/>
  <c r="BB62" i="2"/>
  <c r="BE62" i="2" s="1"/>
  <c r="BA62" i="2"/>
  <c r="T62" i="2"/>
  <c r="AY62" i="2" s="1"/>
  <c r="T61" i="2"/>
  <c r="P61" i="2"/>
  <c r="N61" i="2"/>
  <c r="BA60" i="2"/>
  <c r="T60" i="2"/>
  <c r="AS59" i="2"/>
  <c r="AR59" i="2"/>
  <c r="AO59" i="2"/>
  <c r="AM59" i="2"/>
  <c r="AL59" i="2"/>
  <c r="AK59" i="2"/>
  <c r="AJ59" i="2"/>
  <c r="AI59" i="2"/>
  <c r="AH59" i="2"/>
  <c r="AG59" i="2"/>
  <c r="AF59" i="2"/>
  <c r="AC59" i="2"/>
  <c r="AA59" i="2"/>
  <c r="Z59" i="2"/>
  <c r="Y59" i="2"/>
  <c r="X59" i="2"/>
  <c r="W59" i="2"/>
  <c r="V59" i="2"/>
  <c r="U59" i="2"/>
  <c r="T59" i="2"/>
  <c r="P59" i="2"/>
  <c r="N59" i="2"/>
  <c r="AQ59" i="2" s="1"/>
  <c r="BA58" i="2"/>
  <c r="T58" i="2"/>
  <c r="AY58" i="2" s="1"/>
  <c r="AZ58" i="2" s="1"/>
  <c r="T57" i="2"/>
  <c r="P57" i="2"/>
  <c r="N57" i="2"/>
  <c r="BE56" i="2"/>
  <c r="BB56" i="2"/>
  <c r="BD56" i="2" s="1"/>
  <c r="BA56" i="2"/>
  <c r="AY56" i="2"/>
  <c r="AZ56" i="2" s="1"/>
  <c r="T56" i="2"/>
  <c r="AE55" i="2"/>
  <c r="T55" i="2"/>
  <c r="P55" i="2"/>
  <c r="N55" i="2" s="1"/>
  <c r="BA54" i="2"/>
  <c r="T54" i="2"/>
  <c r="BB54" i="2" s="1"/>
  <c r="BE54" i="2" s="1"/>
  <c r="AT53" i="2"/>
  <c r="AO53" i="2"/>
  <c r="AN53" i="2"/>
  <c r="AM53" i="2"/>
  <c r="AJ53" i="2"/>
  <c r="AI53" i="2"/>
  <c r="AH53" i="2"/>
  <c r="AC53" i="2"/>
  <c r="AB53" i="2"/>
  <c r="Y53" i="2"/>
  <c r="X53" i="2"/>
  <c r="W53" i="2"/>
  <c r="V53" i="2"/>
  <c r="T53" i="2"/>
  <c r="P53" i="2"/>
  <c r="N53" i="2" s="1"/>
  <c r="AA53" i="2" s="1"/>
  <c r="BB52" i="2"/>
  <c r="BE52" i="2" s="1"/>
  <c r="BA52" i="2"/>
  <c r="T52" i="2"/>
  <c r="AY52" i="2" s="1"/>
  <c r="AZ52" i="2" s="1"/>
  <c r="BA51" i="2"/>
  <c r="T51" i="2"/>
  <c r="P51" i="2"/>
  <c r="N51" i="2" s="1"/>
  <c r="BA50" i="2"/>
  <c r="AY50" i="2"/>
  <c r="AZ50" i="2" s="1"/>
  <c r="T50" i="2"/>
  <c r="BB50" i="2" s="1"/>
  <c r="BE50" i="2" s="1"/>
  <c r="AC49" i="2"/>
  <c r="AB49" i="2"/>
  <c r="AA49" i="2"/>
  <c r="Y49" i="2"/>
  <c r="X49" i="2"/>
  <c r="V49" i="2"/>
  <c r="T49" i="2"/>
  <c r="P49" i="2"/>
  <c r="N49" i="2" s="1"/>
  <c r="W49" i="2" s="1"/>
  <c r="BA48" i="2"/>
  <c r="AY48" i="2"/>
  <c r="BD48" i="2" s="1"/>
  <c r="T48" i="2"/>
  <c r="BB48" i="2" s="1"/>
  <c r="BE48" i="2" s="1"/>
  <c r="V47" i="2"/>
  <c r="U47" i="2"/>
  <c r="T47" i="2"/>
  <c r="P47" i="2"/>
  <c r="N47" i="2" s="1"/>
  <c r="BA46" i="2"/>
  <c r="T46" i="2"/>
  <c r="AI45" i="2"/>
  <c r="AH45" i="2"/>
  <c r="T45" i="2"/>
  <c r="P45" i="2"/>
  <c r="N45" i="2" s="1"/>
  <c r="V45" i="2" s="1"/>
  <c r="BB44" i="2"/>
  <c r="BE44" i="2" s="1"/>
  <c r="BA44" i="2"/>
  <c r="T44" i="2"/>
  <c r="AY44" i="2" s="1"/>
  <c r="AZ44" i="2" s="1"/>
  <c r="BA43" i="2"/>
  <c r="T43" i="2"/>
  <c r="P43" i="2"/>
  <c r="N43" i="2" s="1"/>
  <c r="U43" i="2" s="1"/>
  <c r="BA42" i="2"/>
  <c r="AY42" i="2"/>
  <c r="BD42" i="2" s="1"/>
  <c r="T42" i="2"/>
  <c r="BB42" i="2" s="1"/>
  <c r="BE42" i="2" s="1"/>
  <c r="Z41" i="2"/>
  <c r="Y41" i="2"/>
  <c r="X41" i="2"/>
  <c r="W41" i="2"/>
  <c r="U41" i="2"/>
  <c r="T41" i="2"/>
  <c r="P41" i="2"/>
  <c r="N41" i="2" s="1"/>
  <c r="V41" i="2" s="1"/>
  <c r="BA40" i="2"/>
  <c r="T40" i="2"/>
  <c r="BB40" i="2" s="1"/>
  <c r="BE40" i="2" s="1"/>
  <c r="T39" i="2"/>
  <c r="P39" i="2"/>
  <c r="N39" i="2"/>
  <c r="BA38" i="2"/>
  <c r="BB38" i="2" s="1"/>
  <c r="BE38" i="2" s="1"/>
  <c r="T38" i="2"/>
  <c r="AY38" i="2" s="1"/>
  <c r="AZ38" i="2" s="1"/>
  <c r="T37" i="2"/>
  <c r="P37" i="2"/>
  <c r="N37" i="2" s="1"/>
  <c r="AG37" i="2" s="1"/>
  <c r="BA36" i="2"/>
  <c r="T36" i="2"/>
  <c r="AY36" i="2" s="1"/>
  <c r="AZ36" i="2" s="1"/>
  <c r="AR35" i="2"/>
  <c r="AP35" i="2"/>
  <c r="AO35" i="2"/>
  <c r="AN35" i="2"/>
  <c r="AM35" i="2"/>
  <c r="AK35" i="2"/>
  <c r="AJ35" i="2"/>
  <c r="AI35" i="2"/>
  <c r="AG35" i="2"/>
  <c r="AF35" i="2"/>
  <c r="AC35" i="2"/>
  <c r="AB35" i="2"/>
  <c r="AA35" i="2"/>
  <c r="Z35" i="2"/>
  <c r="Y35" i="2"/>
  <c r="W35" i="2"/>
  <c r="V35" i="2"/>
  <c r="U35" i="2"/>
  <c r="T35" i="2"/>
  <c r="P35" i="2"/>
  <c r="N35" i="2"/>
  <c r="AL35" i="2" s="1"/>
  <c r="BB34" i="2"/>
  <c r="BE34" i="2" s="1"/>
  <c r="BA34" i="2"/>
  <c r="T34" i="2"/>
  <c r="AY34" i="2" s="1"/>
  <c r="AZ34" i="2" s="1"/>
  <c r="T33" i="2"/>
  <c r="P33" i="2"/>
  <c r="N33" i="2"/>
  <c r="AQ33" i="2" s="1"/>
  <c r="BA32" i="2"/>
  <c r="T32" i="2"/>
  <c r="AY32" i="2" s="1"/>
  <c r="BA31" i="2"/>
  <c r="T31" i="2"/>
  <c r="P31" i="2"/>
  <c r="N31" i="2" s="1"/>
  <c r="BA30" i="2"/>
  <c r="BB30" i="2" s="1"/>
  <c r="AZ30" i="2"/>
  <c r="AY30" i="2"/>
  <c r="T30" i="2"/>
  <c r="AG29" i="2"/>
  <c r="AF29" i="2"/>
  <c r="AE29" i="2"/>
  <c r="U29" i="2"/>
  <c r="T29" i="2"/>
  <c r="P29" i="2"/>
  <c r="N29" i="2" s="1"/>
  <c r="BB28" i="2"/>
  <c r="BD28" i="2" s="1"/>
  <c r="BA28" i="2"/>
  <c r="AZ28" i="2"/>
  <c r="AY28" i="2"/>
  <c r="T28" i="2"/>
  <c r="V27" i="2"/>
  <c r="U27" i="2"/>
  <c r="T27" i="2"/>
  <c r="P27" i="2"/>
  <c r="N27" i="2" s="1"/>
  <c r="BA26" i="2"/>
  <c r="T26" i="2"/>
  <c r="BB26" i="2" s="1"/>
  <c r="BE26" i="2" s="1"/>
  <c r="BA25" i="2"/>
  <c r="T25" i="2"/>
  <c r="P25" i="2"/>
  <c r="N25" i="2" s="1"/>
  <c r="BA24" i="2"/>
  <c r="BB24" i="2" s="1"/>
  <c r="AZ24" i="2"/>
  <c r="AY24" i="2"/>
  <c r="T24" i="2"/>
  <c r="AG23" i="2"/>
  <c r="AF23" i="2"/>
  <c r="AE23" i="2"/>
  <c r="U23" i="2"/>
  <c r="T23" i="2"/>
  <c r="P23" i="2"/>
  <c r="N23" i="2" s="1"/>
  <c r="BB22" i="2"/>
  <c r="BD22" i="2" s="1"/>
  <c r="BA22" i="2"/>
  <c r="AZ22" i="2"/>
  <c r="AY22" i="2"/>
  <c r="T22" i="2"/>
  <c r="AA21" i="2"/>
  <c r="Z21" i="2"/>
  <c r="Y21" i="2"/>
  <c r="T21" i="2"/>
  <c r="P21" i="2"/>
  <c r="N21" i="2" s="1"/>
  <c r="BA20" i="2"/>
  <c r="BB20" i="2" s="1"/>
  <c r="AZ20" i="2"/>
  <c r="AY20" i="2"/>
  <c r="T20" i="2"/>
  <c r="AO19" i="2"/>
  <c r="AE19" i="2"/>
  <c r="AD19" i="2"/>
  <c r="T19" i="2"/>
  <c r="P19" i="2"/>
  <c r="N19" i="2"/>
  <c r="AQ19" i="2" s="1"/>
  <c r="BA18" i="2"/>
  <c r="T18" i="2"/>
  <c r="AY18" i="2" s="1"/>
  <c r="T17" i="2"/>
  <c r="P17" i="2"/>
  <c r="N17" i="2" s="1"/>
  <c r="BA16" i="2"/>
  <c r="T16" i="2"/>
  <c r="AY16" i="2" s="1"/>
  <c r="T15" i="2"/>
  <c r="P15" i="2"/>
  <c r="N15" i="2"/>
  <c r="BA14" i="2"/>
  <c r="T14" i="2"/>
  <c r="AY14" i="2" s="1"/>
  <c r="BA13" i="2"/>
  <c r="AY13" i="2"/>
  <c r="BD13" i="2" s="1"/>
  <c r="T13" i="2"/>
  <c r="BB13" i="2" s="1"/>
  <c r="P13" i="2"/>
  <c r="N13" i="2" s="1"/>
  <c r="BA12" i="2"/>
  <c r="T12" i="2"/>
  <c r="BB12" i="2" s="1"/>
  <c r="BE12" i="2" s="1"/>
  <c r="BA11" i="2"/>
  <c r="BB11" i="2" s="1"/>
  <c r="BD11" i="2" s="1"/>
  <c r="U11" i="2"/>
  <c r="T11" i="2"/>
  <c r="AY11" i="2" s="1"/>
  <c r="AZ11" i="2" s="1"/>
  <c r="P11" i="2"/>
  <c r="N11" i="2"/>
  <c r="BA10" i="2"/>
  <c r="BB10" i="2" s="1"/>
  <c r="BE10" i="2" s="1"/>
  <c r="AZ10" i="2"/>
  <c r="AY10" i="2"/>
  <c r="T10" i="2"/>
  <c r="AA9" i="2"/>
  <c r="Z9" i="2"/>
  <c r="Y9" i="2"/>
  <c r="X9" i="2"/>
  <c r="W9" i="2"/>
  <c r="U9" i="2"/>
  <c r="T9" i="2"/>
  <c r="P9" i="2"/>
  <c r="N9" i="2"/>
  <c r="AC9" i="2" s="1"/>
  <c r="BA8" i="2"/>
  <c r="BB8" i="2" s="1"/>
  <c r="BE8" i="2" s="1"/>
  <c r="AY8" i="2"/>
  <c r="T8" i="2"/>
  <c r="AD7" i="2"/>
  <c r="AC7" i="2"/>
  <c r="AB7" i="2"/>
  <c r="T7" i="2"/>
  <c r="P7" i="2"/>
  <c r="N7" i="2"/>
  <c r="BE6" i="2"/>
  <c r="BD6" i="2"/>
  <c r="BB6" i="2"/>
  <c r="BA6" i="2"/>
  <c r="AY6" i="2"/>
  <c r="AZ6" i="2" s="1"/>
  <c r="T6" i="2"/>
  <c r="BD24" i="2" l="1"/>
  <c r="BE24" i="2"/>
  <c r="BD30" i="2"/>
  <c r="BE30" i="2"/>
  <c r="BE70" i="2"/>
  <c r="BD70" i="2"/>
  <c r="BE104" i="2"/>
  <c r="BD104" i="2"/>
  <c r="Z17" i="2"/>
  <c r="Y17" i="2"/>
  <c r="X17" i="2"/>
  <c r="W17" i="2"/>
  <c r="V17" i="2"/>
  <c r="U17" i="2"/>
  <c r="AB17" i="2"/>
  <c r="AA17" i="2"/>
  <c r="AC17" i="2"/>
  <c r="BE20" i="2"/>
  <c r="BD20" i="2"/>
  <c r="AA61" i="2"/>
  <c r="Z61" i="2"/>
  <c r="Y61" i="2"/>
  <c r="X61" i="2"/>
  <c r="AF61" i="2"/>
  <c r="AD61" i="2"/>
  <c r="AC61" i="2"/>
  <c r="AB61" i="2"/>
  <c r="W61" i="2"/>
  <c r="V61" i="2"/>
  <c r="U61" i="2"/>
  <c r="AE61" i="2"/>
  <c r="AP33" i="2"/>
  <c r="AZ13" i="2"/>
  <c r="N143" i="2"/>
  <c r="Y7" i="2"/>
  <c r="X7" i="2"/>
  <c r="W7" i="2"/>
  <c r="V7" i="2"/>
  <c r="AG7" i="2"/>
  <c r="U7" i="2"/>
  <c r="AF7" i="2"/>
  <c r="AE7" i="2"/>
  <c r="AA7" i="2"/>
  <c r="Z7" i="2"/>
  <c r="AH21" i="2"/>
  <c r="V21" i="2"/>
  <c r="AG21" i="2"/>
  <c r="U21" i="2"/>
  <c r="AF21" i="2"/>
  <c r="AE21" i="2"/>
  <c r="AB21" i="2"/>
  <c r="BA21" i="2" s="1"/>
  <c r="AD21" i="2"/>
  <c r="AC21" i="2"/>
  <c r="X21" i="2"/>
  <c r="AI21" i="2"/>
  <c r="W21" i="2"/>
  <c r="V25" i="2"/>
  <c r="U25" i="2"/>
  <c r="BB25" i="2" s="1"/>
  <c r="AZ32" i="2"/>
  <c r="BD44" i="2"/>
  <c r="AA63" i="2"/>
  <c r="BD162" i="2"/>
  <c r="BD34" i="2"/>
  <c r="AZ16" i="2"/>
  <c r="AZ76" i="2"/>
  <c r="BD76" i="2"/>
  <c r="X39" i="2"/>
  <c r="AY39" i="2" s="1"/>
  <c r="AI39" i="2"/>
  <c r="W39" i="2"/>
  <c r="AH39" i="2"/>
  <c r="V39" i="2"/>
  <c r="AG39" i="2"/>
  <c r="U39" i="2"/>
  <c r="AE39" i="2"/>
  <c r="AD39" i="2"/>
  <c r="AC39" i="2"/>
  <c r="Y39" i="2"/>
  <c r="AB39" i="2"/>
  <c r="AA39" i="2"/>
  <c r="Z39" i="2"/>
  <c r="AF39" i="2"/>
  <c r="BD52" i="2"/>
  <c r="AZ14" i="2"/>
  <c r="AC19" i="2"/>
  <c r="AB23" i="2"/>
  <c r="AA23" i="2"/>
  <c r="Z23" i="2"/>
  <c r="Y23" i="2"/>
  <c r="X23" i="2"/>
  <c r="V23" i="2"/>
  <c r="AI23" i="2"/>
  <c r="W23" i="2"/>
  <c r="AH23" i="2"/>
  <c r="AD23" i="2"/>
  <c r="AC23" i="2"/>
  <c r="AB73" i="2"/>
  <c r="AA73" i="2"/>
  <c r="Z73" i="2"/>
  <c r="V73" i="2"/>
  <c r="AY73" i="2" s="1"/>
  <c r="X73" i="2"/>
  <c r="W73" i="2"/>
  <c r="U73" i="2"/>
  <c r="Y73" i="2"/>
  <c r="AP19" i="2"/>
  <c r="AY54" i="2"/>
  <c r="V31" i="2"/>
  <c r="U31" i="2"/>
  <c r="X31" i="2"/>
  <c r="W31" i="2"/>
  <c r="BD97" i="2"/>
  <c r="AZ97" i="2"/>
  <c r="AA81" i="2"/>
  <c r="Z81" i="2"/>
  <c r="X81" i="2"/>
  <c r="AI81" i="2"/>
  <c r="W81" i="2"/>
  <c r="AH81" i="2"/>
  <c r="V81" i="2"/>
  <c r="AY81" i="2" s="1"/>
  <c r="AG81" i="2"/>
  <c r="U81" i="2"/>
  <c r="AC81" i="2"/>
  <c r="AF81" i="2"/>
  <c r="AE81" i="2"/>
  <c r="AB81" i="2"/>
  <c r="AD81" i="2"/>
  <c r="AL33" i="2"/>
  <c r="Z33" i="2"/>
  <c r="Y33" i="2"/>
  <c r="AK33" i="2"/>
  <c r="AJ33" i="2"/>
  <c r="X33" i="2"/>
  <c r="AI33" i="2"/>
  <c r="W33" i="2"/>
  <c r="AH33" i="2"/>
  <c r="V33" i="2"/>
  <c r="AS33" i="2"/>
  <c r="AG33" i="2"/>
  <c r="U33" i="2"/>
  <c r="AR33" i="2"/>
  <c r="AN33" i="2"/>
  <c r="AB33" i="2"/>
  <c r="AM33" i="2"/>
  <c r="AA33" i="2"/>
  <c r="AF33" i="2"/>
  <c r="AZ48" i="2"/>
  <c r="AZ68" i="2"/>
  <c r="Z15" i="2"/>
  <c r="Y15" i="2"/>
  <c r="X15" i="2"/>
  <c r="W15" i="2"/>
  <c r="V15" i="2"/>
  <c r="U15" i="2"/>
  <c r="AY15" i="2" s="1"/>
  <c r="AB15" i="2"/>
  <c r="AA15" i="2"/>
  <c r="AD37" i="2"/>
  <c r="AC37" i="2"/>
  <c r="AB37" i="2"/>
  <c r="AY37" i="2" s="1"/>
  <c r="AA37" i="2"/>
  <c r="Z37" i="2"/>
  <c r="Y37" i="2"/>
  <c r="X37" i="2"/>
  <c r="W37" i="2"/>
  <c r="V37" i="2"/>
  <c r="U37" i="2"/>
  <c r="AF37" i="2"/>
  <c r="AE37" i="2"/>
  <c r="Z57" i="2"/>
  <c r="Y57" i="2"/>
  <c r="AJ57" i="2"/>
  <c r="X57" i="2"/>
  <c r="AI57" i="2"/>
  <c r="W57" i="2"/>
  <c r="AE57" i="2"/>
  <c r="AF57" i="2"/>
  <c r="AD57" i="2"/>
  <c r="AC57" i="2"/>
  <c r="AB57" i="2"/>
  <c r="AA57" i="2"/>
  <c r="BA57" i="2" s="1"/>
  <c r="U57" i="2"/>
  <c r="AY57" i="2" s="1"/>
  <c r="V57" i="2"/>
  <c r="BB57" i="2" s="1"/>
  <c r="AH57" i="2"/>
  <c r="AG57" i="2"/>
  <c r="BD8" i="2"/>
  <c r="AC15" i="2"/>
  <c r="AZ18" i="2"/>
  <c r="AC27" i="2"/>
  <c r="AB27" i="2"/>
  <c r="W27" i="2"/>
  <c r="AY27" i="2" s="1"/>
  <c r="AA27" i="2"/>
  <c r="BA27" i="2" s="1"/>
  <c r="BB27" i="2" s="1"/>
  <c r="Z27" i="2"/>
  <c r="Y27" i="2"/>
  <c r="X27" i="2"/>
  <c r="AD27" i="2"/>
  <c r="AB29" i="2"/>
  <c r="AA29" i="2"/>
  <c r="Z29" i="2"/>
  <c r="Y29" i="2"/>
  <c r="X29" i="2"/>
  <c r="AI29" i="2"/>
  <c r="W29" i="2"/>
  <c r="V29" i="2"/>
  <c r="AD29" i="2"/>
  <c r="AH29" i="2"/>
  <c r="AC29" i="2"/>
  <c r="AD33" i="2"/>
  <c r="AH37" i="2"/>
  <c r="AB55" i="2"/>
  <c r="AA55" i="2"/>
  <c r="Z55" i="2"/>
  <c r="Y55" i="2"/>
  <c r="U55" i="2"/>
  <c r="AY55" i="2" s="1"/>
  <c r="W55" i="2"/>
  <c r="V55" i="2"/>
  <c r="AC55" i="2"/>
  <c r="X55" i="2"/>
  <c r="BD62" i="2"/>
  <c r="AZ62" i="2"/>
  <c r="BE102" i="2"/>
  <c r="AO144" i="2"/>
  <c r="AO169" i="2" s="1"/>
  <c r="W51" i="2"/>
  <c r="BB51" i="2" s="1"/>
  <c r="Z51" i="2"/>
  <c r="Y51" i="2"/>
  <c r="X51" i="2"/>
  <c r="V51" i="2"/>
  <c r="Y81" i="2"/>
  <c r="V43" i="2"/>
  <c r="BB43" i="2" s="1"/>
  <c r="Y43" i="2"/>
  <c r="X43" i="2"/>
  <c r="W43" i="2"/>
  <c r="AY51" i="2"/>
  <c r="AC33" i="2"/>
  <c r="U51" i="2"/>
  <c r="AZ8" i="2"/>
  <c r="BD10" i="2"/>
  <c r="Y31" i="2"/>
  <c r="AE33" i="2"/>
  <c r="AI37" i="2"/>
  <c r="AO33" i="2"/>
  <c r="AA47" i="2"/>
  <c r="Z47" i="2"/>
  <c r="Y47" i="2"/>
  <c r="X47" i="2"/>
  <c r="AY47" i="2" s="1"/>
  <c r="AF47" i="2"/>
  <c r="AH47" i="2"/>
  <c r="AG47" i="2"/>
  <c r="AE47" i="2"/>
  <c r="W47" i="2"/>
  <c r="AD47" i="2"/>
  <c r="AC47" i="2"/>
  <c r="AB47" i="2"/>
  <c r="AI47" i="2"/>
  <c r="AD55" i="2"/>
  <c r="AR83" i="2"/>
  <c r="AF83" i="2"/>
  <c r="AQ83" i="2"/>
  <c r="AE83" i="2"/>
  <c r="AP83" i="2"/>
  <c r="AO83" i="2"/>
  <c r="AN83" i="2"/>
  <c r="AB83" i="2"/>
  <c r="AM83" i="2"/>
  <c r="AA83" i="2"/>
  <c r="AT83" i="2"/>
  <c r="AT144" i="2" s="1"/>
  <c r="AH83" i="2"/>
  <c r="AS83" i="2"/>
  <c r="AG83" i="2"/>
  <c r="U83" i="2"/>
  <c r="AV83" i="2"/>
  <c r="V83" i="2"/>
  <c r="AU83" i="2"/>
  <c r="AK83" i="2"/>
  <c r="AJ83" i="2"/>
  <c r="AI83" i="2"/>
  <c r="AD83" i="2"/>
  <c r="X83" i="2"/>
  <c r="AL83" i="2"/>
  <c r="AC83" i="2"/>
  <c r="Z83" i="2"/>
  <c r="Y83" i="2"/>
  <c r="W83" i="2"/>
  <c r="AJ63" i="2"/>
  <c r="X63" i="2"/>
  <c r="AU63" i="2"/>
  <c r="AI63" i="2"/>
  <c r="W63" i="2"/>
  <c r="AT63" i="2"/>
  <c r="AH63" i="2"/>
  <c r="V63" i="2"/>
  <c r="AY63" i="2" s="1"/>
  <c r="AS63" i="2"/>
  <c r="AG63" i="2"/>
  <c r="U63" i="2"/>
  <c r="AO63" i="2"/>
  <c r="AC63" i="2"/>
  <c r="AP63" i="2"/>
  <c r="AN63" i="2"/>
  <c r="AM63" i="2"/>
  <c r="AL63" i="2"/>
  <c r="AE63" i="2"/>
  <c r="AK63" i="2"/>
  <c r="AF63" i="2"/>
  <c r="AR63" i="2"/>
  <c r="Z63" i="2"/>
  <c r="AQ63" i="2"/>
  <c r="Y63" i="2"/>
  <c r="AL19" i="2"/>
  <c r="Z19" i="2"/>
  <c r="AK19" i="2"/>
  <c r="Y19" i="2"/>
  <c r="AJ19" i="2"/>
  <c r="X19" i="2"/>
  <c r="AR19" i="2"/>
  <c r="AR144" i="2" s="1"/>
  <c r="AR169" i="2" s="1"/>
  <c r="AI19" i="2"/>
  <c r="W19" i="2"/>
  <c r="AH19" i="2"/>
  <c r="V19" i="2"/>
  <c r="AF19" i="2"/>
  <c r="AS19" i="2"/>
  <c r="AG19" i="2"/>
  <c r="U19" i="2"/>
  <c r="BB19" i="2" s="1"/>
  <c r="AN19" i="2"/>
  <c r="AB19" i="2"/>
  <c r="AB144" i="2" s="1"/>
  <c r="AB169" i="2" s="1"/>
  <c r="AM19" i="2"/>
  <c r="AA19" i="2"/>
  <c r="BA19" i="2" s="1"/>
  <c r="AZ72" i="2"/>
  <c r="AZ89" i="2"/>
  <c r="V9" i="2"/>
  <c r="BB14" i="2"/>
  <c r="BE14" i="2" s="1"/>
  <c r="BB16" i="2"/>
  <c r="BE16" i="2" s="1"/>
  <c r="BB18" i="2"/>
  <c r="BE18" i="2" s="1"/>
  <c r="BE22" i="2"/>
  <c r="BE28" i="2"/>
  <c r="BB32" i="2"/>
  <c r="BE32" i="2" s="1"/>
  <c r="X35" i="2"/>
  <c r="AY35" i="2" s="1"/>
  <c r="BD38" i="2"/>
  <c r="AB45" i="2"/>
  <c r="U65" i="2"/>
  <c r="BB66" i="2"/>
  <c r="AD71" i="2"/>
  <c r="V75" i="2"/>
  <c r="AY75" i="2" s="1"/>
  <c r="AV75" i="2"/>
  <c r="BD78" i="2"/>
  <c r="BD80" i="2"/>
  <c r="BD82" i="2"/>
  <c r="AC91" i="2"/>
  <c r="X107" i="2"/>
  <c r="AY107" i="2" s="1"/>
  <c r="W107" i="2"/>
  <c r="V107" i="2"/>
  <c r="U107" i="2"/>
  <c r="BB107" i="2" s="1"/>
  <c r="BD112" i="2"/>
  <c r="AC45" i="2"/>
  <c r="V65" i="2"/>
  <c r="X75" i="2"/>
  <c r="X113" i="2"/>
  <c r="W113" i="2"/>
  <c r="AH113" i="2"/>
  <c r="V113" i="2"/>
  <c r="AG113" i="2"/>
  <c r="U113" i="2"/>
  <c r="AF113" i="2"/>
  <c r="AE113" i="2"/>
  <c r="Z113" i="2"/>
  <c r="Y113" i="2"/>
  <c r="AD113" i="2"/>
  <c r="AC113" i="2"/>
  <c r="AB113" i="2"/>
  <c r="AA113" i="2"/>
  <c r="AO135" i="2"/>
  <c r="AS168" i="2"/>
  <c r="AV71" i="2"/>
  <c r="AJ71" i="2"/>
  <c r="X71" i="2"/>
  <c r="AU71" i="2"/>
  <c r="AI71" i="2"/>
  <c r="W71" i="2"/>
  <c r="AT71" i="2"/>
  <c r="AH71" i="2"/>
  <c r="V71" i="2"/>
  <c r="AS71" i="2"/>
  <c r="AG71" i="2"/>
  <c r="U71" i="2"/>
  <c r="AO71" i="2"/>
  <c r="AC71" i="2"/>
  <c r="T144" i="2"/>
  <c r="AB9" i="2"/>
  <c r="BA9" i="2" s="1"/>
  <c r="BB9" i="2" s="1"/>
  <c r="AY12" i="2"/>
  <c r="AY26" i="2"/>
  <c r="AH35" i="2"/>
  <c r="AQ35" i="2"/>
  <c r="AQ144" i="2" s="1"/>
  <c r="AE35" i="2"/>
  <c r="AD35" i="2"/>
  <c r="AS35" i="2"/>
  <c r="AY40" i="2"/>
  <c r="AS53" i="2"/>
  <c r="AG53" i="2"/>
  <c r="U53" i="2"/>
  <c r="AR53" i="2"/>
  <c r="AF53" i="2"/>
  <c r="AQ53" i="2"/>
  <c r="AE53" i="2"/>
  <c r="AP53" i="2"/>
  <c r="AD53" i="2"/>
  <c r="AL53" i="2"/>
  <c r="BA53" i="2" s="1"/>
  <c r="Z53" i="2"/>
  <c r="AK53" i="2"/>
  <c r="BB64" i="2"/>
  <c r="BE64" i="2" s="1"/>
  <c r="AF65" i="2"/>
  <c r="V67" i="2"/>
  <c r="U67" i="2"/>
  <c r="AN71" i="2"/>
  <c r="BD74" i="2"/>
  <c r="AH75" i="2"/>
  <c r="U111" i="2"/>
  <c r="AY111" i="2" s="1"/>
  <c r="W111" i="2"/>
  <c r="V111" i="2"/>
  <c r="Z111" i="2"/>
  <c r="Y111" i="2"/>
  <c r="X111" i="2"/>
  <c r="T170" i="2"/>
  <c r="AY19" i="2"/>
  <c r="BD64" i="2"/>
  <c r="AG65" i="2"/>
  <c r="AP71" i="2"/>
  <c r="AZ116" i="2"/>
  <c r="AC143" i="2"/>
  <c r="AA129" i="2"/>
  <c r="BA129" i="2" s="1"/>
  <c r="Z129" i="2"/>
  <c r="Y129" i="2"/>
  <c r="X129" i="2"/>
  <c r="W129" i="2"/>
  <c r="V129" i="2"/>
  <c r="BD139" i="2"/>
  <c r="AZ139" i="2"/>
  <c r="BB162" i="2"/>
  <c r="AG45" i="2"/>
  <c r="U45" i="2"/>
  <c r="AF45" i="2"/>
  <c r="AE45" i="2"/>
  <c r="AD45" i="2"/>
  <c r="Z45" i="2"/>
  <c r="W45" i="2"/>
  <c r="BB46" i="2"/>
  <c r="BE46" i="2" s="1"/>
  <c r="AY46" i="2"/>
  <c r="BB58" i="2"/>
  <c r="BE58" i="2" s="1"/>
  <c r="AH65" i="2"/>
  <c r="U69" i="2"/>
  <c r="AY69" i="2" s="1"/>
  <c r="Y71" i="2"/>
  <c r="AQ71" i="2"/>
  <c r="BB77" i="2"/>
  <c r="AY77" i="2"/>
  <c r="AZ90" i="2"/>
  <c r="BB93" i="2"/>
  <c r="AI143" i="2"/>
  <c r="BD58" i="2"/>
  <c r="T143" i="2"/>
  <c r="AD41" i="2"/>
  <c r="AC41" i="2"/>
  <c r="AY41" i="2" s="1"/>
  <c r="AB41" i="2"/>
  <c r="AA41" i="2"/>
  <c r="X45" i="2"/>
  <c r="U49" i="2"/>
  <c r="AY49" i="2" s="1"/>
  <c r="AF49" i="2"/>
  <c r="AE49" i="2"/>
  <c r="AD49" i="2"/>
  <c r="BA49" i="2" s="1"/>
  <c r="Z49" i="2"/>
  <c r="Z71" i="2"/>
  <c r="AR71" i="2"/>
  <c r="AS75" i="2"/>
  <c r="AG75" i="2"/>
  <c r="AR75" i="2"/>
  <c r="AP75" i="2"/>
  <c r="AD75" i="2"/>
  <c r="AO75" i="2"/>
  <c r="AC75" i="2"/>
  <c r="AN75" i="2"/>
  <c r="AB75" i="2"/>
  <c r="AM75" i="2"/>
  <c r="AA75" i="2"/>
  <c r="AU75" i="2"/>
  <c r="AI75" i="2"/>
  <c r="W75" i="2"/>
  <c r="AL75" i="2"/>
  <c r="W123" i="2"/>
  <c r="V123" i="2"/>
  <c r="U123" i="2"/>
  <c r="AA127" i="2"/>
  <c r="Z127" i="2"/>
  <c r="Y127" i="2"/>
  <c r="X127" i="2"/>
  <c r="AA133" i="2"/>
  <c r="BA133" i="2" s="1"/>
  <c r="Z133" i="2"/>
  <c r="Y133" i="2"/>
  <c r="X133" i="2"/>
  <c r="W133" i="2"/>
  <c r="V133" i="2"/>
  <c r="U133" i="2"/>
  <c r="AU164" i="2"/>
  <c r="AU170" i="2" s="1"/>
  <c r="Y45" i="2"/>
  <c r="AD65" i="2"/>
  <c r="AC65" i="2"/>
  <c r="AB65" i="2"/>
  <c r="AY65" i="2" s="1"/>
  <c r="AA65" i="2"/>
  <c r="AI65" i="2"/>
  <c r="W65" i="2"/>
  <c r="AK65" i="2"/>
  <c r="AA71" i="2"/>
  <c r="AK91" i="2"/>
  <c r="Y91" i="2"/>
  <c r="AJ91" i="2"/>
  <c r="X91" i="2"/>
  <c r="AI91" i="2"/>
  <c r="W91" i="2"/>
  <c r="AY91" i="2" s="1"/>
  <c r="AH91" i="2"/>
  <c r="V91" i="2"/>
  <c r="AG91" i="2"/>
  <c r="U91" i="2"/>
  <c r="AF91" i="2"/>
  <c r="AA91" i="2"/>
  <c r="Z91" i="2"/>
  <c r="AB91" i="2"/>
  <c r="AD91" i="2"/>
  <c r="BB101" i="2"/>
  <c r="AY101" i="2"/>
  <c r="AF143" i="2"/>
  <c r="BB36" i="2"/>
  <c r="AZ42" i="2"/>
  <c r="AA45" i="2"/>
  <c r="BD50" i="2"/>
  <c r="BB60" i="2"/>
  <c r="BE60" i="2" s="1"/>
  <c r="AY60" i="2"/>
  <c r="AB71" i="2"/>
  <c r="BB82" i="2"/>
  <c r="BE82" i="2" s="1"/>
  <c r="BB88" i="2"/>
  <c r="BE88" i="2" s="1"/>
  <c r="AY88" i="2"/>
  <c r="Z99" i="2"/>
  <c r="Y99" i="2"/>
  <c r="X99" i="2"/>
  <c r="W99" i="2"/>
  <c r="V99" i="2"/>
  <c r="U99" i="2"/>
  <c r="AB99" i="2"/>
  <c r="AA99" i="2"/>
  <c r="BA99" i="2" s="1"/>
  <c r="AL143" i="2"/>
  <c r="J143" i="2"/>
  <c r="AD134" i="2"/>
  <c r="AO134" i="2"/>
  <c r="AO143" i="2" s="1"/>
  <c r="AC134" i="2"/>
  <c r="AC135" i="2" s="1"/>
  <c r="AN134" i="2"/>
  <c r="AN143" i="2" s="1"/>
  <c r="AB134" i="2"/>
  <c r="AB143" i="2" s="1"/>
  <c r="AM134" i="2"/>
  <c r="AM143" i="2" s="1"/>
  <c r="AA134" i="2"/>
  <c r="AL134" i="2"/>
  <c r="Z134" i="2"/>
  <c r="Z143" i="2" s="1"/>
  <c r="AK134" i="2"/>
  <c r="AH135" i="2" s="1"/>
  <c r="Y134" i="2"/>
  <c r="X135" i="2" s="1"/>
  <c r="AF134" i="2"/>
  <c r="AE134" i="2"/>
  <c r="AJ134" i="2"/>
  <c r="AI134" i="2"/>
  <c r="AI135" i="2" s="1"/>
  <c r="AH134" i="2"/>
  <c r="AG134" i="2"/>
  <c r="AG143" i="2" s="1"/>
  <c r="AY137" i="2"/>
  <c r="AQ168" i="2"/>
  <c r="AD117" i="2"/>
  <c r="AC117" i="2"/>
  <c r="AB117" i="2"/>
  <c r="AA117" i="2"/>
  <c r="Z117" i="2"/>
  <c r="Y117" i="2"/>
  <c r="AF117" i="2"/>
  <c r="AE117" i="2"/>
  <c r="AY128" i="2"/>
  <c r="BB128" i="2"/>
  <c r="BE128" i="2" s="1"/>
  <c r="AY130" i="2"/>
  <c r="AJ143" i="2"/>
  <c r="BB132" i="2"/>
  <c r="BE132" i="2" s="1"/>
  <c r="AY132" i="2"/>
  <c r="BD155" i="2"/>
  <c r="AY126" i="2"/>
  <c r="AD131" i="2"/>
  <c r="AC131" i="2"/>
  <c r="AB131" i="2"/>
  <c r="AA131" i="2"/>
  <c r="AL131" i="2"/>
  <c r="Z131" i="2"/>
  <c r="AK131" i="2"/>
  <c r="Y131" i="2"/>
  <c r="AF131" i="2"/>
  <c r="AE131" i="2"/>
  <c r="AB59" i="2"/>
  <c r="BA59" i="2" s="1"/>
  <c r="BB59" i="2" s="1"/>
  <c r="AN59" i="2"/>
  <c r="AB79" i="2"/>
  <c r="AN79" i="2"/>
  <c r="X103" i="2"/>
  <c r="W103" i="2"/>
  <c r="V103" i="2"/>
  <c r="U103" i="2"/>
  <c r="BB103" i="2" s="1"/>
  <c r="Z103" i="2"/>
  <c r="AY103" i="2" s="1"/>
  <c r="Y103" i="2"/>
  <c r="W117" i="2"/>
  <c r="AY117" i="2" s="1"/>
  <c r="V131" i="2"/>
  <c r="AK85" i="2"/>
  <c r="Y85" i="2"/>
  <c r="AJ85" i="2"/>
  <c r="X85" i="2"/>
  <c r="AI85" i="2"/>
  <c r="W85" i="2"/>
  <c r="AH85" i="2"/>
  <c r="V85" i="2"/>
  <c r="AG85" i="2"/>
  <c r="U85" i="2"/>
  <c r="AY85" i="2" s="1"/>
  <c r="AF85" i="2"/>
  <c r="AA85" i="2"/>
  <c r="AL85" i="2"/>
  <c r="Z85" i="2"/>
  <c r="BB92" i="2"/>
  <c r="BE92" i="2" s="1"/>
  <c r="AY92" i="2"/>
  <c r="AZ98" i="2"/>
  <c r="BD98" i="2"/>
  <c r="W105" i="2"/>
  <c r="V105" i="2"/>
  <c r="U105" i="2"/>
  <c r="X105" i="2"/>
  <c r="X117" i="2"/>
  <c r="V168" i="2"/>
  <c r="AD125" i="2"/>
  <c r="BA124" i="2"/>
  <c r="BB124" i="2" s="1"/>
  <c r="BE124" i="2" s="1"/>
  <c r="U127" i="2"/>
  <c r="BA130" i="2"/>
  <c r="BB130" i="2" s="1"/>
  <c r="BE130" i="2" s="1"/>
  <c r="W131" i="2"/>
  <c r="U143" i="2"/>
  <c r="AD59" i="2"/>
  <c r="AP59" i="2"/>
  <c r="AD79" i="2"/>
  <c r="AP79" i="2"/>
  <c r="AB87" i="2"/>
  <c r="AA87" i="2"/>
  <c r="AL87" i="2"/>
  <c r="Z87" i="2"/>
  <c r="AK87" i="2"/>
  <c r="Y87" i="2"/>
  <c r="AJ87" i="2"/>
  <c r="X87" i="2"/>
  <c r="AI87" i="2"/>
  <c r="W87" i="2"/>
  <c r="AY87" i="2" s="1"/>
  <c r="AD87" i="2"/>
  <c r="AC87" i="2"/>
  <c r="AY96" i="2"/>
  <c r="AG117" i="2"/>
  <c r="AY119" i="2"/>
  <c r="BD124" i="2"/>
  <c r="AZ124" i="2"/>
  <c r="X143" i="2"/>
  <c r="X131" i="2"/>
  <c r="AD143" i="2"/>
  <c r="W164" i="2"/>
  <c r="W170" i="2" s="1"/>
  <c r="AE59" i="2"/>
  <c r="AE79" i="2"/>
  <c r="AY94" i="2"/>
  <c r="BA103" i="2"/>
  <c r="AH117" i="2"/>
  <c r="AG131" i="2"/>
  <c r="X164" i="2"/>
  <c r="X170" i="2" s="1"/>
  <c r="AH131" i="2"/>
  <c r="BB89" i="2"/>
  <c r="BD89" i="2" s="1"/>
  <c r="BD108" i="2"/>
  <c r="BD110" i="2"/>
  <c r="BB116" i="2"/>
  <c r="BE116" i="2" s="1"/>
  <c r="BD120" i="2"/>
  <c r="BD122" i="2"/>
  <c r="AA143" i="2"/>
  <c r="AI131" i="2"/>
  <c r="Z164" i="2"/>
  <c r="Z170" i="2" s="1"/>
  <c r="AR168" i="2"/>
  <c r="BA116" i="2"/>
  <c r="AH143" i="2"/>
  <c r="AJ131" i="2"/>
  <c r="AL135" i="2"/>
  <c r="Z135" i="2"/>
  <c r="AN135" i="2"/>
  <c r="AB135" i="2"/>
  <c r="AM135" i="2"/>
  <c r="BB139" i="2"/>
  <c r="BA151" i="2"/>
  <c r="BB151" i="2" s="1"/>
  <c r="BB98" i="2"/>
  <c r="BE98" i="2" s="1"/>
  <c r="BD100" i="2"/>
  <c r="V109" i="2"/>
  <c r="V121" i="2"/>
  <c r="AH121" i="2"/>
  <c r="V127" i="2"/>
  <c r="AJ159" i="2"/>
  <c r="AJ164" i="2" s="1"/>
  <c r="AJ170" i="2" s="1"/>
  <c r="AV159" i="2"/>
  <c r="Z163" i="2"/>
  <c r="AL163" i="2"/>
  <c r="AL164" i="2" s="1"/>
  <c r="AL170" i="2" s="1"/>
  <c r="AX163" i="2"/>
  <c r="AX164" i="2" s="1"/>
  <c r="AX170" i="2" s="1"/>
  <c r="AX171" i="2" s="1"/>
  <c r="AX173" i="2" s="1"/>
  <c r="BB84" i="2"/>
  <c r="BE84" i="2" s="1"/>
  <c r="BB90" i="2"/>
  <c r="BE90" i="2" s="1"/>
  <c r="W109" i="2"/>
  <c r="U115" i="2"/>
  <c r="W121" i="2"/>
  <c r="AI121" i="2"/>
  <c r="U125" i="2"/>
  <c r="W127" i="2"/>
  <c r="AW145" i="2"/>
  <c r="AW147" i="2" s="1"/>
  <c r="AK159" i="2"/>
  <c r="AW159" i="2"/>
  <c r="AW164" i="2" s="1"/>
  <c r="AW170" i="2" s="1"/>
  <c r="AW171" i="2" s="1"/>
  <c r="AW173" i="2" s="1"/>
  <c r="AA163" i="2"/>
  <c r="AM163" i="2"/>
  <c r="AM164" i="2" s="1"/>
  <c r="AM170" i="2" s="1"/>
  <c r="X93" i="2"/>
  <c r="AY93" i="2" s="1"/>
  <c r="Y95" i="2"/>
  <c r="AB109" i="2"/>
  <c r="BA109" i="2" s="1"/>
  <c r="Z115" i="2"/>
  <c r="AB121" i="2"/>
  <c r="Z125" i="2"/>
  <c r="BA126" i="2"/>
  <c r="BB126" i="2" s="1"/>
  <c r="BE126" i="2" s="1"/>
  <c r="AB127" i="2"/>
  <c r="AD159" i="2"/>
  <c r="AP159" i="2"/>
  <c r="AP164" i="2" s="1"/>
  <c r="AP170" i="2" s="1"/>
  <c r="AF163" i="2"/>
  <c r="AR163" i="2"/>
  <c r="AT168" i="2"/>
  <c r="AY86" i="2"/>
  <c r="Z95" i="2"/>
  <c r="BB95" i="2" s="1"/>
  <c r="AC109" i="2"/>
  <c r="AA115" i="2"/>
  <c r="AC121" i="2"/>
  <c r="AA125" i="2"/>
  <c r="AC127" i="2"/>
  <c r="W143" i="2"/>
  <c r="AE159" i="2"/>
  <c r="AE164" i="2" s="1"/>
  <c r="AE170" i="2" s="1"/>
  <c r="AQ159" i="2"/>
  <c r="AQ164" i="2" s="1"/>
  <c r="AQ170" i="2" s="1"/>
  <c r="U163" i="2"/>
  <c r="AG163" i="2"/>
  <c r="AS163" i="2"/>
  <c r="AU168" i="2"/>
  <c r="AA95" i="2"/>
  <c r="BA95" i="2" s="1"/>
  <c r="AZ106" i="2"/>
  <c r="AB115" i="2"/>
  <c r="AD121" i="2"/>
  <c r="AB125" i="2"/>
  <c r="AD127" i="2"/>
  <c r="AF159" i="2"/>
  <c r="AR159" i="2"/>
  <c r="V163" i="2"/>
  <c r="AH163" i="2"/>
  <c r="AT163" i="2"/>
  <c r="AE127" i="2"/>
  <c r="AY151" i="2"/>
  <c r="U159" i="2"/>
  <c r="AG159" i="2"/>
  <c r="AS159" i="2"/>
  <c r="W163" i="2"/>
  <c r="AI163" i="2"/>
  <c r="AU163" i="2"/>
  <c r="AF127" i="2"/>
  <c r="V159" i="2"/>
  <c r="V164" i="2" s="1"/>
  <c r="V170" i="2" s="1"/>
  <c r="AH159" i="2"/>
  <c r="AT159" i="2"/>
  <c r="AT164" i="2" s="1"/>
  <c r="AT170" i="2" s="1"/>
  <c r="X163" i="2"/>
  <c r="AJ163" i="2"/>
  <c r="AV163" i="2"/>
  <c r="W159" i="2"/>
  <c r="AI159" i="2"/>
  <c r="Y163" i="2"/>
  <c r="Y164" i="2" s="1"/>
  <c r="Y170" i="2" s="1"/>
  <c r="AK163" i="2"/>
  <c r="BD37" i="2" l="1"/>
  <c r="AZ37" i="2"/>
  <c r="AZ93" i="2"/>
  <c r="BD93" i="2"/>
  <c r="Z168" i="2"/>
  <c r="BD41" i="2"/>
  <c r="AZ41" i="2"/>
  <c r="AZ63" i="2"/>
  <c r="AZ117" i="2"/>
  <c r="AT169" i="2"/>
  <c r="AT171" i="2" s="1"/>
  <c r="AT173" i="2" s="1"/>
  <c r="AT145" i="2"/>
  <c r="AT147" i="2" s="1"/>
  <c r="AZ57" i="2"/>
  <c r="BD57" i="2"/>
  <c r="AZ87" i="2"/>
  <c r="BD87" i="2"/>
  <c r="AB168" i="2"/>
  <c r="AB171" i="2" s="1"/>
  <c r="AB173" i="2" s="1"/>
  <c r="AB145" i="2"/>
  <c r="AB147" i="2" s="1"/>
  <c r="AZ65" i="2"/>
  <c r="BD27" i="2"/>
  <c r="AZ27" i="2"/>
  <c r="AZ91" i="2"/>
  <c r="BB47" i="2"/>
  <c r="BD47" i="2" s="1"/>
  <c r="AZ39" i="2"/>
  <c r="AZ107" i="2"/>
  <c r="BD107" i="2"/>
  <c r="BD103" i="2"/>
  <c r="AZ103" i="2"/>
  <c r="AZ35" i="2"/>
  <c r="AD144" i="2"/>
  <c r="AD169" i="2" s="1"/>
  <c r="AZ49" i="2"/>
  <c r="AZ85" i="2"/>
  <c r="BD85" i="2"/>
  <c r="AZ81" i="2"/>
  <c r="AQ169" i="2"/>
  <c r="AQ171" i="2" s="1"/>
  <c r="AQ173" i="2" s="1"/>
  <c r="AQ145" i="2"/>
  <c r="AQ147" i="2" s="1"/>
  <c r="BB83" i="2"/>
  <c r="AC144" i="2"/>
  <c r="AC169" i="2" s="1"/>
  <c r="AZ75" i="2"/>
  <c r="BB33" i="2"/>
  <c r="AZ73" i="2"/>
  <c r="BB109" i="2"/>
  <c r="AZ47" i="2"/>
  <c r="AM144" i="2"/>
  <c r="AM169" i="2" s="1"/>
  <c r="AY29" i="2"/>
  <c r="W168" i="2"/>
  <c r="AY159" i="2"/>
  <c r="AJ135" i="2"/>
  <c r="BA87" i="2"/>
  <c r="AR145" i="2"/>
  <c r="AR147" i="2" s="1"/>
  <c r="BD88" i="2"/>
  <c r="AZ88" i="2"/>
  <c r="BD151" i="2"/>
  <c r="BA115" i="2"/>
  <c r="Y135" i="2"/>
  <c r="AA168" i="2"/>
  <c r="BA143" i="2"/>
  <c r="BD96" i="2"/>
  <c r="AZ96" i="2"/>
  <c r="BA131" i="2"/>
  <c r="BB131" i="2" s="1"/>
  <c r="BA117" i="2"/>
  <c r="BB117" i="2" s="1"/>
  <c r="BD117" i="2" s="1"/>
  <c r="AE135" i="2"/>
  <c r="AD135" i="2"/>
  <c r="BA41" i="2"/>
  <c r="BB41" i="2" s="1"/>
  <c r="AY59" i="2"/>
  <c r="BD40" i="2"/>
  <c r="AZ40" i="2"/>
  <c r="AV144" i="2"/>
  <c r="AY113" i="2"/>
  <c r="AY83" i="2"/>
  <c r="BB134" i="2"/>
  <c r="BE134" i="2" s="1"/>
  <c r="AA144" i="2"/>
  <c r="BA7" i="2"/>
  <c r="AF168" i="2"/>
  <c r="AZ51" i="2"/>
  <c r="BD51" i="2"/>
  <c r="BD86" i="2"/>
  <c r="AZ86" i="2"/>
  <c r="AY61" i="2"/>
  <c r="AY109" i="2"/>
  <c r="AK164" i="2"/>
  <c r="AK170" i="2" s="1"/>
  <c r="BA121" i="2"/>
  <c r="BB121" i="2" s="1"/>
  <c r="AV164" i="2"/>
  <c r="AV170" i="2" s="1"/>
  <c r="AA135" i="2"/>
  <c r="AK135" i="2"/>
  <c r="AK144" i="2" s="1"/>
  <c r="AK169" i="2" s="1"/>
  <c r="BA85" i="2"/>
  <c r="AY79" i="2"/>
  <c r="AZ132" i="2"/>
  <c r="BD132" i="2"/>
  <c r="AF135" i="2"/>
  <c r="AK143" i="2"/>
  <c r="BA65" i="2"/>
  <c r="BB65" i="2" s="1"/>
  <c r="BD65" i="2" s="1"/>
  <c r="AY33" i="2"/>
  <c r="AY71" i="2"/>
  <c r="AI144" i="2"/>
  <c r="AI169" i="2" s="1"/>
  <c r="AY134" i="2"/>
  <c r="BA37" i="2"/>
  <c r="BB37" i="2" s="1"/>
  <c r="BA63" i="2"/>
  <c r="BB63" i="2" s="1"/>
  <c r="BD63" i="2" s="1"/>
  <c r="AE144" i="2"/>
  <c r="AE169" i="2" s="1"/>
  <c r="BA61" i="2"/>
  <c r="BB61" i="2" s="1"/>
  <c r="AL168" i="2"/>
  <c r="BD19" i="2"/>
  <c r="AZ19" i="2"/>
  <c r="AZ55" i="2"/>
  <c r="BA81" i="2"/>
  <c r="BB81" i="2" s="1"/>
  <c r="BD81" i="2" s="1"/>
  <c r="AJ144" i="2"/>
  <c r="AJ169" i="2" s="1"/>
  <c r="BA35" i="2"/>
  <c r="BB35" i="2" s="1"/>
  <c r="BD35" i="2" s="1"/>
  <c r="AG144" i="2"/>
  <c r="AG169" i="2" s="1"/>
  <c r="AR164" i="2"/>
  <c r="AR170" i="2" s="1"/>
  <c r="AY163" i="2"/>
  <c r="BB163" i="2"/>
  <c r="U164" i="2"/>
  <c r="AY115" i="2"/>
  <c r="AG135" i="2"/>
  <c r="X168" i="2"/>
  <c r="BB99" i="2"/>
  <c r="AY99" i="2"/>
  <c r="BA75" i="2"/>
  <c r="BB75" i="2" s="1"/>
  <c r="BD75" i="2" s="1"/>
  <c r="T145" i="2"/>
  <c r="BB143" i="2"/>
  <c r="T168" i="2"/>
  <c r="BD116" i="2"/>
  <c r="AN144" i="2"/>
  <c r="AN169" i="2" s="1"/>
  <c r="BA83" i="2"/>
  <c r="BA47" i="2"/>
  <c r="BA55" i="2"/>
  <c r="BA15" i="2"/>
  <c r="BB15" i="2" s="1"/>
  <c r="BD15" i="2" s="1"/>
  <c r="BD32" i="2"/>
  <c r="AY21" i="2"/>
  <c r="BB21" i="2"/>
  <c r="AH164" i="2"/>
  <c r="AH170" i="2" s="1"/>
  <c r="BB85" i="2"/>
  <c r="BA39" i="2"/>
  <c r="BB39" i="2" s="1"/>
  <c r="BD39" i="2" s="1"/>
  <c r="Y143" i="2"/>
  <c r="BB105" i="2"/>
  <c r="BD126" i="2"/>
  <c r="AZ126" i="2"/>
  <c r="BD130" i="2"/>
  <c r="AZ130" i="2"/>
  <c r="AY95" i="2"/>
  <c r="AZ69" i="2"/>
  <c r="BB45" i="2"/>
  <c r="AY45" i="2"/>
  <c r="BA113" i="2"/>
  <c r="BB113" i="2" s="1"/>
  <c r="AF164" i="2"/>
  <c r="AF170" i="2" s="1"/>
  <c r="AY121" i="2"/>
  <c r="V135" i="2"/>
  <c r="V144" i="2" s="1"/>
  <c r="AH168" i="2"/>
  <c r="U168" i="2"/>
  <c r="BB115" i="2"/>
  <c r="BA134" i="2"/>
  <c r="AZ60" i="2"/>
  <c r="BD60" i="2"/>
  <c r="AE143" i="2"/>
  <c r="BB111" i="2"/>
  <c r="BD26" i="2"/>
  <c r="AZ26" i="2"/>
  <c r="BD84" i="2"/>
  <c r="BA79" i="2"/>
  <c r="BB79" i="2" s="1"/>
  <c r="BD18" i="2"/>
  <c r="BA73" i="2"/>
  <c r="BB73" i="2" s="1"/>
  <c r="BD73" i="2" s="1"/>
  <c r="W144" i="2"/>
  <c r="W169" i="2" s="1"/>
  <c r="AC168" i="2"/>
  <c r="AC171" i="2" s="1"/>
  <c r="AC173" i="2" s="1"/>
  <c r="BD137" i="2"/>
  <c r="AZ137" i="2"/>
  <c r="AI168" i="2"/>
  <c r="AZ46" i="2"/>
  <c r="BD46" i="2"/>
  <c r="AY67" i="2"/>
  <c r="BB67" i="2"/>
  <c r="BD12" i="2"/>
  <c r="AZ12" i="2"/>
  <c r="AZ15" i="2"/>
  <c r="BA33" i="2"/>
  <c r="BA23" i="2"/>
  <c r="BB23" i="2" s="1"/>
  <c r="BD16" i="2"/>
  <c r="X144" i="2"/>
  <c r="X169" i="2" s="1"/>
  <c r="AY125" i="2"/>
  <c r="AD145" i="2"/>
  <c r="AD147" i="2" s="1"/>
  <c r="AD168" i="2"/>
  <c r="AD171" i="2" s="1"/>
  <c r="AD173" i="2" s="1"/>
  <c r="AG145" i="2"/>
  <c r="AG147" i="2" s="1"/>
  <c r="AG168" i="2"/>
  <c r="BA127" i="2"/>
  <c r="AL144" i="2"/>
  <c r="AL169" i="2" s="1"/>
  <c r="AU144" i="2"/>
  <c r="AY43" i="2"/>
  <c r="BA29" i="2"/>
  <c r="BB29" i="2" s="1"/>
  <c r="AY31" i="2"/>
  <c r="Y144" i="2"/>
  <c r="Y169" i="2" s="1"/>
  <c r="BA17" i="2"/>
  <c r="BB17" i="2" s="1"/>
  <c r="AY131" i="2"/>
  <c r="AR171" i="2"/>
  <c r="AR173" i="2" s="1"/>
  <c r="BD94" i="2"/>
  <c r="AZ94" i="2"/>
  <c r="BA91" i="2"/>
  <c r="AS144" i="2"/>
  <c r="AI164" i="2"/>
  <c r="AI170" i="2" s="1"/>
  <c r="AS164" i="2"/>
  <c r="AS170" i="2" s="1"/>
  <c r="AD164" i="2"/>
  <c r="AD170" i="2" s="1"/>
  <c r="BA159" i="2"/>
  <c r="BA163" i="2"/>
  <c r="AA164" i="2"/>
  <c r="AA170" i="2" s="1"/>
  <c r="BB87" i="2"/>
  <c r="AY127" i="2"/>
  <c r="BB127" i="2"/>
  <c r="BD92" i="2"/>
  <c r="AZ92" i="2"/>
  <c r="AN168" i="2"/>
  <c r="AN145" i="2"/>
  <c r="AN147" i="2" s="1"/>
  <c r="BA45" i="2"/>
  <c r="BA71" i="2"/>
  <c r="AY133" i="2"/>
  <c r="BB133" i="2"/>
  <c r="AY123" i="2"/>
  <c r="BB123" i="2"/>
  <c r="BD90" i="2"/>
  <c r="AY129" i="2"/>
  <c r="BB129" i="2"/>
  <c r="BB69" i="2"/>
  <c r="BD69" i="2" s="1"/>
  <c r="BB53" i="2"/>
  <c r="AY53" i="2"/>
  <c r="T169" i="2"/>
  <c r="AY23" i="2"/>
  <c r="BB55" i="2"/>
  <c r="BD55" i="2" s="1"/>
  <c r="BB71" i="2"/>
  <c r="AY25" i="2"/>
  <c r="BD111" i="2"/>
  <c r="AZ111" i="2"/>
  <c r="AJ168" i="2"/>
  <c r="AJ171" i="2" s="1"/>
  <c r="AJ173" i="2" s="1"/>
  <c r="AJ145" i="2"/>
  <c r="AJ147" i="2" s="1"/>
  <c r="AM168" i="2"/>
  <c r="AM171" i="2" s="1"/>
  <c r="AM173" i="2" s="1"/>
  <c r="W135" i="2"/>
  <c r="AZ119" i="2"/>
  <c r="BD119" i="2"/>
  <c r="AG164" i="2"/>
  <c r="AG170" i="2" s="1"/>
  <c r="BA125" i="2"/>
  <c r="BB125" i="2" s="1"/>
  <c r="AY105" i="2"/>
  <c r="BB91" i="2"/>
  <c r="BD91" i="2" s="1"/>
  <c r="BB49" i="2"/>
  <c r="BD49" i="2" s="1"/>
  <c r="BE66" i="2"/>
  <c r="BD66" i="2"/>
  <c r="BB31" i="2"/>
  <c r="BD54" i="2"/>
  <c r="AZ54" i="2"/>
  <c r="AY17" i="2"/>
  <c r="AF144" i="2"/>
  <c r="AF169" i="2" s="1"/>
  <c r="BD101" i="2"/>
  <c r="AZ101" i="2"/>
  <c r="U144" i="2"/>
  <c r="U169" i="2" s="1"/>
  <c r="AY7" i="2"/>
  <c r="BB7" i="2"/>
  <c r="AZ128" i="2"/>
  <c r="BD128" i="2"/>
  <c r="AO168" i="2"/>
  <c r="AO171" i="2" s="1"/>
  <c r="AO173" i="2" s="1"/>
  <c r="AO145" i="2"/>
  <c r="AO147" i="2" s="1"/>
  <c r="BE36" i="2"/>
  <c r="BD36" i="2"/>
  <c r="BD77" i="2"/>
  <c r="AZ77" i="2"/>
  <c r="AY9" i="2"/>
  <c r="AH144" i="2"/>
  <c r="AH169" i="2" s="1"/>
  <c r="AP144" i="2"/>
  <c r="BD14" i="2"/>
  <c r="Z144" i="2"/>
  <c r="Z169" i="2" s="1"/>
  <c r="V169" i="2" l="1"/>
  <c r="V171" i="2" s="1"/>
  <c r="V145" i="2"/>
  <c r="V147" i="2" s="1"/>
  <c r="BD17" i="2"/>
  <c r="AZ17" i="2"/>
  <c r="U170" i="2"/>
  <c r="U171" i="2" s="1"/>
  <c r="AY164" i="2"/>
  <c r="BD121" i="2"/>
  <c r="AZ121" i="2"/>
  <c r="X145" i="2"/>
  <c r="X147" i="2" s="1"/>
  <c r="AZ134" i="2"/>
  <c r="BD134" i="2"/>
  <c r="AF145" i="2"/>
  <c r="AF147" i="2" s="1"/>
  <c r="AZ9" i="2"/>
  <c r="BD9" i="2"/>
  <c r="BD105" i="2"/>
  <c r="AZ105" i="2"/>
  <c r="AE145" i="2"/>
  <c r="AE147" i="2" s="1"/>
  <c r="AE168" i="2"/>
  <c r="AE171" i="2" s="1"/>
  <c r="AE173" i="2" s="1"/>
  <c r="X171" i="2"/>
  <c r="BA135" i="2"/>
  <c r="BB135" i="2" s="1"/>
  <c r="AZ127" i="2"/>
  <c r="BD127" i="2"/>
  <c r="AZ115" i="2"/>
  <c r="BD115" i="2"/>
  <c r="AZ129" i="2"/>
  <c r="BD129" i="2"/>
  <c r="AG171" i="2"/>
  <c r="AG173" i="2" s="1"/>
  <c r="AC145" i="2"/>
  <c r="AC147" i="2" s="1"/>
  <c r="Y168" i="2"/>
  <c r="Y171" i="2" s="1"/>
  <c r="Y145" i="2"/>
  <c r="Y147" i="2" s="1"/>
  <c r="AA169" i="2"/>
  <c r="BA144" i="2"/>
  <c r="AZ131" i="2"/>
  <c r="BD131" i="2"/>
  <c r="BA170" i="2"/>
  <c r="BD67" i="2"/>
  <c r="AZ67" i="2"/>
  <c r="AL145" i="2"/>
  <c r="AL147" i="2" s="1"/>
  <c r="AK168" i="2"/>
  <c r="AK171" i="2" s="1"/>
  <c r="AK173" i="2" s="1"/>
  <c r="AK145" i="2"/>
  <c r="AK147" i="2" s="1"/>
  <c r="BD61" i="2"/>
  <c r="AZ61" i="2"/>
  <c r="AZ113" i="2"/>
  <c r="BD113" i="2"/>
  <c r="BD45" i="2"/>
  <c r="AZ45" i="2"/>
  <c r="BD71" i="2"/>
  <c r="AZ71" i="2"/>
  <c r="U179" i="2"/>
  <c r="T171" i="2"/>
  <c r="AZ33" i="2"/>
  <c r="BD33" i="2"/>
  <c r="BD83" i="2"/>
  <c r="AZ83" i="2"/>
  <c r="AZ123" i="2"/>
  <c r="BD123" i="2"/>
  <c r="AZ109" i="2"/>
  <c r="BD109" i="2"/>
  <c r="BD23" i="2"/>
  <c r="AZ23" i="2"/>
  <c r="T147" i="2"/>
  <c r="BD163" i="2"/>
  <c r="AL171" i="2"/>
  <c r="AL173" i="2" s="1"/>
  <c r="AM145" i="2"/>
  <c r="AM147" i="2" s="1"/>
  <c r="BB144" i="2"/>
  <c r="AZ133" i="2"/>
  <c r="BD133" i="2"/>
  <c r="BA164" i="2"/>
  <c r="AZ125" i="2"/>
  <c r="BD125" i="2"/>
  <c r="U145" i="2"/>
  <c r="U147" i="2" s="1"/>
  <c r="AY143" i="2"/>
  <c r="AV169" i="2"/>
  <c r="AV171" i="2" s="1"/>
  <c r="AV173" i="2" s="1"/>
  <c r="AV145" i="2"/>
  <c r="AV147" i="2" s="1"/>
  <c r="Z145" i="2"/>
  <c r="Z147" i="2" s="1"/>
  <c r="U180" i="2"/>
  <c r="BD31" i="2"/>
  <c r="AZ31" i="2"/>
  <c r="AH171" i="2"/>
  <c r="AH173" i="2" s="1"/>
  <c r="AZ95" i="2"/>
  <c r="BD95" i="2"/>
  <c r="BD21" i="2"/>
  <c r="AZ21" i="2"/>
  <c r="AA145" i="2"/>
  <c r="BB159" i="2"/>
  <c r="BB164" i="2" s="1"/>
  <c r="Z171" i="2"/>
  <c r="AY144" i="2"/>
  <c r="AH145" i="2"/>
  <c r="AH147" i="2" s="1"/>
  <c r="BD99" i="2"/>
  <c r="AZ99" i="2"/>
  <c r="W171" i="2"/>
  <c r="BD79" i="2"/>
  <c r="AZ79" i="2"/>
  <c r="BD59" i="2"/>
  <c r="AZ59" i="2"/>
  <c r="AA171" i="2"/>
  <c r="AA173" i="2" s="1"/>
  <c r="W145" i="2"/>
  <c r="W147" i="2" s="1"/>
  <c r="AZ25" i="2"/>
  <c r="BD25" i="2"/>
  <c r="AZ53" i="2"/>
  <c r="BD53" i="2"/>
  <c r="AZ43" i="2"/>
  <c r="BD43" i="2"/>
  <c r="AI171" i="2"/>
  <c r="AI173" i="2" s="1"/>
  <c r="AY135" i="2"/>
  <c r="AP169" i="2"/>
  <c r="AP171" i="2" s="1"/>
  <c r="AP173" i="2" s="1"/>
  <c r="AP145" i="2"/>
  <c r="AP147" i="2" s="1"/>
  <c r="AZ7" i="2"/>
  <c r="BD7" i="2"/>
  <c r="AN171" i="2"/>
  <c r="AN173" i="2" s="1"/>
  <c r="AS169" i="2"/>
  <c r="AS171" i="2" s="1"/>
  <c r="AS173" i="2" s="1"/>
  <c r="AS145" i="2"/>
  <c r="AS147" i="2" s="1"/>
  <c r="AU169" i="2"/>
  <c r="AU171" i="2" s="1"/>
  <c r="AU173" i="2" s="1"/>
  <c r="AU145" i="2"/>
  <c r="AU147" i="2" s="1"/>
  <c r="AI145" i="2"/>
  <c r="AI147" i="2" s="1"/>
  <c r="AF171" i="2"/>
  <c r="AF173" i="2" s="1"/>
  <c r="BD29" i="2"/>
  <c r="AZ29" i="2"/>
  <c r="U173" i="2" l="1"/>
  <c r="U176" i="2"/>
  <c r="AY169" i="2"/>
  <c r="AZ143" i="2"/>
  <c r="BD143" i="2"/>
  <c r="V173" i="2"/>
  <c r="V176" i="2"/>
  <c r="AZ144" i="2"/>
  <c r="BD144" i="2"/>
  <c r="BB169" i="2"/>
  <c r="BD159" i="2"/>
  <c r="BD135" i="2"/>
  <c r="AZ135" i="2"/>
  <c r="BA169" i="2"/>
  <c r="X176" i="2"/>
  <c r="X173" i="2"/>
  <c r="Z176" i="2"/>
  <c r="Z173" i="2"/>
  <c r="BA168" i="2"/>
  <c r="BA145" i="2"/>
  <c r="BA147" i="2" s="1"/>
  <c r="AA147" i="2"/>
  <c r="AY145" i="2"/>
  <c r="BD164" i="2"/>
  <c r="Y176" i="2"/>
  <c r="Y173" i="2"/>
  <c r="T173" i="2"/>
  <c r="AY171" i="2"/>
  <c r="W173" i="2"/>
  <c r="W176" i="2"/>
  <c r="BB170" i="2"/>
  <c r="AY170" i="2"/>
  <c r="AY168" i="2"/>
  <c r="AY147" i="2" l="1"/>
  <c r="AZ145" i="2"/>
  <c r="AZ147" i="2" s="1"/>
  <c r="BA171" i="2"/>
  <c r="BB168" i="2"/>
  <c r="BB171" i="2" s="1"/>
  <c r="BB145" i="2"/>
  <c r="BB147" i="2" s="1"/>
  <c r="BD145" i="2" l="1"/>
  <c r="F278" i="1" l="1"/>
  <c r="I278" i="1" s="1"/>
  <c r="J278" i="1" s="1"/>
  <c r="S276" i="1"/>
  <c r="P276" i="1"/>
  <c r="M276" i="1"/>
  <c r="J276" i="1"/>
  <c r="G276" i="1"/>
  <c r="S275" i="1"/>
  <c r="P275" i="1"/>
  <c r="M275" i="1"/>
  <c r="J275" i="1"/>
  <c r="G275" i="1"/>
  <c r="R274" i="1"/>
  <c r="O274" i="1"/>
  <c r="L274" i="1"/>
  <c r="I274" i="1"/>
  <c r="F274" i="1"/>
  <c r="G274" i="1" s="1"/>
  <c r="F273" i="1"/>
  <c r="I273" i="1" s="1"/>
  <c r="F272" i="1"/>
  <c r="G272" i="1" s="1"/>
  <c r="F270" i="1"/>
  <c r="G270" i="1" s="1"/>
  <c r="F269" i="1"/>
  <c r="F268" i="1"/>
  <c r="G268" i="1" s="1"/>
  <c r="F267" i="1"/>
  <c r="I267" i="1" s="1"/>
  <c r="L267" i="1" s="1"/>
  <c r="O267" i="1" s="1"/>
  <c r="F266" i="1"/>
  <c r="I266" i="1" s="1"/>
  <c r="J266" i="1" s="1"/>
  <c r="F265" i="1"/>
  <c r="I265" i="1" s="1"/>
  <c r="J265" i="1" s="1"/>
  <c r="F264" i="1"/>
  <c r="I264" i="1" s="1"/>
  <c r="J264" i="1" s="1"/>
  <c r="F262" i="1"/>
  <c r="I262" i="1" s="1"/>
  <c r="F261" i="1"/>
  <c r="G261" i="1" s="1"/>
  <c r="F259" i="1"/>
  <c r="I259" i="1" s="1"/>
  <c r="L259" i="1" s="1"/>
  <c r="O259" i="1" s="1"/>
  <c r="F258" i="1"/>
  <c r="I258" i="1" s="1"/>
  <c r="L258" i="1" s="1"/>
  <c r="O258" i="1" s="1"/>
  <c r="F256" i="1"/>
  <c r="I256" i="1" s="1"/>
  <c r="L256" i="1" s="1"/>
  <c r="F255" i="1"/>
  <c r="I255" i="1" s="1"/>
  <c r="L255" i="1" s="1"/>
  <c r="O255" i="1" s="1"/>
  <c r="R255" i="1" s="1"/>
  <c r="F254" i="1"/>
  <c r="G254" i="1" s="1"/>
  <c r="F253" i="1"/>
  <c r="G253" i="1" s="1"/>
  <c r="F252" i="1"/>
  <c r="G252" i="1" s="1"/>
  <c r="F251" i="1"/>
  <c r="I251" i="1" s="1"/>
  <c r="J251" i="1" s="1"/>
  <c r="F250" i="1"/>
  <c r="G250" i="1" s="1"/>
  <c r="F248" i="1"/>
  <c r="I248" i="1" s="1"/>
  <c r="L248" i="1" s="1"/>
  <c r="F247" i="1"/>
  <c r="G247" i="1" s="1"/>
  <c r="F246" i="1"/>
  <c r="I246" i="1" s="1"/>
  <c r="L246" i="1" s="1"/>
  <c r="F245" i="1"/>
  <c r="I245" i="1" s="1"/>
  <c r="J245" i="1" s="1"/>
  <c r="F244" i="1"/>
  <c r="G244" i="1" s="1"/>
  <c r="F243" i="1"/>
  <c r="I243" i="1" s="1"/>
  <c r="F242" i="1"/>
  <c r="I242" i="1" s="1"/>
  <c r="L242" i="1" s="1"/>
  <c r="O242" i="1" s="1"/>
  <c r="F241" i="1"/>
  <c r="F239" i="1"/>
  <c r="I239" i="1" s="1"/>
  <c r="L239" i="1" s="1"/>
  <c r="F238" i="1"/>
  <c r="I238" i="1" s="1"/>
  <c r="F237" i="1"/>
  <c r="G237" i="1" s="1"/>
  <c r="F235" i="1"/>
  <c r="I235" i="1" s="1"/>
  <c r="F234" i="1"/>
  <c r="F233" i="1"/>
  <c r="G233" i="1" s="1"/>
  <c r="F231" i="1"/>
  <c r="I231" i="1" s="1"/>
  <c r="F230" i="1"/>
  <c r="I230" i="1" s="1"/>
  <c r="L230" i="1" s="1"/>
  <c r="F229" i="1"/>
  <c r="I229" i="1" s="1"/>
  <c r="F227" i="1"/>
  <c r="I227" i="1" s="1"/>
  <c r="L227" i="1" s="1"/>
  <c r="O227" i="1" s="1"/>
  <c r="F226" i="1"/>
  <c r="F224" i="1"/>
  <c r="I224" i="1" s="1"/>
  <c r="J224" i="1" s="1"/>
  <c r="F223" i="1"/>
  <c r="I223" i="1" s="1"/>
  <c r="F221" i="1"/>
  <c r="G221" i="1" s="1"/>
  <c r="F219" i="1"/>
  <c r="G219" i="1" s="1"/>
  <c r="F218" i="1"/>
  <c r="I218" i="1" s="1"/>
  <c r="J218" i="1" s="1"/>
  <c r="F217" i="1"/>
  <c r="I217" i="1" s="1"/>
  <c r="L217" i="1" s="1"/>
  <c r="F216" i="1"/>
  <c r="F215" i="1"/>
  <c r="F214" i="1"/>
  <c r="G214" i="1" s="1"/>
  <c r="F213" i="1"/>
  <c r="F212" i="1"/>
  <c r="G212" i="1" s="1"/>
  <c r="F210" i="1"/>
  <c r="G210" i="1" s="1"/>
  <c r="F209" i="1"/>
  <c r="G209" i="1" s="1"/>
  <c r="F207" i="1"/>
  <c r="G207" i="1" s="1"/>
  <c r="F206" i="1"/>
  <c r="F205" i="1"/>
  <c r="I205" i="1" s="1"/>
  <c r="F204" i="1"/>
  <c r="F203" i="1"/>
  <c r="F200" i="1"/>
  <c r="G200" i="1" s="1"/>
  <c r="F199" i="1"/>
  <c r="I199" i="1" s="1"/>
  <c r="F198" i="1"/>
  <c r="G198" i="1" s="1"/>
  <c r="F197" i="1"/>
  <c r="G197" i="1" s="1"/>
  <c r="F196" i="1"/>
  <c r="I196" i="1" s="1"/>
  <c r="J196" i="1" s="1"/>
  <c r="F195" i="1"/>
  <c r="F194" i="1"/>
  <c r="F193" i="1"/>
  <c r="I193" i="1" s="1"/>
  <c r="J193" i="1" s="1"/>
  <c r="F192" i="1"/>
  <c r="F191" i="1"/>
  <c r="I191" i="1" s="1"/>
  <c r="L191" i="1" s="1"/>
  <c r="M191" i="1" s="1"/>
  <c r="F190" i="1"/>
  <c r="I190" i="1" s="1"/>
  <c r="F187" i="1"/>
  <c r="G187" i="1" s="1"/>
  <c r="F186" i="1"/>
  <c r="I186" i="1" s="1"/>
  <c r="L186" i="1" s="1"/>
  <c r="O186" i="1" s="1"/>
  <c r="F185" i="1"/>
  <c r="G185" i="1" s="1"/>
  <c r="F184" i="1"/>
  <c r="F183" i="1"/>
  <c r="G183" i="1" s="1"/>
  <c r="F182" i="1"/>
  <c r="I182" i="1" s="1"/>
  <c r="L182" i="1" s="1"/>
  <c r="O182" i="1" s="1"/>
  <c r="F181" i="1"/>
  <c r="I181" i="1" s="1"/>
  <c r="F180" i="1"/>
  <c r="F179" i="1"/>
  <c r="F178" i="1"/>
  <c r="I178" i="1" s="1"/>
  <c r="F177" i="1"/>
  <c r="G177" i="1" s="1"/>
  <c r="F176" i="1"/>
  <c r="G176" i="1" s="1"/>
  <c r="F174" i="1"/>
  <c r="G174" i="1" s="1"/>
  <c r="F173" i="1"/>
  <c r="G173" i="1" s="1"/>
  <c r="F172" i="1"/>
  <c r="F171" i="1"/>
  <c r="I171" i="1" s="1"/>
  <c r="F170" i="1"/>
  <c r="I170" i="1" s="1"/>
  <c r="L170" i="1" s="1"/>
  <c r="S168" i="1"/>
  <c r="R167" i="1"/>
  <c r="O167" i="1"/>
  <c r="P167" i="1" s="1"/>
  <c r="L167" i="1"/>
  <c r="I167" i="1"/>
  <c r="G167" i="1"/>
  <c r="R166" i="1"/>
  <c r="O166" i="1"/>
  <c r="L166" i="1"/>
  <c r="M166" i="1" s="1"/>
  <c r="I166" i="1"/>
  <c r="J166" i="1" s="1"/>
  <c r="G166" i="1"/>
  <c r="R165" i="1"/>
  <c r="O165" i="1"/>
  <c r="L165" i="1"/>
  <c r="I165" i="1"/>
  <c r="F165" i="1"/>
  <c r="G165" i="1" s="1"/>
  <c r="F164" i="1"/>
  <c r="I164" i="1" s="1"/>
  <c r="L164" i="1" s="1"/>
  <c r="O164" i="1" s="1"/>
  <c r="R164" i="1" s="1"/>
  <c r="F163" i="1"/>
  <c r="I163" i="1" s="1"/>
  <c r="J163" i="1" s="1"/>
  <c r="F162" i="1"/>
  <c r="G162" i="1" s="1"/>
  <c r="F161" i="1"/>
  <c r="F160" i="1"/>
  <c r="G160" i="1" s="1"/>
  <c r="F159" i="1"/>
  <c r="F158" i="1"/>
  <c r="G158" i="1" s="1"/>
  <c r="F156" i="1"/>
  <c r="G156" i="1" s="1"/>
  <c r="F155" i="1"/>
  <c r="G155" i="1" s="1"/>
  <c r="F154" i="1"/>
  <c r="I154" i="1" s="1"/>
  <c r="F152" i="1"/>
  <c r="G152" i="1" s="1"/>
  <c r="F150" i="1"/>
  <c r="F149" i="1"/>
  <c r="I149" i="1" s="1"/>
  <c r="L149" i="1" s="1"/>
  <c r="M149" i="1" s="1"/>
  <c r="F148" i="1"/>
  <c r="F147" i="1" s="1"/>
  <c r="F146" i="1" s="1"/>
  <c r="F145" i="1"/>
  <c r="F144" i="1"/>
  <c r="I144" i="1" s="1"/>
  <c r="L144" i="1" s="1"/>
  <c r="O144" i="1" s="1"/>
  <c r="P144" i="1" s="1"/>
  <c r="F143" i="1"/>
  <c r="G143" i="1" s="1"/>
  <c r="F142" i="1"/>
  <c r="I142" i="1" s="1"/>
  <c r="L142" i="1" s="1"/>
  <c r="M142" i="1" s="1"/>
  <c r="F141" i="1"/>
  <c r="F140" i="1"/>
  <c r="I140" i="1" s="1"/>
  <c r="F139" i="1"/>
  <c r="G139" i="1" s="1"/>
  <c r="F138" i="1"/>
  <c r="F137" i="1"/>
  <c r="F136" i="1"/>
  <c r="I136" i="1" s="1"/>
  <c r="J136" i="1" s="1"/>
  <c r="F135" i="1"/>
  <c r="G135" i="1" s="1"/>
  <c r="F134" i="1"/>
  <c r="G134" i="1" s="1"/>
  <c r="S126" i="1"/>
  <c r="R126" i="1"/>
  <c r="P126" i="1"/>
  <c r="F125" i="1"/>
  <c r="I125" i="1" s="1"/>
  <c r="L125" i="1" s="1"/>
  <c r="M125" i="1" s="1"/>
  <c r="F124" i="1"/>
  <c r="G124" i="1" s="1"/>
  <c r="F123" i="1"/>
  <c r="G123" i="1" s="1"/>
  <c r="F122" i="1"/>
  <c r="F121" i="1"/>
  <c r="F120" i="1"/>
  <c r="G120" i="1" s="1"/>
  <c r="F119" i="1"/>
  <c r="F118" i="1"/>
  <c r="I118" i="1" s="1"/>
  <c r="L118" i="1" s="1"/>
  <c r="F117" i="1"/>
  <c r="G117" i="1" s="1"/>
  <c r="F116" i="1"/>
  <c r="I116" i="1" s="1"/>
  <c r="J116" i="1" s="1"/>
  <c r="F115" i="1"/>
  <c r="F114" i="1"/>
  <c r="F113" i="1"/>
  <c r="G113" i="1" s="1"/>
  <c r="F111" i="1"/>
  <c r="G111" i="1" s="1"/>
  <c r="F110" i="1"/>
  <c r="F107" i="1"/>
  <c r="I107" i="1" s="1"/>
  <c r="L107" i="1" s="1"/>
  <c r="M107" i="1" s="1"/>
  <c r="F106" i="1"/>
  <c r="G106" i="1" s="1"/>
  <c r="F105" i="1"/>
  <c r="I105" i="1" s="1"/>
  <c r="L105" i="1" s="1"/>
  <c r="F104" i="1"/>
  <c r="F103" i="1" s="1"/>
  <c r="G103" i="1" s="1"/>
  <c r="F102" i="1"/>
  <c r="I102" i="1" s="1"/>
  <c r="F101" i="1"/>
  <c r="G101" i="1" s="1"/>
  <c r="F100" i="1"/>
  <c r="F98" i="1"/>
  <c r="I98" i="1" s="1"/>
  <c r="S97" i="1"/>
  <c r="P97" i="1"/>
  <c r="M97" i="1"/>
  <c r="J97" i="1"/>
  <c r="G97" i="1"/>
  <c r="F95" i="1"/>
  <c r="F94" i="1"/>
  <c r="I94" i="1" s="1"/>
  <c r="F91" i="1"/>
  <c r="I91" i="1" s="1"/>
  <c r="F90" i="1"/>
  <c r="G90" i="1" s="1"/>
  <c r="F88" i="1"/>
  <c r="G88" i="1" s="1"/>
  <c r="F87" i="1"/>
  <c r="I87" i="1" s="1"/>
  <c r="F86" i="1"/>
  <c r="G86" i="1" s="1"/>
  <c r="F85" i="1"/>
  <c r="F84" i="1"/>
  <c r="G84" i="1" s="1"/>
  <c r="F83" i="1"/>
  <c r="F82" i="1"/>
  <c r="F81" i="1"/>
  <c r="G81" i="1" s="1"/>
  <c r="F80" i="1"/>
  <c r="G80" i="1" s="1"/>
  <c r="F79" i="1"/>
  <c r="G79" i="1" s="1"/>
  <c r="F78" i="1"/>
  <c r="G78" i="1" s="1"/>
  <c r="F77" i="1"/>
  <c r="G77" i="1" s="1"/>
  <c r="F76" i="1"/>
  <c r="I76" i="1" s="1"/>
  <c r="F75" i="1"/>
  <c r="F74" i="1"/>
  <c r="G74" i="1" s="1"/>
  <c r="F73" i="1"/>
  <c r="I73" i="1" s="1"/>
  <c r="F72" i="1"/>
  <c r="I72" i="1" s="1"/>
  <c r="F71" i="1"/>
  <c r="I71" i="1" s="1"/>
  <c r="F70" i="1"/>
  <c r="I70" i="1" s="1"/>
  <c r="F69" i="1"/>
  <c r="F68" i="1"/>
  <c r="I68" i="1" s="1"/>
  <c r="L68" i="1" s="1"/>
  <c r="F66" i="1"/>
  <c r="I66" i="1" s="1"/>
  <c r="F65" i="1"/>
  <c r="G65" i="1" s="1"/>
  <c r="F64" i="1"/>
  <c r="F63" i="1"/>
  <c r="I63" i="1" s="1"/>
  <c r="J63" i="1" s="1"/>
  <c r="F62" i="1"/>
  <c r="G62" i="1" s="1"/>
  <c r="S61" i="1"/>
  <c r="P61" i="1"/>
  <c r="M61" i="1"/>
  <c r="J61" i="1"/>
  <c r="F60" i="1"/>
  <c r="F59" i="1"/>
  <c r="I59" i="1" s="1"/>
  <c r="F58" i="1"/>
  <c r="G58" i="1" s="1"/>
  <c r="F57" i="1"/>
  <c r="G57" i="1" s="1"/>
  <c r="F56" i="1"/>
  <c r="I56" i="1" s="1"/>
  <c r="F55" i="1"/>
  <c r="I55" i="1" s="1"/>
  <c r="F54" i="1"/>
  <c r="I54" i="1" s="1"/>
  <c r="J54" i="1" s="1"/>
  <c r="F53" i="1"/>
  <c r="I53" i="1" s="1"/>
  <c r="S51" i="1"/>
  <c r="P51" i="1"/>
  <c r="M51" i="1"/>
  <c r="J51" i="1"/>
  <c r="G51" i="1"/>
  <c r="R50" i="1"/>
  <c r="O50" i="1"/>
  <c r="O49" i="1" s="1"/>
  <c r="L50" i="1"/>
  <c r="J50" i="1"/>
  <c r="G50" i="1"/>
  <c r="I49" i="1"/>
  <c r="F49" i="1"/>
  <c r="G49" i="1" s="1"/>
  <c r="F48" i="1"/>
  <c r="I48" i="1" s="1"/>
  <c r="F47" i="1"/>
  <c r="G47" i="1" s="1"/>
  <c r="F46" i="1"/>
  <c r="G46" i="1" s="1"/>
  <c r="F43" i="1"/>
  <c r="I43" i="1" s="1"/>
  <c r="F42" i="1"/>
  <c r="G42" i="1" s="1"/>
  <c r="F41" i="1"/>
  <c r="G41" i="1" s="1"/>
  <c r="F40" i="1"/>
  <c r="G40" i="1" s="1"/>
  <c r="F38" i="1"/>
  <c r="F37" i="1"/>
  <c r="I37" i="1" s="1"/>
  <c r="F35" i="1"/>
  <c r="I35" i="1" s="1"/>
  <c r="F34" i="1"/>
  <c r="G34" i="1" s="1"/>
  <c r="F33" i="1"/>
  <c r="I33" i="1" s="1"/>
  <c r="J33" i="1" s="1"/>
  <c r="F32" i="1"/>
  <c r="I32" i="1" s="1"/>
  <c r="J32" i="1" s="1"/>
  <c r="F31" i="1"/>
  <c r="I31" i="1" s="1"/>
  <c r="F30" i="1"/>
  <c r="I30" i="1" s="1"/>
  <c r="F29" i="1"/>
  <c r="G29" i="1" s="1"/>
  <c r="F27" i="1"/>
  <c r="I27" i="1" s="1"/>
  <c r="L27" i="1" s="1"/>
  <c r="F26" i="1"/>
  <c r="I26" i="1" s="1"/>
  <c r="F25" i="1"/>
  <c r="F22" i="1"/>
  <c r="G22" i="1" s="1"/>
  <c r="F21" i="1"/>
  <c r="G21" i="1" s="1"/>
  <c r="F19" i="1"/>
  <c r="I19" i="1" s="1"/>
  <c r="F18" i="1"/>
  <c r="G18" i="1" s="1"/>
  <c r="F16" i="1"/>
  <c r="I16" i="1" s="1"/>
  <c r="J16" i="1" s="1"/>
  <c r="F15" i="1"/>
  <c r="F13" i="1"/>
  <c r="F12" i="1"/>
  <c r="I12" i="1" s="1"/>
  <c r="L12" i="1" s="1"/>
  <c r="R9" i="1"/>
  <c r="S9" i="1" s="1"/>
  <c r="O9" i="1"/>
  <c r="L9" i="1"/>
  <c r="I9" i="1"/>
  <c r="F9" i="1"/>
  <c r="G9" i="1" s="1"/>
  <c r="F8" i="1"/>
  <c r="G8" i="1" s="1"/>
  <c r="F14" i="1" l="1"/>
  <c r="G14" i="1" s="1"/>
  <c r="S274" i="1"/>
  <c r="M242" i="1"/>
  <c r="J49" i="1"/>
  <c r="P50" i="1"/>
  <c r="G70" i="1"/>
  <c r="G181" i="1"/>
  <c r="F225" i="1"/>
  <c r="G225" i="1" s="1"/>
  <c r="P9" i="1"/>
  <c r="G71" i="1"/>
  <c r="I139" i="1"/>
  <c r="J139" i="1" s="1"/>
  <c r="I187" i="1"/>
  <c r="J187" i="1" s="1"/>
  <c r="M274" i="1"/>
  <c r="G182" i="1"/>
  <c r="F17" i="1"/>
  <c r="G17" i="1" s="1"/>
  <c r="I106" i="1"/>
  <c r="L106" i="1" s="1"/>
  <c r="O106" i="1" s="1"/>
  <c r="M50" i="1"/>
  <c r="G53" i="1"/>
  <c r="I212" i="1"/>
  <c r="L212" i="1" s="1"/>
  <c r="G227" i="1"/>
  <c r="I185" i="1"/>
  <c r="L185" i="1" s="1"/>
  <c r="F189" i="1"/>
  <c r="I90" i="1"/>
  <c r="I89" i="1" s="1"/>
  <c r="I183" i="1"/>
  <c r="L183" i="1" s="1"/>
  <c r="I197" i="1"/>
  <c r="L197" i="1" s="1"/>
  <c r="O197" i="1" s="1"/>
  <c r="P197" i="1" s="1"/>
  <c r="G54" i="1"/>
  <c r="G98" i="1"/>
  <c r="I156" i="1"/>
  <c r="J156" i="1" s="1"/>
  <c r="I207" i="1"/>
  <c r="L207" i="1" s="1"/>
  <c r="M207" i="1" s="1"/>
  <c r="G246" i="1"/>
  <c r="G144" i="1"/>
  <c r="F39" i="1"/>
  <c r="I84" i="1"/>
  <c r="J84" i="1" s="1"/>
  <c r="J105" i="1"/>
  <c r="J142" i="1"/>
  <c r="J246" i="1"/>
  <c r="I88" i="1"/>
  <c r="L88" i="1" s="1"/>
  <c r="M88" i="1" s="1"/>
  <c r="J165" i="1"/>
  <c r="F260" i="1"/>
  <c r="G260" i="1" s="1"/>
  <c r="I21" i="1"/>
  <c r="J21" i="1" s="1"/>
  <c r="I81" i="1"/>
  <c r="F96" i="1"/>
  <c r="G96" i="1" s="1"/>
  <c r="I41" i="1"/>
  <c r="L41" i="1" s="1"/>
  <c r="O41" i="1" s="1"/>
  <c r="R41" i="1" s="1"/>
  <c r="I47" i="1"/>
  <c r="L47" i="1" s="1"/>
  <c r="O47" i="1" s="1"/>
  <c r="G140" i="1"/>
  <c r="I86" i="1"/>
  <c r="J86" i="1" s="1"/>
  <c r="I244" i="1"/>
  <c r="L244" i="1" s="1"/>
  <c r="O244" i="1" s="1"/>
  <c r="L98" i="1"/>
  <c r="L96" i="1" s="1"/>
  <c r="J98" i="1"/>
  <c r="I96" i="1"/>
  <c r="J96" i="1" s="1"/>
  <c r="L171" i="1"/>
  <c r="M171" i="1" s="1"/>
  <c r="J171" i="1"/>
  <c r="I228" i="1"/>
  <c r="L229" i="1"/>
  <c r="M229" i="1" s="1"/>
  <c r="J229" i="1"/>
  <c r="L53" i="1"/>
  <c r="M53" i="1" s="1"/>
  <c r="J53" i="1"/>
  <c r="L181" i="1"/>
  <c r="O181" i="1" s="1"/>
  <c r="J181" i="1"/>
  <c r="J37" i="1"/>
  <c r="L37" i="1"/>
  <c r="O105" i="1"/>
  <c r="P105" i="1" s="1"/>
  <c r="M105" i="1"/>
  <c r="O256" i="1"/>
  <c r="M256" i="1"/>
  <c r="M230" i="1"/>
  <c r="O230" i="1"/>
  <c r="R230" i="1" s="1"/>
  <c r="J56" i="1"/>
  <c r="L56" i="1"/>
  <c r="S164" i="1"/>
  <c r="J231" i="1"/>
  <c r="L231" i="1"/>
  <c r="L238" i="1"/>
  <c r="O238" i="1" s="1"/>
  <c r="R238" i="1" s="1"/>
  <c r="J238" i="1"/>
  <c r="P41" i="1"/>
  <c r="L72" i="1"/>
  <c r="M72" i="1" s="1"/>
  <c r="J72" i="1"/>
  <c r="L273" i="1"/>
  <c r="M273" i="1" s="1"/>
  <c r="J273" i="1"/>
  <c r="L35" i="1"/>
  <c r="O35" i="1" s="1"/>
  <c r="J35" i="1"/>
  <c r="L94" i="1"/>
  <c r="O94" i="1" s="1"/>
  <c r="J94" i="1"/>
  <c r="J140" i="1"/>
  <c r="L140" i="1"/>
  <c r="M140" i="1" s="1"/>
  <c r="J154" i="1"/>
  <c r="L154" i="1"/>
  <c r="M154" i="1" s="1"/>
  <c r="I65" i="1"/>
  <c r="F228" i="1"/>
  <c r="G228" i="1" s="1"/>
  <c r="G262" i="1"/>
  <c r="G12" i="1"/>
  <c r="G26" i="1"/>
  <c r="I34" i="1"/>
  <c r="I57" i="1"/>
  <c r="L57" i="1" s="1"/>
  <c r="G72" i="1"/>
  <c r="I74" i="1"/>
  <c r="L74" i="1" s="1"/>
  <c r="I78" i="1"/>
  <c r="J78" i="1" s="1"/>
  <c r="I101" i="1"/>
  <c r="J101" i="1" s="1"/>
  <c r="O107" i="1"/>
  <c r="R107" i="1" s="1"/>
  <c r="I111" i="1"/>
  <c r="O149" i="1"/>
  <c r="P149" i="1" s="1"/>
  <c r="G154" i="1"/>
  <c r="F175" i="1"/>
  <c r="G175" i="1" s="1"/>
  <c r="J191" i="1"/>
  <c r="I200" i="1"/>
  <c r="G223" i="1"/>
  <c r="I233" i="1"/>
  <c r="F257" i="1"/>
  <c r="F249" i="1" s="1"/>
  <c r="G249" i="1" s="1"/>
  <c r="F263" i="1"/>
  <c r="G263" i="1" s="1"/>
  <c r="I272" i="1"/>
  <c r="L272" i="1" s="1"/>
  <c r="M272" i="1" s="1"/>
  <c r="G27" i="1"/>
  <c r="M144" i="1"/>
  <c r="G264" i="1"/>
  <c r="F93" i="1"/>
  <c r="G93" i="1" s="1"/>
  <c r="I162" i="1"/>
  <c r="G258" i="1"/>
  <c r="J41" i="1"/>
  <c r="G170" i="1"/>
  <c r="I252" i="1"/>
  <c r="L252" i="1" s="1"/>
  <c r="M252" i="1" s="1"/>
  <c r="I62" i="1"/>
  <c r="L62" i="1" s="1"/>
  <c r="O62" i="1" s="1"/>
  <c r="P62" i="1" s="1"/>
  <c r="J144" i="1"/>
  <c r="G163" i="1"/>
  <c r="I219" i="1"/>
  <c r="J219" i="1" s="1"/>
  <c r="L16" i="1"/>
  <c r="O16" i="1" s="1"/>
  <c r="R16" i="1" s="1"/>
  <c r="G35" i="1"/>
  <c r="G87" i="1"/>
  <c r="I120" i="1"/>
  <c r="J120" i="1" s="1"/>
  <c r="I214" i="1"/>
  <c r="G226" i="1"/>
  <c r="J230" i="1"/>
  <c r="J9" i="1"/>
  <c r="I29" i="1"/>
  <c r="I28" i="1" s="1"/>
  <c r="I40" i="1"/>
  <c r="I39" i="1" s="1"/>
  <c r="J39" i="1" s="1"/>
  <c r="G48" i="1"/>
  <c r="F52" i="1"/>
  <c r="G52" i="1" s="1"/>
  <c r="G73" i="1"/>
  <c r="G94" i="1"/>
  <c r="I134" i="1"/>
  <c r="J134" i="1" s="1"/>
  <c r="G136" i="1"/>
  <c r="R144" i="1"/>
  <c r="S144" i="1" s="1"/>
  <c r="I160" i="1"/>
  <c r="G178" i="1"/>
  <c r="G186" i="1"/>
  <c r="G193" i="1"/>
  <c r="G217" i="1"/>
  <c r="I226" i="1"/>
  <c r="J226" i="1" s="1"/>
  <c r="G235" i="1"/>
  <c r="I237" i="1"/>
  <c r="I247" i="1"/>
  <c r="L247" i="1" s="1"/>
  <c r="G259" i="1"/>
  <c r="L264" i="1"/>
  <c r="M264" i="1" s="1"/>
  <c r="I104" i="1"/>
  <c r="J104" i="1" s="1"/>
  <c r="I148" i="1"/>
  <c r="I18" i="1"/>
  <c r="I17" i="1" s="1"/>
  <c r="J17" i="1" s="1"/>
  <c r="G68" i="1"/>
  <c r="F99" i="1"/>
  <c r="G99" i="1" s="1"/>
  <c r="G118" i="1"/>
  <c r="I124" i="1"/>
  <c r="L124" i="1" s="1"/>
  <c r="I143" i="1"/>
  <c r="G164" i="1"/>
  <c r="G205" i="1"/>
  <c r="J217" i="1"/>
  <c r="F222" i="1"/>
  <c r="G222" i="1" s="1"/>
  <c r="G256" i="1"/>
  <c r="J259" i="1"/>
  <c r="J207" i="1"/>
  <c r="G243" i="1"/>
  <c r="G63" i="1"/>
  <c r="I77" i="1"/>
  <c r="J77" i="1" s="1"/>
  <c r="I80" i="1"/>
  <c r="J80" i="1" s="1"/>
  <c r="J118" i="1"/>
  <c r="G171" i="1"/>
  <c r="I174" i="1"/>
  <c r="G190" i="1"/>
  <c r="F211" i="1"/>
  <c r="I253" i="1"/>
  <c r="L253" i="1" s="1"/>
  <c r="O253" i="1" s="1"/>
  <c r="I257" i="1"/>
  <c r="G56" i="1"/>
  <c r="G104" i="1"/>
  <c r="I123" i="1"/>
  <c r="L123" i="1" s="1"/>
  <c r="G255" i="1"/>
  <c r="G278" i="1"/>
  <c r="G32" i="1"/>
  <c r="M41" i="1"/>
  <c r="G148" i="1"/>
  <c r="G147" i="1" s="1"/>
  <c r="I176" i="1"/>
  <c r="L196" i="1"/>
  <c r="G230" i="1"/>
  <c r="J255" i="1"/>
  <c r="L32" i="1"/>
  <c r="L224" i="1"/>
  <c r="F24" i="1"/>
  <c r="G24" i="1" s="1"/>
  <c r="G37" i="1"/>
  <c r="L63" i="1"/>
  <c r="O63" i="1" s="1"/>
  <c r="P63" i="1" s="1"/>
  <c r="G142" i="1"/>
  <c r="I177" i="1"/>
  <c r="F208" i="1"/>
  <c r="G208" i="1" s="1"/>
  <c r="G213" i="1"/>
  <c r="G211" i="1" s="1"/>
  <c r="I221" i="1"/>
  <c r="G238" i="1"/>
  <c r="G248" i="1"/>
  <c r="G265" i="1"/>
  <c r="F271" i="1"/>
  <c r="G271" i="1" s="1"/>
  <c r="M182" i="1"/>
  <c r="G196" i="1"/>
  <c r="G273" i="1"/>
  <c r="I173" i="1"/>
  <c r="L173" i="1" s="1"/>
  <c r="I46" i="1"/>
  <c r="L46" i="1" s="1"/>
  <c r="O46" i="1" s="1"/>
  <c r="G107" i="1"/>
  <c r="G116" i="1"/>
  <c r="F151" i="1"/>
  <c r="G151" i="1" s="1"/>
  <c r="I213" i="1"/>
  <c r="G218" i="1"/>
  <c r="G229" i="1"/>
  <c r="G231" i="1"/>
  <c r="J248" i="1"/>
  <c r="I254" i="1"/>
  <c r="L254" i="1" s="1"/>
  <c r="I152" i="1"/>
  <c r="G266" i="1"/>
  <c r="I42" i="1"/>
  <c r="L42" i="1" s="1"/>
  <c r="O42" i="1" s="1"/>
  <c r="J107" i="1"/>
  <c r="O125" i="1"/>
  <c r="R125" i="1" s="1"/>
  <c r="I135" i="1"/>
  <c r="J149" i="1"/>
  <c r="I158" i="1"/>
  <c r="I261" i="1"/>
  <c r="M16" i="1"/>
  <c r="I60" i="1"/>
  <c r="G60" i="1"/>
  <c r="L70" i="1"/>
  <c r="J70" i="1"/>
  <c r="J55" i="1"/>
  <c r="L55" i="1"/>
  <c r="L43" i="1"/>
  <c r="J43" i="1"/>
  <c r="L66" i="1"/>
  <c r="J66" i="1"/>
  <c r="M9" i="1"/>
  <c r="L30" i="1"/>
  <c r="J30" i="1"/>
  <c r="L31" i="1"/>
  <c r="J31" i="1"/>
  <c r="G38" i="1"/>
  <c r="F36" i="1"/>
  <c r="G36" i="1" s="1"/>
  <c r="G43" i="1"/>
  <c r="M27" i="1"/>
  <c r="O27" i="1"/>
  <c r="G31" i="1"/>
  <c r="I38" i="1"/>
  <c r="J26" i="1"/>
  <c r="L26" i="1"/>
  <c r="J57" i="1"/>
  <c r="M68" i="1"/>
  <c r="O68" i="1"/>
  <c r="J27" i="1"/>
  <c r="O12" i="1"/>
  <c r="M12" i="1"/>
  <c r="G13" i="1"/>
  <c r="I13" i="1"/>
  <c r="F11" i="1"/>
  <c r="L54" i="1"/>
  <c r="I52" i="1"/>
  <c r="I22" i="1"/>
  <c r="I20" i="1" s="1"/>
  <c r="F20" i="1"/>
  <c r="G20" i="1" s="1"/>
  <c r="L48" i="1"/>
  <c r="J48" i="1"/>
  <c r="L19" i="1"/>
  <c r="J19" i="1"/>
  <c r="G25" i="1"/>
  <c r="I25" i="1"/>
  <c r="I8" i="1"/>
  <c r="G15" i="1"/>
  <c r="G16" i="1"/>
  <c r="L49" i="1"/>
  <c r="I58" i="1"/>
  <c r="I79" i="1"/>
  <c r="L120" i="1"/>
  <c r="I15" i="1"/>
  <c r="L73" i="1"/>
  <c r="J73" i="1"/>
  <c r="I85" i="1"/>
  <c r="G85" i="1"/>
  <c r="I161" i="1"/>
  <c r="G161" i="1"/>
  <c r="L87" i="1"/>
  <c r="J87" i="1"/>
  <c r="I119" i="1"/>
  <c r="G119" i="1"/>
  <c r="J12" i="1"/>
  <c r="G30" i="1"/>
  <c r="I82" i="1"/>
  <c r="G82" i="1"/>
  <c r="L90" i="1"/>
  <c r="J90" i="1"/>
  <c r="I117" i="1"/>
  <c r="F28" i="1"/>
  <c r="G28" i="1" s="1"/>
  <c r="L59" i="1"/>
  <c r="J59" i="1"/>
  <c r="G69" i="1"/>
  <c r="F67" i="1"/>
  <c r="G67" i="1" s="1"/>
  <c r="I138" i="1"/>
  <c r="G138" i="1"/>
  <c r="G137" i="1"/>
  <c r="F133" i="1"/>
  <c r="I137" i="1"/>
  <c r="I159" i="1"/>
  <c r="G159" i="1"/>
  <c r="F157" i="1"/>
  <c r="F7" i="1"/>
  <c r="G19" i="1"/>
  <c r="G39" i="1"/>
  <c r="J42" i="1"/>
  <c r="G59" i="1"/>
  <c r="I69" i="1"/>
  <c r="J76" i="1"/>
  <c r="L76" i="1"/>
  <c r="G95" i="1"/>
  <c r="I95" i="1"/>
  <c r="I93" i="1" s="1"/>
  <c r="I121" i="1"/>
  <c r="G121" i="1"/>
  <c r="G64" i="1"/>
  <c r="I64" i="1"/>
  <c r="L71" i="1"/>
  <c r="J71" i="1"/>
  <c r="I122" i="1"/>
  <c r="G122" i="1"/>
  <c r="F169" i="1"/>
  <c r="G169" i="1" s="1"/>
  <c r="I172" i="1"/>
  <c r="G172" i="1"/>
  <c r="M96" i="1"/>
  <c r="F109" i="1"/>
  <c r="G109" i="1" s="1"/>
  <c r="G110" i="1"/>
  <c r="I110" i="1"/>
  <c r="G33" i="1"/>
  <c r="G55" i="1"/>
  <c r="G114" i="1"/>
  <c r="I114" i="1"/>
  <c r="L33" i="1"/>
  <c r="S50" i="1"/>
  <c r="R49" i="1"/>
  <c r="S49" i="1" s="1"/>
  <c r="J68" i="1"/>
  <c r="L102" i="1"/>
  <c r="J102" i="1"/>
  <c r="L116" i="1"/>
  <c r="I75" i="1"/>
  <c r="G75" i="1"/>
  <c r="S166" i="1"/>
  <c r="L91" i="1"/>
  <c r="J91" i="1"/>
  <c r="G66" i="1"/>
  <c r="I83" i="1"/>
  <c r="G83" i="1"/>
  <c r="F89" i="1"/>
  <c r="G89" i="1" s="1"/>
  <c r="G91" i="1"/>
  <c r="G100" i="1"/>
  <c r="G102" i="1"/>
  <c r="G125" i="1"/>
  <c r="G141" i="1"/>
  <c r="I141" i="1"/>
  <c r="I145" i="1"/>
  <c r="G145" i="1"/>
  <c r="P165" i="1"/>
  <c r="S165" i="1"/>
  <c r="I100" i="1"/>
  <c r="J125" i="1"/>
  <c r="J167" i="1"/>
  <c r="M167" i="1"/>
  <c r="I115" i="1"/>
  <c r="G115" i="1"/>
  <c r="O118" i="1"/>
  <c r="M118" i="1"/>
  <c r="I194" i="1"/>
  <c r="G194" i="1"/>
  <c r="F112" i="1"/>
  <c r="G112" i="1" s="1"/>
  <c r="I180" i="1"/>
  <c r="G180" i="1"/>
  <c r="I113" i="1"/>
  <c r="G146" i="1"/>
  <c r="I150" i="1"/>
  <c r="G150" i="1"/>
  <c r="L178" i="1"/>
  <c r="J178" i="1"/>
  <c r="O185" i="1"/>
  <c r="M185" i="1"/>
  <c r="L136" i="1"/>
  <c r="O142" i="1"/>
  <c r="J164" i="1"/>
  <c r="J185" i="1"/>
  <c r="L190" i="1"/>
  <c r="J190" i="1"/>
  <c r="L199" i="1"/>
  <c r="J199" i="1"/>
  <c r="G76" i="1"/>
  <c r="G105" i="1"/>
  <c r="L163" i="1"/>
  <c r="M164" i="1"/>
  <c r="G199" i="1"/>
  <c r="L134" i="1"/>
  <c r="L158" i="1"/>
  <c r="J158" i="1"/>
  <c r="P164" i="1"/>
  <c r="I155" i="1"/>
  <c r="J170" i="1"/>
  <c r="R182" i="1"/>
  <c r="P182" i="1"/>
  <c r="I184" i="1"/>
  <c r="G184" i="1"/>
  <c r="I179" i="1"/>
  <c r="G179" i="1"/>
  <c r="F188" i="1"/>
  <c r="G234" i="1"/>
  <c r="I234" i="1"/>
  <c r="F232" i="1"/>
  <c r="G232" i="1" s="1"/>
  <c r="M170" i="1"/>
  <c r="L193" i="1"/>
  <c r="O170" i="1"/>
  <c r="I204" i="1"/>
  <c r="G204" i="1"/>
  <c r="F202" i="1"/>
  <c r="I216" i="1"/>
  <c r="G216" i="1"/>
  <c r="R186" i="1"/>
  <c r="S186" i="1" s="1"/>
  <c r="P186" i="1"/>
  <c r="M165" i="1"/>
  <c r="P166" i="1"/>
  <c r="S167" i="1"/>
  <c r="M186" i="1"/>
  <c r="O212" i="1"/>
  <c r="M212" i="1"/>
  <c r="P227" i="1"/>
  <c r="R227" i="1"/>
  <c r="J235" i="1"/>
  <c r="L235" i="1"/>
  <c r="J182" i="1"/>
  <c r="J186" i="1"/>
  <c r="P238" i="1"/>
  <c r="S255" i="1"/>
  <c r="G191" i="1"/>
  <c r="I198" i="1"/>
  <c r="I206" i="1"/>
  <c r="G206" i="1"/>
  <c r="I222" i="1"/>
  <c r="J222" i="1" s="1"/>
  <c r="M247" i="1"/>
  <c r="O247" i="1"/>
  <c r="O191" i="1"/>
  <c r="M244" i="1"/>
  <c r="O248" i="1"/>
  <c r="M248" i="1"/>
  <c r="I215" i="1"/>
  <c r="G215" i="1"/>
  <c r="R259" i="1"/>
  <c r="P259" i="1"/>
  <c r="G203" i="1"/>
  <c r="I203" i="1"/>
  <c r="M239" i="1"/>
  <c r="O239" i="1"/>
  <c r="R267" i="1"/>
  <c r="P267" i="1"/>
  <c r="R242" i="1"/>
  <c r="P242" i="1"/>
  <c r="O246" i="1"/>
  <c r="M246" i="1"/>
  <c r="I192" i="1"/>
  <c r="G192" i="1"/>
  <c r="L205" i="1"/>
  <c r="J205" i="1"/>
  <c r="J243" i="1"/>
  <c r="L243" i="1"/>
  <c r="I195" i="1"/>
  <c r="G195" i="1"/>
  <c r="P258" i="1"/>
  <c r="O257" i="1"/>
  <c r="R258" i="1"/>
  <c r="M217" i="1"/>
  <c r="O217" i="1"/>
  <c r="O207" i="1"/>
  <c r="M227" i="1"/>
  <c r="J239" i="1"/>
  <c r="L245" i="1"/>
  <c r="P274" i="1"/>
  <c r="I236" i="1"/>
  <c r="J223" i="1"/>
  <c r="G224" i="1"/>
  <c r="J237" i="1"/>
  <c r="F240" i="1"/>
  <c r="G240" i="1" s="1"/>
  <c r="G241" i="1"/>
  <c r="G242" i="1"/>
  <c r="J267" i="1"/>
  <c r="L278" i="1"/>
  <c r="I209" i="1"/>
  <c r="I210" i="1"/>
  <c r="L223" i="1"/>
  <c r="L237" i="1"/>
  <c r="I241" i="1"/>
  <c r="J242" i="1"/>
  <c r="J256" i="1"/>
  <c r="M267" i="1"/>
  <c r="I270" i="1"/>
  <c r="J252" i="1"/>
  <c r="M255" i="1"/>
  <c r="I269" i="1"/>
  <c r="G269" i="1"/>
  <c r="J247" i="1"/>
  <c r="I250" i="1"/>
  <c r="G251" i="1"/>
  <c r="P255" i="1"/>
  <c r="L257" i="1"/>
  <c r="J258" i="1"/>
  <c r="M259" i="1"/>
  <c r="L262" i="1"/>
  <c r="J262" i="1"/>
  <c r="L265" i="1"/>
  <c r="L266" i="1"/>
  <c r="I225" i="1"/>
  <c r="J225" i="1" s="1"/>
  <c r="L251" i="1"/>
  <c r="M258" i="1"/>
  <c r="J274" i="1"/>
  <c r="L218" i="1"/>
  <c r="J227" i="1"/>
  <c r="F236" i="1"/>
  <c r="G236" i="1" s="1"/>
  <c r="G239" i="1"/>
  <c r="G245" i="1"/>
  <c r="I263" i="1"/>
  <c r="I268" i="1"/>
  <c r="O140" i="1" l="1"/>
  <c r="P140" i="1" s="1"/>
  <c r="J254" i="1"/>
  <c r="L226" i="1"/>
  <c r="O226" i="1" s="1"/>
  <c r="M257" i="1"/>
  <c r="O88" i="1"/>
  <c r="L86" i="1"/>
  <c r="R105" i="1"/>
  <c r="J124" i="1"/>
  <c r="O72" i="1"/>
  <c r="L21" i="1"/>
  <c r="M238" i="1"/>
  <c r="L78" i="1"/>
  <c r="M78" i="1" s="1"/>
  <c r="J88" i="1"/>
  <c r="J272" i="1"/>
  <c r="J183" i="1"/>
  <c r="L187" i="1"/>
  <c r="O187" i="1" s="1"/>
  <c r="R187" i="1" s="1"/>
  <c r="L139" i="1"/>
  <c r="M139" i="1" s="1"/>
  <c r="J47" i="1"/>
  <c r="L84" i="1"/>
  <c r="M84" i="1" s="1"/>
  <c r="O229" i="1"/>
  <c r="M47" i="1"/>
  <c r="J74" i="1"/>
  <c r="R106" i="1"/>
  <c r="P106" i="1"/>
  <c r="I67" i="1"/>
  <c r="J67" i="1" s="1"/>
  <c r="F45" i="1"/>
  <c r="G45" i="1" s="1"/>
  <c r="J197" i="1"/>
  <c r="J106" i="1"/>
  <c r="F92" i="1"/>
  <c r="G92" i="1" s="1"/>
  <c r="R63" i="1"/>
  <c r="S63" i="1" s="1"/>
  <c r="L219" i="1"/>
  <c r="M219" i="1" s="1"/>
  <c r="L80" i="1"/>
  <c r="O80" i="1" s="1"/>
  <c r="M106" i="1"/>
  <c r="M63" i="1"/>
  <c r="M187" i="1"/>
  <c r="O171" i="1"/>
  <c r="R171" i="1" s="1"/>
  <c r="M94" i="1"/>
  <c r="J244" i="1"/>
  <c r="L77" i="1"/>
  <c r="O77" i="1" s="1"/>
  <c r="I211" i="1"/>
  <c r="I175" i="1"/>
  <c r="J175" i="1" s="1"/>
  <c r="L156" i="1"/>
  <c r="M156" i="1" s="1"/>
  <c r="R197" i="1"/>
  <c r="J253" i="1"/>
  <c r="M253" i="1"/>
  <c r="P16" i="1"/>
  <c r="M181" i="1"/>
  <c r="L81" i="1"/>
  <c r="J81" i="1"/>
  <c r="P187" i="1"/>
  <c r="M98" i="1"/>
  <c r="M35" i="1"/>
  <c r="O98" i="1"/>
  <c r="R98" i="1" s="1"/>
  <c r="J212" i="1"/>
  <c r="M197" i="1"/>
  <c r="O196" i="1"/>
  <c r="M196" i="1"/>
  <c r="L111" i="1"/>
  <c r="J111" i="1"/>
  <c r="P230" i="1"/>
  <c r="L228" i="1"/>
  <c r="M228" i="1" s="1"/>
  <c r="L104" i="1"/>
  <c r="M104" i="1" s="1"/>
  <c r="M46" i="1"/>
  <c r="J213" i="1"/>
  <c r="L213" i="1"/>
  <c r="J257" i="1"/>
  <c r="L29" i="1"/>
  <c r="J29" i="1"/>
  <c r="O272" i="1"/>
  <c r="O273" i="1"/>
  <c r="G220" i="1"/>
  <c r="I271" i="1"/>
  <c r="J271" i="1" s="1"/>
  <c r="J89" i="1"/>
  <c r="J46" i="1"/>
  <c r="I133" i="1"/>
  <c r="J133" i="1" s="1"/>
  <c r="L135" i="1"/>
  <c r="J135" i="1"/>
  <c r="L221" i="1"/>
  <c r="J221" i="1"/>
  <c r="L18" i="1"/>
  <c r="J18" i="1"/>
  <c r="J236" i="1"/>
  <c r="G189" i="1"/>
  <c r="G188" i="1" s="1"/>
  <c r="L52" i="1"/>
  <c r="M52" i="1" s="1"/>
  <c r="L233" i="1"/>
  <c r="J233" i="1"/>
  <c r="S41" i="1"/>
  <c r="R256" i="1"/>
  <c r="P256" i="1"/>
  <c r="O56" i="1"/>
  <c r="M56" i="1"/>
  <c r="L65" i="1"/>
  <c r="J65" i="1"/>
  <c r="R62" i="1"/>
  <c r="S62" i="1" s="1"/>
  <c r="L271" i="1"/>
  <c r="J176" i="1"/>
  <c r="O154" i="1"/>
  <c r="R154" i="1" s="1"/>
  <c r="O53" i="1"/>
  <c r="R53" i="1" s="1"/>
  <c r="L143" i="1"/>
  <c r="J143" i="1"/>
  <c r="J211" i="1"/>
  <c r="O84" i="1"/>
  <c r="F201" i="1"/>
  <c r="J228" i="1"/>
  <c r="J173" i="1"/>
  <c r="L176" i="1"/>
  <c r="M176" i="1" s="1"/>
  <c r="P125" i="1"/>
  <c r="R149" i="1"/>
  <c r="J261" i="1"/>
  <c r="I260" i="1"/>
  <c r="J260" i="1" s="1"/>
  <c r="L261" i="1"/>
  <c r="L260" i="1" s="1"/>
  <c r="M260" i="1" s="1"/>
  <c r="G257" i="1"/>
  <c r="J200" i="1"/>
  <c r="L200" i="1"/>
  <c r="O264" i="1"/>
  <c r="L101" i="1"/>
  <c r="O101" i="1" s="1"/>
  <c r="J62" i="1"/>
  <c r="I151" i="1"/>
  <c r="J151" i="1" s="1"/>
  <c r="L152" i="1"/>
  <c r="J152" i="1"/>
  <c r="O252" i="1"/>
  <c r="R252" i="1" s="1"/>
  <c r="P107" i="1"/>
  <c r="I103" i="1"/>
  <c r="J103" i="1" s="1"/>
  <c r="M62" i="1"/>
  <c r="J123" i="1"/>
  <c r="M42" i="1"/>
  <c r="O224" i="1"/>
  <c r="M224" i="1"/>
  <c r="J162" i="1"/>
  <c r="L162" i="1"/>
  <c r="L34" i="1"/>
  <c r="J34" i="1"/>
  <c r="O231" i="1"/>
  <c r="O228" i="1" s="1"/>
  <c r="M231" i="1"/>
  <c r="O37" i="1"/>
  <c r="M37" i="1"/>
  <c r="L148" i="1"/>
  <c r="I147" i="1"/>
  <c r="J148" i="1"/>
  <c r="J160" i="1"/>
  <c r="L160" i="1"/>
  <c r="L174" i="1"/>
  <c r="J174" i="1"/>
  <c r="L214" i="1"/>
  <c r="J214" i="1"/>
  <c r="L177" i="1"/>
  <c r="L175" i="1" s="1"/>
  <c r="M175" i="1" s="1"/>
  <c r="J177" i="1"/>
  <c r="J263" i="1"/>
  <c r="L263" i="1"/>
  <c r="M263" i="1" s="1"/>
  <c r="I157" i="1"/>
  <c r="J157" i="1" s="1"/>
  <c r="O32" i="1"/>
  <c r="M32" i="1"/>
  <c r="L40" i="1"/>
  <c r="J40" i="1"/>
  <c r="L222" i="1"/>
  <c r="M223" i="1"/>
  <c r="O223" i="1"/>
  <c r="L268" i="1"/>
  <c r="J268" i="1"/>
  <c r="S259" i="1"/>
  <c r="O262" i="1"/>
  <c r="M262" i="1"/>
  <c r="R273" i="1"/>
  <c r="P68" i="1"/>
  <c r="R68" i="1"/>
  <c r="L195" i="1"/>
  <c r="J195" i="1"/>
  <c r="S238" i="1"/>
  <c r="L234" i="1"/>
  <c r="I232" i="1"/>
  <c r="J234" i="1"/>
  <c r="J184" i="1"/>
  <c r="L184" i="1"/>
  <c r="M178" i="1"/>
  <c r="O178" i="1"/>
  <c r="J75" i="1"/>
  <c r="L75" i="1"/>
  <c r="L172" i="1"/>
  <c r="J172" i="1"/>
  <c r="L64" i="1"/>
  <c r="J64" i="1"/>
  <c r="J28" i="1"/>
  <c r="M183" i="1"/>
  <c r="O183" i="1"/>
  <c r="M80" i="1"/>
  <c r="R72" i="1"/>
  <c r="S72" i="1" s="1"/>
  <c r="P72" i="1"/>
  <c r="M243" i="1"/>
  <c r="O243" i="1"/>
  <c r="L192" i="1"/>
  <c r="J192" i="1"/>
  <c r="R239" i="1"/>
  <c r="P239" i="1"/>
  <c r="L215" i="1"/>
  <c r="J215" i="1"/>
  <c r="P244" i="1"/>
  <c r="R244" i="1"/>
  <c r="M158" i="1"/>
  <c r="O158" i="1"/>
  <c r="O163" i="1"/>
  <c r="M163" i="1"/>
  <c r="O190" i="1"/>
  <c r="M190" i="1"/>
  <c r="L113" i="1"/>
  <c r="J113" i="1"/>
  <c r="I112" i="1"/>
  <c r="J112" i="1" s="1"/>
  <c r="J115" i="1"/>
  <c r="L115" i="1"/>
  <c r="M21" i="1"/>
  <c r="O21" i="1"/>
  <c r="J38" i="1"/>
  <c r="L38" i="1"/>
  <c r="O254" i="1"/>
  <c r="M254" i="1"/>
  <c r="R88" i="1"/>
  <c r="S88" i="1" s="1"/>
  <c r="P88" i="1"/>
  <c r="L117" i="1"/>
  <c r="J117" i="1"/>
  <c r="M123" i="1"/>
  <c r="O123" i="1"/>
  <c r="P42" i="1"/>
  <c r="R42" i="1"/>
  <c r="M30" i="1"/>
  <c r="O30" i="1"/>
  <c r="R27" i="1"/>
  <c r="P27" i="1"/>
  <c r="O70" i="1"/>
  <c r="M70" i="1"/>
  <c r="L250" i="1"/>
  <c r="J250" i="1"/>
  <c r="I249" i="1"/>
  <c r="J249" i="1" s="1"/>
  <c r="J210" i="1"/>
  <c r="L210" i="1"/>
  <c r="F220" i="1"/>
  <c r="R246" i="1"/>
  <c r="P246" i="1"/>
  <c r="L198" i="1"/>
  <c r="J198" i="1"/>
  <c r="R170" i="1"/>
  <c r="P170" i="1"/>
  <c r="O176" i="1"/>
  <c r="J179" i="1"/>
  <c r="L179" i="1"/>
  <c r="M116" i="1"/>
  <c r="O116" i="1"/>
  <c r="J110" i="1"/>
  <c r="I109" i="1"/>
  <c r="J109" i="1" s="1"/>
  <c r="L110" i="1"/>
  <c r="M86" i="1"/>
  <c r="O86" i="1"/>
  <c r="M76" i="1"/>
  <c r="O76" i="1"/>
  <c r="P98" i="1"/>
  <c r="L119" i="1"/>
  <c r="J119" i="1"/>
  <c r="S105" i="1"/>
  <c r="L58" i="1"/>
  <c r="J58" i="1"/>
  <c r="R35" i="1"/>
  <c r="P35" i="1"/>
  <c r="S182" i="1"/>
  <c r="L138" i="1"/>
  <c r="J138" i="1"/>
  <c r="M251" i="1"/>
  <c r="O251" i="1"/>
  <c r="M91" i="1"/>
  <c r="O91" i="1"/>
  <c r="O33" i="1"/>
  <c r="M33" i="1"/>
  <c r="F6" i="1"/>
  <c r="G6" i="1" s="1"/>
  <c r="G7" i="1"/>
  <c r="S16" i="1"/>
  <c r="M271" i="1"/>
  <c r="L209" i="1"/>
  <c r="J209" i="1"/>
  <c r="I208" i="1"/>
  <c r="J208" i="1" s="1"/>
  <c r="O235" i="1"/>
  <c r="M235" i="1"/>
  <c r="I169" i="1"/>
  <c r="J169" i="1" s="1"/>
  <c r="R142" i="1"/>
  <c r="P142" i="1"/>
  <c r="S107" i="1"/>
  <c r="G157" i="1"/>
  <c r="G153" i="1" s="1"/>
  <c r="M49" i="1"/>
  <c r="P49" i="1"/>
  <c r="M43" i="1"/>
  <c r="O43" i="1"/>
  <c r="J60" i="1"/>
  <c r="L60" i="1"/>
  <c r="P12" i="1"/>
  <c r="R12" i="1"/>
  <c r="L270" i="1"/>
  <c r="J270" i="1"/>
  <c r="R217" i="1"/>
  <c r="P217" i="1"/>
  <c r="L206" i="1"/>
  <c r="J206" i="1"/>
  <c r="M173" i="1"/>
  <c r="O173" i="1"/>
  <c r="L121" i="1"/>
  <c r="J121" i="1"/>
  <c r="M124" i="1"/>
  <c r="O124" i="1"/>
  <c r="J20" i="1"/>
  <c r="O66" i="1"/>
  <c r="M66" i="1"/>
  <c r="M266" i="1"/>
  <c r="O266" i="1"/>
  <c r="O278" i="1"/>
  <c r="M278" i="1"/>
  <c r="S258" i="1"/>
  <c r="R257" i="1"/>
  <c r="I202" i="1"/>
  <c r="L203" i="1"/>
  <c r="J203" i="1"/>
  <c r="S230" i="1"/>
  <c r="O134" i="1"/>
  <c r="M134" i="1"/>
  <c r="O136" i="1"/>
  <c r="M136" i="1"/>
  <c r="L150" i="1"/>
  <c r="J150" i="1"/>
  <c r="M102" i="1"/>
  <c r="O102" i="1"/>
  <c r="S125" i="1"/>
  <c r="L69" i="1"/>
  <c r="J69" i="1"/>
  <c r="L159" i="1"/>
  <c r="J159" i="1"/>
  <c r="O90" i="1"/>
  <c r="M90" i="1"/>
  <c r="L89" i="1"/>
  <c r="M89" i="1" s="1"/>
  <c r="J85" i="1"/>
  <c r="L85" i="1"/>
  <c r="O19" i="1"/>
  <c r="M19" i="1"/>
  <c r="J52" i="1"/>
  <c r="I45" i="1"/>
  <c r="O265" i="1"/>
  <c r="O263" i="1" s="1"/>
  <c r="P263" i="1" s="1"/>
  <c r="M265" i="1"/>
  <c r="P257" i="1"/>
  <c r="S242" i="1"/>
  <c r="G202" i="1"/>
  <c r="G201" i="1" s="1"/>
  <c r="R191" i="1"/>
  <c r="P191" i="1"/>
  <c r="S227" i="1"/>
  <c r="O193" i="1"/>
  <c r="M193" i="1"/>
  <c r="F153" i="1"/>
  <c r="R229" i="1"/>
  <c r="P229" i="1"/>
  <c r="J180" i="1"/>
  <c r="L180" i="1"/>
  <c r="L114" i="1"/>
  <c r="J114" i="1"/>
  <c r="S106" i="1"/>
  <c r="L122" i="1"/>
  <c r="J122" i="1"/>
  <c r="I36" i="1"/>
  <c r="J36" i="1" s="1"/>
  <c r="M54" i="1"/>
  <c r="O54" i="1"/>
  <c r="O57" i="1"/>
  <c r="M57" i="1"/>
  <c r="P46" i="1"/>
  <c r="R46" i="1"/>
  <c r="M245" i="1"/>
  <c r="O245" i="1"/>
  <c r="R272" i="1"/>
  <c r="P272" i="1"/>
  <c r="L216" i="1"/>
  <c r="J216" i="1"/>
  <c r="L155" i="1"/>
  <c r="J155" i="1"/>
  <c r="R185" i="1"/>
  <c r="P185" i="1"/>
  <c r="L194" i="1"/>
  <c r="J194" i="1"/>
  <c r="L145" i="1"/>
  <c r="J145" i="1"/>
  <c r="J83" i="1"/>
  <c r="L83" i="1"/>
  <c r="P94" i="1"/>
  <c r="R94" i="1"/>
  <c r="O71" i="1"/>
  <c r="M71" i="1"/>
  <c r="L137" i="1"/>
  <c r="J137" i="1"/>
  <c r="O59" i="1"/>
  <c r="M59" i="1"/>
  <c r="L82" i="1"/>
  <c r="J82" i="1"/>
  <c r="O87" i="1"/>
  <c r="M87" i="1"/>
  <c r="M73" i="1"/>
  <c r="O73" i="1"/>
  <c r="L100" i="1"/>
  <c r="I99" i="1"/>
  <c r="J99" i="1" s="1"/>
  <c r="J100" i="1"/>
  <c r="L141" i="1"/>
  <c r="J141" i="1"/>
  <c r="J93" i="1"/>
  <c r="L95" i="1"/>
  <c r="J95" i="1"/>
  <c r="G133" i="1"/>
  <c r="L15" i="1"/>
  <c r="I14" i="1"/>
  <c r="J14" i="1" s="1"/>
  <c r="J15" i="1"/>
  <c r="M120" i="1"/>
  <c r="O120" i="1"/>
  <c r="O48" i="1"/>
  <c r="M48" i="1"/>
  <c r="O26" i="1"/>
  <c r="M26" i="1"/>
  <c r="S267" i="1"/>
  <c r="P253" i="1"/>
  <c r="R253" i="1"/>
  <c r="R181" i="1"/>
  <c r="P181" i="1"/>
  <c r="O218" i="1"/>
  <c r="M218" i="1"/>
  <c r="L241" i="1"/>
  <c r="J241" i="1"/>
  <c r="I240" i="1"/>
  <c r="J240" i="1" s="1"/>
  <c r="P247" i="1"/>
  <c r="R247" i="1"/>
  <c r="S247" i="1" s="1"/>
  <c r="L161" i="1"/>
  <c r="J161" i="1"/>
  <c r="R47" i="1"/>
  <c r="P47" i="1"/>
  <c r="G11" i="1"/>
  <c r="F10" i="1"/>
  <c r="G10" i="1" s="1"/>
  <c r="O31" i="1"/>
  <c r="M31" i="1"/>
  <c r="M55" i="1"/>
  <c r="O55" i="1"/>
  <c r="F23" i="1"/>
  <c r="G23" i="1" s="1"/>
  <c r="S187" i="1"/>
  <c r="M226" i="1"/>
  <c r="O219" i="1"/>
  <c r="R264" i="1"/>
  <c r="P264" i="1"/>
  <c r="L269" i="1"/>
  <c r="J269" i="1"/>
  <c r="O205" i="1"/>
  <c r="M205" i="1"/>
  <c r="M199" i="1"/>
  <c r="O199" i="1"/>
  <c r="O237" i="1"/>
  <c r="M237" i="1"/>
  <c r="L236" i="1"/>
  <c r="M236" i="1" s="1"/>
  <c r="R207" i="1"/>
  <c r="P207" i="1"/>
  <c r="R248" i="1"/>
  <c r="P248" i="1"/>
  <c r="R212" i="1"/>
  <c r="P212" i="1"/>
  <c r="L204" i="1"/>
  <c r="J204" i="1"/>
  <c r="I189" i="1"/>
  <c r="P118" i="1"/>
  <c r="R118" i="1"/>
  <c r="O74" i="1"/>
  <c r="M74" i="1"/>
  <c r="J79" i="1"/>
  <c r="L79" i="1"/>
  <c r="I7" i="1"/>
  <c r="L8" i="1"/>
  <c r="J8" i="1"/>
  <c r="L25" i="1"/>
  <c r="J25" i="1"/>
  <c r="I24" i="1"/>
  <c r="J22" i="1"/>
  <c r="L22" i="1"/>
  <c r="L20" i="1" s="1"/>
  <c r="M20" i="1" s="1"/>
  <c r="L13" i="1"/>
  <c r="J13" i="1"/>
  <c r="I11" i="1"/>
  <c r="L225" i="1" l="1"/>
  <c r="M225" i="1" s="1"/>
  <c r="P171" i="1"/>
  <c r="R140" i="1"/>
  <c r="S140" i="1" s="1"/>
  <c r="O78" i="1"/>
  <c r="O139" i="1"/>
  <c r="R139" i="1" s="1"/>
  <c r="L103" i="1"/>
  <c r="M103" i="1" s="1"/>
  <c r="P53" i="1"/>
  <c r="O104" i="1"/>
  <c r="O103" i="1" s="1"/>
  <c r="P103" i="1" s="1"/>
  <c r="O96" i="1"/>
  <c r="P96" i="1" s="1"/>
  <c r="F44" i="1"/>
  <c r="G44" i="1" s="1"/>
  <c r="P154" i="1"/>
  <c r="P228" i="1"/>
  <c r="L45" i="1"/>
  <c r="M45" i="1" s="1"/>
  <c r="O156" i="1"/>
  <c r="O271" i="1"/>
  <c r="P271" i="1" s="1"/>
  <c r="S197" i="1"/>
  <c r="M77" i="1"/>
  <c r="M101" i="1"/>
  <c r="P273" i="1"/>
  <c r="O81" i="1"/>
  <c r="M81" i="1"/>
  <c r="I92" i="1"/>
  <c r="J92" i="1" s="1"/>
  <c r="M214" i="1"/>
  <c r="O214" i="1"/>
  <c r="M34" i="1"/>
  <c r="O34" i="1"/>
  <c r="O162" i="1"/>
  <c r="M162" i="1"/>
  <c r="M160" i="1"/>
  <c r="O160" i="1"/>
  <c r="L151" i="1"/>
  <c r="M151" i="1" s="1"/>
  <c r="M152" i="1"/>
  <c r="O152" i="1"/>
  <c r="M233" i="1"/>
  <c r="O233" i="1"/>
  <c r="M221" i="1"/>
  <c r="O221" i="1"/>
  <c r="O213" i="1"/>
  <c r="M213" i="1"/>
  <c r="L211" i="1"/>
  <c r="M211" i="1" s="1"/>
  <c r="L133" i="1"/>
  <c r="M133" i="1" s="1"/>
  <c r="R32" i="1"/>
  <c r="S32" i="1" s="1"/>
  <c r="P32" i="1"/>
  <c r="P231" i="1"/>
  <c r="R231" i="1"/>
  <c r="R228" i="1" s="1"/>
  <c r="S256" i="1"/>
  <c r="O174" i="1"/>
  <c r="M174" i="1"/>
  <c r="M40" i="1"/>
  <c r="L39" i="1"/>
  <c r="M39" i="1" s="1"/>
  <c r="O40" i="1"/>
  <c r="S149" i="1"/>
  <c r="J147" i="1"/>
  <c r="I146" i="1"/>
  <c r="J146" i="1" s="1"/>
  <c r="O148" i="1"/>
  <c r="L147" i="1"/>
  <c r="M147" i="1" s="1"/>
  <c r="M148" i="1"/>
  <c r="R224" i="1"/>
  <c r="P224" i="1"/>
  <c r="M135" i="1"/>
  <c r="O135" i="1"/>
  <c r="F277" i="1"/>
  <c r="F279" i="1" s="1"/>
  <c r="G279" i="1" s="1"/>
  <c r="M65" i="1"/>
  <c r="O65" i="1"/>
  <c r="M111" i="1"/>
  <c r="O111" i="1"/>
  <c r="L28" i="1"/>
  <c r="M28" i="1" s="1"/>
  <c r="P37" i="1"/>
  <c r="R37" i="1"/>
  <c r="O200" i="1"/>
  <c r="M200" i="1"/>
  <c r="P84" i="1"/>
  <c r="R84" i="1"/>
  <c r="M18" i="1"/>
  <c r="L17" i="1"/>
  <c r="M17" i="1" s="1"/>
  <c r="O18" i="1"/>
  <c r="O261" i="1"/>
  <c r="O260" i="1" s="1"/>
  <c r="P260" i="1" s="1"/>
  <c r="M261" i="1"/>
  <c r="M143" i="1"/>
  <c r="O143" i="1"/>
  <c r="O52" i="1"/>
  <c r="P52" i="1" s="1"/>
  <c r="P252" i="1"/>
  <c r="O177" i="1"/>
  <c r="O175" i="1" s="1"/>
  <c r="P175" i="1" s="1"/>
  <c r="M177" i="1"/>
  <c r="R56" i="1"/>
  <c r="P56" i="1"/>
  <c r="O29" i="1"/>
  <c r="M29" i="1"/>
  <c r="R196" i="1"/>
  <c r="P196" i="1"/>
  <c r="R74" i="1"/>
  <c r="P74" i="1"/>
  <c r="R31" i="1"/>
  <c r="P31" i="1"/>
  <c r="S42" i="1"/>
  <c r="M115" i="1"/>
  <c r="O115" i="1"/>
  <c r="M13" i="1"/>
  <c r="O13" i="1"/>
  <c r="L11" i="1"/>
  <c r="S248" i="1"/>
  <c r="R199" i="1"/>
  <c r="P199" i="1"/>
  <c r="R219" i="1"/>
  <c r="P219" i="1"/>
  <c r="M194" i="1"/>
  <c r="O194" i="1"/>
  <c r="J45" i="1"/>
  <c r="I44" i="1"/>
  <c r="J44" i="1" s="1"/>
  <c r="O159" i="1"/>
  <c r="M159" i="1"/>
  <c r="R66" i="1"/>
  <c r="P66" i="1"/>
  <c r="P116" i="1"/>
  <c r="R116" i="1"/>
  <c r="O210" i="1"/>
  <c r="M210" i="1"/>
  <c r="L157" i="1"/>
  <c r="M157" i="1" s="1"/>
  <c r="M192" i="1"/>
  <c r="O192" i="1"/>
  <c r="O189" i="1" s="1"/>
  <c r="O64" i="1"/>
  <c r="M64" i="1"/>
  <c r="R223" i="1"/>
  <c r="O222" i="1"/>
  <c r="P223" i="1"/>
  <c r="S53" i="1"/>
  <c r="O122" i="1"/>
  <c r="M122" i="1"/>
  <c r="S229" i="1"/>
  <c r="S191" i="1"/>
  <c r="M270" i="1"/>
  <c r="O270" i="1"/>
  <c r="R243" i="1"/>
  <c r="P243" i="1"/>
  <c r="O184" i="1"/>
  <c r="M184" i="1"/>
  <c r="S68" i="1"/>
  <c r="S212" i="1"/>
  <c r="P57" i="1"/>
  <c r="R57" i="1"/>
  <c r="R71" i="1"/>
  <c r="P71" i="1"/>
  <c r="R90" i="1"/>
  <c r="P90" i="1"/>
  <c r="O89" i="1"/>
  <c r="P89" i="1" s="1"/>
  <c r="P176" i="1"/>
  <c r="R158" i="1"/>
  <c r="P158" i="1"/>
  <c r="S252" i="1"/>
  <c r="R271" i="1"/>
  <c r="S272" i="1"/>
  <c r="M121" i="1"/>
  <c r="O121" i="1"/>
  <c r="P178" i="1"/>
  <c r="S207" i="1"/>
  <c r="O172" i="1"/>
  <c r="M172" i="1"/>
  <c r="L169" i="1"/>
  <c r="M169" i="1" s="1"/>
  <c r="J24" i="1"/>
  <c r="I23" i="1"/>
  <c r="J23" i="1" s="1"/>
  <c r="J189" i="1"/>
  <c r="I188" i="1"/>
  <c r="J188" i="1" s="1"/>
  <c r="R226" i="1"/>
  <c r="P226" i="1"/>
  <c r="O225" i="1"/>
  <c r="P225" i="1" s="1"/>
  <c r="R218" i="1"/>
  <c r="P218" i="1"/>
  <c r="M141" i="1"/>
  <c r="O141" i="1"/>
  <c r="R59" i="1"/>
  <c r="P59" i="1"/>
  <c r="S94" i="1"/>
  <c r="R19" i="1"/>
  <c r="P19" i="1"/>
  <c r="M69" i="1"/>
  <c r="O69" i="1"/>
  <c r="L67" i="1"/>
  <c r="M67" i="1" s="1"/>
  <c r="S12" i="1"/>
  <c r="R33" i="1"/>
  <c r="P33" i="1"/>
  <c r="S35" i="1"/>
  <c r="S98" i="1"/>
  <c r="R96" i="1"/>
  <c r="S170" i="1"/>
  <c r="M113" i="1"/>
  <c r="O113" i="1"/>
  <c r="L112" i="1"/>
  <c r="M112" i="1" s="1"/>
  <c r="R77" i="1"/>
  <c r="P77" i="1"/>
  <c r="I6" i="1"/>
  <c r="J6" i="1" s="1"/>
  <c r="J7" i="1"/>
  <c r="M216" i="1"/>
  <c r="O216" i="1"/>
  <c r="I10" i="1"/>
  <c r="J10" i="1" s="1"/>
  <c r="J11" i="1"/>
  <c r="S246" i="1"/>
  <c r="S239" i="1"/>
  <c r="O241" i="1"/>
  <c r="L240" i="1"/>
  <c r="M240" i="1" s="1"/>
  <c r="M241" i="1"/>
  <c r="R254" i="1"/>
  <c r="P254" i="1"/>
  <c r="M222" i="1"/>
  <c r="S185" i="1"/>
  <c r="S171" i="1"/>
  <c r="O150" i="1"/>
  <c r="M150" i="1"/>
  <c r="P173" i="1"/>
  <c r="R173" i="1"/>
  <c r="P91" i="1"/>
  <c r="R91" i="1"/>
  <c r="S91" i="1" s="1"/>
  <c r="R76" i="1"/>
  <c r="P76" i="1"/>
  <c r="O250" i="1"/>
  <c r="M250" i="1"/>
  <c r="L249" i="1"/>
  <c r="M249" i="1" s="1"/>
  <c r="P123" i="1"/>
  <c r="R123" i="1"/>
  <c r="J232" i="1"/>
  <c r="I220" i="1"/>
  <c r="J220" i="1" s="1"/>
  <c r="S257" i="1"/>
  <c r="R87" i="1"/>
  <c r="P87" i="1"/>
  <c r="M138" i="1"/>
  <c r="O138" i="1"/>
  <c r="O25" i="1"/>
  <c r="M25" i="1"/>
  <c r="L24" i="1"/>
  <c r="R205" i="1"/>
  <c r="P205" i="1"/>
  <c r="O161" i="1"/>
  <c r="M161" i="1"/>
  <c r="S181" i="1"/>
  <c r="M95" i="1"/>
  <c r="O95" i="1"/>
  <c r="L93" i="1"/>
  <c r="S46" i="1"/>
  <c r="M85" i="1"/>
  <c r="O85" i="1"/>
  <c r="O203" i="1"/>
  <c r="L202" i="1"/>
  <c r="M203" i="1"/>
  <c r="L208" i="1"/>
  <c r="M208" i="1" s="1"/>
  <c r="O209" i="1"/>
  <c r="M209" i="1"/>
  <c r="M58" i="1"/>
  <c r="O58" i="1"/>
  <c r="O198" i="1"/>
  <c r="M198" i="1"/>
  <c r="M38" i="1"/>
  <c r="O38" i="1"/>
  <c r="L36" i="1"/>
  <c r="M36" i="1" s="1"/>
  <c r="S244" i="1"/>
  <c r="M234" i="1"/>
  <c r="O234" i="1"/>
  <c r="L232" i="1"/>
  <c r="M232" i="1" s="1"/>
  <c r="S273" i="1"/>
  <c r="M137" i="1"/>
  <c r="O137" i="1"/>
  <c r="R183" i="1"/>
  <c r="P183" i="1"/>
  <c r="S118" i="1"/>
  <c r="M268" i="1"/>
  <c r="O268" i="1"/>
  <c r="O15" i="1"/>
  <c r="L14" i="1"/>
  <c r="M14" i="1" s="1"/>
  <c r="M15" i="1"/>
  <c r="S47" i="1"/>
  <c r="R245" i="1"/>
  <c r="P245" i="1"/>
  <c r="O204" i="1"/>
  <c r="M204" i="1"/>
  <c r="S253" i="1"/>
  <c r="R26" i="1"/>
  <c r="P26" i="1"/>
  <c r="O155" i="1"/>
  <c r="M155" i="1"/>
  <c r="O114" i="1"/>
  <c r="M114" i="1"/>
  <c r="R136" i="1"/>
  <c r="P136" i="1"/>
  <c r="J202" i="1"/>
  <c r="I201" i="1"/>
  <c r="J201" i="1" s="1"/>
  <c r="P278" i="1"/>
  <c r="R278" i="1"/>
  <c r="R124" i="1"/>
  <c r="S124" i="1" s="1"/>
  <c r="P124" i="1"/>
  <c r="R86" i="1"/>
  <c r="P86" i="1"/>
  <c r="R70" i="1"/>
  <c r="P70" i="1"/>
  <c r="P101" i="1"/>
  <c r="R101" i="1"/>
  <c r="R190" i="1"/>
  <c r="P190" i="1"/>
  <c r="R78" i="1"/>
  <c r="P78" i="1"/>
  <c r="O75" i="1"/>
  <c r="M75" i="1"/>
  <c r="O236" i="1"/>
  <c r="P236" i="1" s="1"/>
  <c r="R237" i="1"/>
  <c r="P237" i="1"/>
  <c r="R73" i="1"/>
  <c r="P73" i="1"/>
  <c r="M145" i="1"/>
  <c r="O145" i="1"/>
  <c r="R235" i="1"/>
  <c r="P235" i="1"/>
  <c r="S154" i="1"/>
  <c r="M195" i="1"/>
  <c r="O195" i="1"/>
  <c r="O22" i="1"/>
  <c r="O20" i="1" s="1"/>
  <c r="P20" i="1" s="1"/>
  <c r="M22" i="1"/>
  <c r="O82" i="1"/>
  <c r="M82" i="1"/>
  <c r="L7" i="1"/>
  <c r="O8" i="1"/>
  <c r="M8" i="1"/>
  <c r="O269" i="1"/>
  <c r="M269" i="1"/>
  <c r="R55" i="1"/>
  <c r="S55" i="1" s="1"/>
  <c r="P55" i="1"/>
  <c r="O100" i="1"/>
  <c r="L99" i="1"/>
  <c r="M99" i="1" s="1"/>
  <c r="M100" i="1"/>
  <c r="O83" i="1"/>
  <c r="M83" i="1"/>
  <c r="R193" i="1"/>
  <c r="P193" i="1"/>
  <c r="P102" i="1"/>
  <c r="R102" i="1"/>
  <c r="R266" i="1"/>
  <c r="P266" i="1"/>
  <c r="O206" i="1"/>
  <c r="M206" i="1"/>
  <c r="M60" i="1"/>
  <c r="O60" i="1"/>
  <c r="S142" i="1"/>
  <c r="O117" i="1"/>
  <c r="M117" i="1"/>
  <c r="R21" i="1"/>
  <c r="P21" i="1"/>
  <c r="L189" i="1"/>
  <c r="R80" i="1"/>
  <c r="P80" i="1"/>
  <c r="R262" i="1"/>
  <c r="P262" i="1"/>
  <c r="R48" i="1"/>
  <c r="P48" i="1"/>
  <c r="P251" i="1"/>
  <c r="R251" i="1"/>
  <c r="M110" i="1"/>
  <c r="O110" i="1"/>
  <c r="L109" i="1"/>
  <c r="M109" i="1" s="1"/>
  <c r="M179" i="1"/>
  <c r="O179" i="1"/>
  <c r="S27" i="1"/>
  <c r="O215" i="1"/>
  <c r="M215" i="1"/>
  <c r="M79" i="1"/>
  <c r="O79" i="1"/>
  <c r="S264" i="1"/>
  <c r="R120" i="1"/>
  <c r="S120" i="1" s="1"/>
  <c r="P120" i="1"/>
  <c r="R54" i="1"/>
  <c r="P54" i="1"/>
  <c r="O180" i="1"/>
  <c r="M180" i="1"/>
  <c r="P265" i="1"/>
  <c r="R265" i="1"/>
  <c r="R263" i="1" s="1"/>
  <c r="R134" i="1"/>
  <c r="P134" i="1"/>
  <c r="S217" i="1"/>
  <c r="P43" i="1"/>
  <c r="R43" i="1"/>
  <c r="O119" i="1"/>
  <c r="M119" i="1"/>
  <c r="R30" i="1"/>
  <c r="P30" i="1"/>
  <c r="R163" i="1"/>
  <c r="P163" i="1"/>
  <c r="I153" i="1"/>
  <c r="S96" i="1" l="1"/>
  <c r="P139" i="1"/>
  <c r="F108" i="1"/>
  <c r="F127" i="1" s="1"/>
  <c r="O28" i="1"/>
  <c r="P28" i="1" s="1"/>
  <c r="R104" i="1"/>
  <c r="S104" i="1" s="1"/>
  <c r="P104" i="1"/>
  <c r="L146" i="1"/>
  <c r="P156" i="1"/>
  <c r="R156" i="1"/>
  <c r="O45" i="1"/>
  <c r="O133" i="1"/>
  <c r="P133" i="1" s="1"/>
  <c r="P81" i="1"/>
  <c r="R81" i="1"/>
  <c r="S81" i="1" s="1"/>
  <c r="R148" i="1"/>
  <c r="O147" i="1"/>
  <c r="P147" i="1" s="1"/>
  <c r="P148" i="1"/>
  <c r="S196" i="1"/>
  <c r="P111" i="1"/>
  <c r="R111" i="1"/>
  <c r="R18" i="1"/>
  <c r="P18" i="1"/>
  <c r="P160" i="1"/>
  <c r="R160" i="1"/>
  <c r="G277" i="1"/>
  <c r="S84" i="1"/>
  <c r="R213" i="1"/>
  <c r="P213" i="1"/>
  <c r="O211" i="1"/>
  <c r="P211" i="1" s="1"/>
  <c r="P177" i="1"/>
  <c r="R177" i="1"/>
  <c r="R175" i="1" s="1"/>
  <c r="R221" i="1"/>
  <c r="P221" i="1"/>
  <c r="R162" i="1"/>
  <c r="P162" i="1"/>
  <c r="P261" i="1"/>
  <c r="R261" i="1"/>
  <c r="R260" i="1" s="1"/>
  <c r="R29" i="1"/>
  <c r="P29" i="1"/>
  <c r="P135" i="1"/>
  <c r="R135" i="1"/>
  <c r="P174" i="1"/>
  <c r="R174" i="1"/>
  <c r="P34" i="1"/>
  <c r="R34" i="1"/>
  <c r="P65" i="1"/>
  <c r="R65" i="1"/>
  <c r="M146" i="1"/>
  <c r="O17" i="1"/>
  <c r="P17" i="1" s="1"/>
  <c r="P200" i="1"/>
  <c r="R200" i="1"/>
  <c r="S224" i="1"/>
  <c r="P233" i="1"/>
  <c r="R233" i="1"/>
  <c r="S139" i="1"/>
  <c r="R143" i="1"/>
  <c r="S143" i="1" s="1"/>
  <c r="P143" i="1"/>
  <c r="S37" i="1"/>
  <c r="R214" i="1"/>
  <c r="P214" i="1"/>
  <c r="P40" i="1"/>
  <c r="O39" i="1"/>
  <c r="P39" i="1" s="1"/>
  <c r="R40" i="1"/>
  <c r="S56" i="1"/>
  <c r="S231" i="1"/>
  <c r="O151" i="1"/>
  <c r="P151" i="1" s="1"/>
  <c r="P152" i="1"/>
  <c r="R152" i="1"/>
  <c r="S263" i="1"/>
  <c r="S237" i="1"/>
  <c r="R236" i="1"/>
  <c r="P64" i="1"/>
  <c r="R64" i="1"/>
  <c r="L6" i="1"/>
  <c r="M6" i="1" s="1"/>
  <c r="M7" i="1"/>
  <c r="L92" i="1"/>
  <c r="M92" i="1" s="1"/>
  <c r="M93" i="1"/>
  <c r="S123" i="1"/>
  <c r="R172" i="1"/>
  <c r="P172" i="1"/>
  <c r="O169" i="1"/>
  <c r="P169" i="1" s="1"/>
  <c r="R89" i="1"/>
  <c r="S90" i="1"/>
  <c r="R192" i="1"/>
  <c r="R189" i="1" s="1"/>
  <c r="P192" i="1"/>
  <c r="R195" i="1"/>
  <c r="P195" i="1"/>
  <c r="S223" i="1"/>
  <c r="R222" i="1"/>
  <c r="R117" i="1"/>
  <c r="P117" i="1"/>
  <c r="R141" i="1"/>
  <c r="P141" i="1"/>
  <c r="S228" i="1"/>
  <c r="S193" i="1"/>
  <c r="S70" i="1"/>
  <c r="R179" i="1"/>
  <c r="P179" i="1"/>
  <c r="P114" i="1"/>
  <c r="R114" i="1"/>
  <c r="R38" i="1"/>
  <c r="O36" i="1"/>
  <c r="P36" i="1" s="1"/>
  <c r="P38" i="1"/>
  <c r="M202" i="1"/>
  <c r="L201" i="1"/>
  <c r="M201" i="1" s="1"/>
  <c r="R95" i="1"/>
  <c r="P95" i="1"/>
  <c r="O93" i="1"/>
  <c r="P25" i="1"/>
  <c r="R25" i="1"/>
  <c r="O24" i="1"/>
  <c r="S254" i="1"/>
  <c r="I108" i="1"/>
  <c r="S271" i="1"/>
  <c r="S48" i="1"/>
  <c r="L153" i="1"/>
  <c r="P203" i="1"/>
  <c r="O202" i="1"/>
  <c r="R203" i="1"/>
  <c r="P69" i="1"/>
  <c r="R69" i="1"/>
  <c r="O67" i="1"/>
  <c r="P67" i="1" s="1"/>
  <c r="S218" i="1"/>
  <c r="S71" i="1"/>
  <c r="R184" i="1"/>
  <c r="P184" i="1"/>
  <c r="S173" i="1"/>
  <c r="S176" i="1"/>
  <c r="S54" i="1"/>
  <c r="S262" i="1"/>
  <c r="R83" i="1"/>
  <c r="P83" i="1"/>
  <c r="S86" i="1"/>
  <c r="R60" i="1"/>
  <c r="P60" i="1"/>
  <c r="R82" i="1"/>
  <c r="P82" i="1"/>
  <c r="S235" i="1"/>
  <c r="R75" i="1"/>
  <c r="P75" i="1"/>
  <c r="P85" i="1"/>
  <c r="R85" i="1"/>
  <c r="P150" i="1"/>
  <c r="R150" i="1"/>
  <c r="O146" i="1"/>
  <c r="S77" i="1"/>
  <c r="R122" i="1"/>
  <c r="S122" i="1" s="1"/>
  <c r="P122" i="1"/>
  <c r="S219" i="1"/>
  <c r="R269" i="1"/>
  <c r="P269" i="1"/>
  <c r="S136" i="1"/>
  <c r="S59" i="1"/>
  <c r="S183" i="1"/>
  <c r="J153" i="1"/>
  <c r="I277" i="1"/>
  <c r="S245" i="1"/>
  <c r="S163" i="1"/>
  <c r="R137" i="1"/>
  <c r="P137" i="1"/>
  <c r="S30" i="1"/>
  <c r="S134" i="1"/>
  <c r="R79" i="1"/>
  <c r="P79" i="1"/>
  <c r="R110" i="1"/>
  <c r="O109" i="1"/>
  <c r="P109" i="1" s="1"/>
  <c r="P110" i="1"/>
  <c r="S80" i="1"/>
  <c r="R145" i="1"/>
  <c r="P145" i="1"/>
  <c r="R155" i="1"/>
  <c r="P155" i="1"/>
  <c r="P198" i="1"/>
  <c r="R198" i="1"/>
  <c r="P138" i="1"/>
  <c r="R138" i="1"/>
  <c r="P250" i="1"/>
  <c r="O249" i="1"/>
  <c r="P249" i="1" s="1"/>
  <c r="R250" i="1"/>
  <c r="S178" i="1"/>
  <c r="S243" i="1"/>
  <c r="R52" i="1"/>
  <c r="S66" i="1"/>
  <c r="P215" i="1"/>
  <c r="R215" i="1"/>
  <c r="S101" i="1"/>
  <c r="R241" i="1"/>
  <c r="P241" i="1"/>
  <c r="O240" i="1"/>
  <c r="P240" i="1" s="1"/>
  <c r="P115" i="1"/>
  <c r="R115" i="1"/>
  <c r="S265" i="1"/>
  <c r="L188" i="1"/>
  <c r="M188" i="1" s="1"/>
  <c r="M189" i="1"/>
  <c r="R100" i="1"/>
  <c r="O99" i="1"/>
  <c r="P99" i="1" s="1"/>
  <c r="P100" i="1"/>
  <c r="R22" i="1"/>
  <c r="P22" i="1"/>
  <c r="S78" i="1"/>
  <c r="S278" i="1"/>
  <c r="R15" i="1"/>
  <c r="P15" i="1"/>
  <c r="O14" i="1"/>
  <c r="P14" i="1" s="1"/>
  <c r="P58" i="1"/>
  <c r="R58" i="1"/>
  <c r="S58" i="1" s="1"/>
  <c r="R113" i="1"/>
  <c r="P113" i="1"/>
  <c r="O112" i="1"/>
  <c r="P112" i="1" s="1"/>
  <c r="S33" i="1"/>
  <c r="S19" i="1"/>
  <c r="S226" i="1"/>
  <c r="R225" i="1"/>
  <c r="S158" i="1"/>
  <c r="S57" i="1"/>
  <c r="S199" i="1"/>
  <c r="S31" i="1"/>
  <c r="S102" i="1"/>
  <c r="R204" i="1"/>
  <c r="P204" i="1"/>
  <c r="L220" i="1"/>
  <c r="M220" i="1" s="1"/>
  <c r="R194" i="1"/>
  <c r="P194" i="1"/>
  <c r="R8" i="1"/>
  <c r="P8" i="1"/>
  <c r="O7" i="1"/>
  <c r="M24" i="1"/>
  <c r="L23" i="1"/>
  <c r="M23" i="1" s="1"/>
  <c r="R119" i="1"/>
  <c r="P119" i="1"/>
  <c r="S251" i="1"/>
  <c r="R206" i="1"/>
  <c r="P206" i="1"/>
  <c r="P189" i="1"/>
  <c r="O188" i="1"/>
  <c r="S26" i="1"/>
  <c r="P268" i="1"/>
  <c r="R268" i="1"/>
  <c r="R161" i="1"/>
  <c r="P161" i="1"/>
  <c r="S76" i="1"/>
  <c r="R121" i="1"/>
  <c r="P121" i="1"/>
  <c r="O157" i="1"/>
  <c r="P157" i="1" s="1"/>
  <c r="P159" i="1"/>
  <c r="R159" i="1"/>
  <c r="L44" i="1"/>
  <c r="M44" i="1" s="1"/>
  <c r="S43" i="1"/>
  <c r="S73" i="1"/>
  <c r="R234" i="1"/>
  <c r="P234" i="1"/>
  <c r="O232" i="1"/>
  <c r="P232" i="1" s="1"/>
  <c r="S87" i="1"/>
  <c r="P270" i="1"/>
  <c r="R270" i="1"/>
  <c r="P210" i="1"/>
  <c r="R210" i="1"/>
  <c r="S74" i="1"/>
  <c r="R180" i="1"/>
  <c r="P180" i="1"/>
  <c r="S21" i="1"/>
  <c r="S266" i="1"/>
  <c r="S190" i="1"/>
  <c r="R209" i="1"/>
  <c r="P209" i="1"/>
  <c r="O208" i="1"/>
  <c r="P208" i="1" s="1"/>
  <c r="S205" i="1"/>
  <c r="P222" i="1"/>
  <c r="S116" i="1"/>
  <c r="L10" i="1"/>
  <c r="M10" i="1" s="1"/>
  <c r="M11" i="1"/>
  <c r="R216" i="1"/>
  <c r="P216" i="1"/>
  <c r="R13" i="1"/>
  <c r="P13" i="1"/>
  <c r="O11" i="1"/>
  <c r="P45" i="1"/>
  <c r="R103" i="1" l="1"/>
  <c r="S103" i="1" s="1"/>
  <c r="G108" i="1"/>
  <c r="R133" i="1"/>
  <c r="S133" i="1" s="1"/>
  <c r="P146" i="1"/>
  <c r="S156" i="1"/>
  <c r="O44" i="1"/>
  <c r="P44" i="1" s="1"/>
  <c r="S160" i="1"/>
  <c r="S221" i="1"/>
  <c r="S40" i="1"/>
  <c r="R39" i="1"/>
  <c r="S177" i="1"/>
  <c r="S111" i="1"/>
  <c r="S34" i="1"/>
  <c r="R28" i="1"/>
  <c r="S18" i="1"/>
  <c r="S135" i="1"/>
  <c r="S65" i="1"/>
  <c r="R157" i="1"/>
  <c r="O220" i="1"/>
  <c r="P220" i="1" s="1"/>
  <c r="S200" i="1"/>
  <c r="R17" i="1"/>
  <c r="S174" i="1"/>
  <c r="L108" i="1"/>
  <c r="L127" i="1" s="1"/>
  <c r="S214" i="1"/>
  <c r="S213" i="1"/>
  <c r="R211" i="1"/>
  <c r="S162" i="1"/>
  <c r="S233" i="1"/>
  <c r="S152" i="1"/>
  <c r="R151" i="1"/>
  <c r="S29" i="1"/>
  <c r="S261" i="1"/>
  <c r="S148" i="1"/>
  <c r="R147" i="1"/>
  <c r="S184" i="1"/>
  <c r="O92" i="1"/>
  <c r="P92" i="1" s="1"/>
  <c r="P93" i="1"/>
  <c r="S268" i="1"/>
  <c r="S215" i="1"/>
  <c r="S236" i="1"/>
  <c r="S22" i="1"/>
  <c r="R24" i="1"/>
  <c r="S25" i="1"/>
  <c r="O10" i="1"/>
  <c r="P10" i="1" s="1"/>
  <c r="P11" i="1"/>
  <c r="S204" i="1"/>
  <c r="S100" i="1"/>
  <c r="R99" i="1"/>
  <c r="S250" i="1"/>
  <c r="R249" i="1"/>
  <c r="S60" i="1"/>
  <c r="S119" i="1"/>
  <c r="S225" i="1"/>
  <c r="S137" i="1"/>
  <c r="S150" i="1"/>
  <c r="S95" i="1"/>
  <c r="R93" i="1"/>
  <c r="S172" i="1"/>
  <c r="R169" i="1"/>
  <c r="S222" i="1"/>
  <c r="S194" i="1"/>
  <c r="S145" i="1"/>
  <c r="S159" i="1"/>
  <c r="S180" i="1"/>
  <c r="R14" i="1"/>
  <c r="S15" i="1"/>
  <c r="S138" i="1"/>
  <c r="S85" i="1"/>
  <c r="S69" i="1"/>
  <c r="R67" i="1"/>
  <c r="S195" i="1"/>
  <c r="S155" i="1"/>
  <c r="S161" i="1"/>
  <c r="R20" i="1"/>
  <c r="S13" i="1"/>
  <c r="R11" i="1"/>
  <c r="S216" i="1"/>
  <c r="P188" i="1"/>
  <c r="P7" i="1"/>
  <c r="O6" i="1"/>
  <c r="P6" i="1" s="1"/>
  <c r="R109" i="1"/>
  <c r="S110" i="1"/>
  <c r="S83" i="1"/>
  <c r="S175" i="1"/>
  <c r="S115" i="1"/>
  <c r="R45" i="1"/>
  <c r="S52" i="1"/>
  <c r="S198" i="1"/>
  <c r="S269" i="1"/>
  <c r="S260" i="1"/>
  <c r="I127" i="1"/>
  <c r="J108" i="1"/>
  <c r="R208" i="1"/>
  <c r="S209" i="1"/>
  <c r="S234" i="1"/>
  <c r="R232" i="1"/>
  <c r="J277" i="1"/>
  <c r="I279" i="1"/>
  <c r="J279" i="1" s="1"/>
  <c r="S141" i="1"/>
  <c r="S121" i="1"/>
  <c r="F280" i="1"/>
  <c r="G280" i="1" s="1"/>
  <c r="G127" i="1"/>
  <c r="S8" i="1"/>
  <c r="R7" i="1"/>
  <c r="O153" i="1"/>
  <c r="P153" i="1" s="1"/>
  <c r="R202" i="1"/>
  <c r="S203" i="1"/>
  <c r="S114" i="1"/>
  <c r="S192" i="1"/>
  <c r="R240" i="1"/>
  <c r="S241" i="1"/>
  <c r="S210" i="1"/>
  <c r="S79" i="1"/>
  <c r="S75" i="1"/>
  <c r="S38" i="1"/>
  <c r="R36" i="1"/>
  <c r="S189" i="1"/>
  <c r="R188" i="1"/>
  <c r="S270" i="1"/>
  <c r="O201" i="1"/>
  <c r="P201" i="1" s="1"/>
  <c r="P202" i="1"/>
  <c r="P24" i="1"/>
  <c r="O23" i="1"/>
  <c r="P23" i="1" s="1"/>
  <c r="S206" i="1"/>
  <c r="M108" i="1"/>
  <c r="S113" i="1"/>
  <c r="R112" i="1"/>
  <c r="S82" i="1"/>
  <c r="M153" i="1"/>
  <c r="L277" i="1"/>
  <c r="S179" i="1"/>
  <c r="S117" i="1"/>
  <c r="S89" i="1"/>
  <c r="S64" i="1"/>
  <c r="S28" i="1" l="1"/>
  <c r="O277" i="1"/>
  <c r="O279" i="1" s="1"/>
  <c r="S157" i="1"/>
  <c r="R153" i="1"/>
  <c r="S147" i="1"/>
  <c r="R146" i="1"/>
  <c r="S146" i="1" s="1"/>
  <c r="S151" i="1"/>
  <c r="S39" i="1"/>
  <c r="S211" i="1"/>
  <c r="S17" i="1"/>
  <c r="S109" i="1"/>
  <c r="S232" i="1"/>
  <c r="S240" i="1"/>
  <c r="S188" i="1"/>
  <c r="S20" i="1"/>
  <c r="L279" i="1"/>
  <c r="M279" i="1" s="1"/>
  <c r="M277" i="1"/>
  <c r="R92" i="1"/>
  <c r="S93" i="1"/>
  <c r="O108" i="1"/>
  <c r="S249" i="1"/>
  <c r="I280" i="1"/>
  <c r="J127" i="1"/>
  <c r="S14" i="1"/>
  <c r="S169" i="1"/>
  <c r="M127" i="1"/>
  <c r="S208" i="1"/>
  <c r="R201" i="1"/>
  <c r="S202" i="1"/>
  <c r="S99" i="1"/>
  <c r="S24" i="1"/>
  <c r="R23" i="1"/>
  <c r="S36" i="1"/>
  <c r="R10" i="1"/>
  <c r="S11" i="1"/>
  <c r="R220" i="1"/>
  <c r="R6" i="1"/>
  <c r="S7" i="1"/>
  <c r="S45" i="1"/>
  <c r="R44" i="1"/>
  <c r="S112" i="1"/>
  <c r="S67" i="1"/>
  <c r="P277" i="1" l="1"/>
  <c r="S153" i="1"/>
  <c r="R277" i="1"/>
  <c r="S277" i="1" s="1"/>
  <c r="S23" i="1"/>
  <c r="P279" i="1"/>
  <c r="R108" i="1"/>
  <c r="S6" i="1"/>
  <c r="J280" i="1"/>
  <c r="S92" i="1"/>
  <c r="S10" i="1"/>
  <c r="S220" i="1"/>
  <c r="S201" i="1"/>
  <c r="S44" i="1"/>
  <c r="O127" i="1"/>
  <c r="P108" i="1"/>
  <c r="L280" i="1"/>
  <c r="R279" i="1" l="1"/>
  <c r="S279" i="1" s="1"/>
  <c r="R127" i="1"/>
  <c r="S108" i="1"/>
  <c r="M280" i="1"/>
  <c r="O280" i="1"/>
  <c r="P127" i="1"/>
  <c r="P280" i="1" l="1"/>
  <c r="R280" i="1"/>
  <c r="S127" i="1"/>
  <c r="S2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F43" authorId="0" shapeId="0" xr:uid="{4ACC3093-1D97-4604-8D01-90CA9465BFB9}">
      <text>
        <r>
          <rPr>
            <b/>
            <sz val="9"/>
            <color indexed="81"/>
            <rFont val="Tahoma"/>
            <family val="2"/>
            <charset val="186"/>
          </rPr>
          <t>Sarmīte Mūze:</t>
        </r>
        <r>
          <rPr>
            <sz val="9"/>
            <color indexed="81"/>
            <rFont val="Tahoma"/>
            <family val="2"/>
            <charset val="186"/>
          </rPr>
          <t xml:space="preserve">
76'000 mežaudze vai koki; 46'000+73'000 Kadaga.</t>
        </r>
      </text>
    </comment>
    <comment ref="I43" authorId="0" shapeId="0" xr:uid="{95EB74D5-BA27-4DD1-840F-E21AF70F4D82}">
      <text>
        <r>
          <rPr>
            <b/>
            <sz val="9"/>
            <color indexed="81"/>
            <rFont val="Tahoma"/>
            <family val="2"/>
            <charset val="186"/>
          </rPr>
          <t>Sarmīte Mūze:</t>
        </r>
        <r>
          <rPr>
            <sz val="9"/>
            <color indexed="81"/>
            <rFont val="Tahoma"/>
            <family val="2"/>
            <charset val="186"/>
          </rPr>
          <t xml:space="preserve">
76'000 mežaudze vai koki; 46'000+73'000 Kadaga.</t>
        </r>
      </text>
    </comment>
    <comment ref="L43" authorId="0" shapeId="0" xr:uid="{7A36EE52-8F96-4B66-A7B3-0F3ABB2196B0}">
      <text>
        <r>
          <rPr>
            <b/>
            <sz val="9"/>
            <color indexed="81"/>
            <rFont val="Tahoma"/>
            <family val="2"/>
            <charset val="186"/>
          </rPr>
          <t>Sarmīte Mūze:</t>
        </r>
        <r>
          <rPr>
            <sz val="9"/>
            <color indexed="81"/>
            <rFont val="Tahoma"/>
            <family val="2"/>
            <charset val="186"/>
          </rPr>
          <t xml:space="preserve">
76'000 mežaudze vai koki; 46'000+73'000 Kadaga.</t>
        </r>
      </text>
    </comment>
    <comment ref="O43" authorId="0" shapeId="0" xr:uid="{EA9CEEC7-B2F4-4CBB-83DA-F59C1675D3F0}">
      <text>
        <r>
          <rPr>
            <b/>
            <sz val="9"/>
            <color indexed="81"/>
            <rFont val="Tahoma"/>
            <family val="2"/>
            <charset val="186"/>
          </rPr>
          <t>Sarmīte Mūze:</t>
        </r>
        <r>
          <rPr>
            <sz val="9"/>
            <color indexed="81"/>
            <rFont val="Tahoma"/>
            <family val="2"/>
            <charset val="186"/>
          </rPr>
          <t xml:space="preserve">
76'000 mežaudze vai koki; 46'000+73'000 Kadaga.</t>
        </r>
      </text>
    </comment>
    <comment ref="R43" authorId="0" shapeId="0" xr:uid="{007A7614-4A78-435C-8F5F-B506450A84D2}">
      <text>
        <r>
          <rPr>
            <b/>
            <sz val="9"/>
            <color indexed="81"/>
            <rFont val="Tahoma"/>
            <family val="2"/>
            <charset val="186"/>
          </rPr>
          <t>Sarmīte Mūze:</t>
        </r>
        <r>
          <rPr>
            <sz val="9"/>
            <color indexed="81"/>
            <rFont val="Tahoma"/>
            <family val="2"/>
            <charset val="186"/>
          </rPr>
          <t xml:space="preserve">
76'000 mežaudze vai koki; 46'000+73'000 Kadaga.</t>
        </r>
      </text>
    </comment>
    <comment ref="D267" authorId="1" shapeId="0" xr:uid="{86D47BF2-2107-49DB-9253-5B998386E086}">
      <text>
        <r>
          <rPr>
            <b/>
            <sz val="9"/>
            <color indexed="81"/>
            <rFont val="Tahoma"/>
            <family val="2"/>
            <charset val="186"/>
          </rPr>
          <t>Baiba Kanča:</t>
        </r>
        <r>
          <rPr>
            <sz val="9"/>
            <color indexed="81"/>
            <rFont val="Tahoma"/>
            <family val="2"/>
            <charset val="186"/>
          </rPr>
          <t xml:space="preserve">
Pārsaukt: Rezerve skolēnu līdzfinansējumam dalībai konkursos.</t>
        </r>
      </text>
    </comment>
    <comment ref="E270" authorId="0" shapeId="0" xr:uid="{1CFA2451-1208-47A5-84DB-059556C893F4}">
      <text>
        <r>
          <rPr>
            <b/>
            <sz val="9"/>
            <color indexed="81"/>
            <rFont val="Tahoma"/>
            <family val="2"/>
            <charset val="186"/>
          </rPr>
          <t>Sarmīte Mūze:</t>
        </r>
        <r>
          <rPr>
            <sz val="9"/>
            <color indexed="81"/>
            <rFont val="Tahoma"/>
            <family val="2"/>
            <charset val="186"/>
          </rPr>
          <t xml:space="preserve">
Šis ir jāizņem no 0930 un jāliek 0982 algā.
</t>
        </r>
      </text>
    </comment>
    <comment ref="F270" authorId="0" shapeId="0" xr:uid="{96988252-98D8-4326-B0AC-89922543E1A5}">
      <text>
        <r>
          <rPr>
            <b/>
            <sz val="9"/>
            <color indexed="81"/>
            <rFont val="Tahoma"/>
            <family val="2"/>
            <charset val="186"/>
          </rPr>
          <t>Sarmīte Mūze:</t>
        </r>
        <r>
          <rPr>
            <sz val="9"/>
            <color indexed="81"/>
            <rFont val="Tahoma"/>
            <family val="2"/>
            <charset val="186"/>
          </rPr>
          <t xml:space="preserve">
Šis ir jāizņem no 0930 un jāliek 0982 algā.
</t>
        </r>
      </text>
    </comment>
    <comment ref="I270" authorId="0" shapeId="0" xr:uid="{3E63100E-080E-4673-B74E-750EB553CDE9}">
      <text>
        <r>
          <rPr>
            <b/>
            <sz val="9"/>
            <color indexed="81"/>
            <rFont val="Tahoma"/>
            <family val="2"/>
            <charset val="186"/>
          </rPr>
          <t>Sarmīte Mūze:</t>
        </r>
        <r>
          <rPr>
            <sz val="9"/>
            <color indexed="81"/>
            <rFont val="Tahoma"/>
            <family val="2"/>
            <charset val="186"/>
          </rPr>
          <t xml:space="preserve">
Šis ir jāizņem no 0930 un jāliek 0982 algā.
</t>
        </r>
      </text>
    </comment>
    <comment ref="L270" authorId="0" shapeId="0" xr:uid="{ABCAF694-64AC-486A-823B-DE5868F2EEC1}">
      <text>
        <r>
          <rPr>
            <b/>
            <sz val="9"/>
            <color indexed="81"/>
            <rFont val="Tahoma"/>
            <family val="2"/>
            <charset val="186"/>
          </rPr>
          <t>Sarmīte Mūze:</t>
        </r>
        <r>
          <rPr>
            <sz val="9"/>
            <color indexed="81"/>
            <rFont val="Tahoma"/>
            <family val="2"/>
            <charset val="186"/>
          </rPr>
          <t xml:space="preserve">
Šis ir jāizņem no 0930 un jāliek 0982 algā.
</t>
        </r>
      </text>
    </comment>
    <comment ref="O270" authorId="0" shapeId="0" xr:uid="{7C8CE577-0EBD-48FE-A5A3-AAED62A5E4E4}">
      <text>
        <r>
          <rPr>
            <b/>
            <sz val="9"/>
            <color indexed="81"/>
            <rFont val="Tahoma"/>
            <family val="2"/>
            <charset val="186"/>
          </rPr>
          <t>Sarmīte Mūze:</t>
        </r>
        <r>
          <rPr>
            <sz val="9"/>
            <color indexed="81"/>
            <rFont val="Tahoma"/>
            <family val="2"/>
            <charset val="186"/>
          </rPr>
          <t xml:space="preserve">
Šis ir jāizņem no 0930 un jāliek 0982 algā.
</t>
        </r>
      </text>
    </comment>
    <comment ref="R270" authorId="0" shapeId="0" xr:uid="{DA4AF96D-0FD5-4490-B679-4483E53757BF}">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20" authorId="0" shapeId="0" xr:uid="{5FC71E48-DB8D-4CCA-8E0E-07FA49B69578}">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K122" authorId="0" shapeId="0" xr:uid="{3D020CA1-EF91-4370-AFFA-ECFE16DE2D89}">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t>
        </r>
      </text>
    </comment>
    <comment ref="D134" authorId="1" shapeId="0" xr:uid="{E672BC3D-746C-4EBD-8922-3D70A72222C5}">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<sst xmlns="http://schemas.openxmlformats.org/spreadsheetml/2006/main" count="1702" uniqueCount="1084">
  <si>
    <t>Ādažu pašvaldības apvienotais budžets</t>
  </si>
  <si>
    <t>2023. gads</t>
  </si>
  <si>
    <t xml:space="preserve">Ieņēmumu daļa </t>
  </si>
  <si>
    <t xml:space="preserve">N.p.k. </t>
  </si>
  <si>
    <t>Sadaļa</t>
  </si>
  <si>
    <t>CKS</t>
  </si>
  <si>
    <t>2023. gada budžets</t>
  </si>
  <si>
    <t>23.03.2023. grozījumi</t>
  </si>
  <si>
    <t>Izmaiņa 23.03.2023. - 26.01.2023.</t>
  </si>
  <si>
    <t xml:space="preserve">Komentāri </t>
  </si>
  <si>
    <t>24.05.2023. grozījumi</t>
  </si>
  <si>
    <t>Izmaiņa 24.05.2023. -23.03.2023.</t>
  </si>
  <si>
    <t>28.06.2023. grozījumi</t>
  </si>
  <si>
    <t>Izmaiņa 28.06.2023. -24.05.2023.</t>
  </si>
  <si>
    <t>23.08.2023. grozījumi</t>
  </si>
  <si>
    <t>Izmaiņa 23.08.2023. -28.06.2023.</t>
  </si>
  <si>
    <t>26.10.2023. grozījumi</t>
  </si>
  <si>
    <t>Izmaiņa 26.10.2023. -23.08.2023.</t>
  </si>
  <si>
    <t>1., 2., 3., 4., 5.1.</t>
  </si>
  <si>
    <t>Nodokļu ieņēmumi</t>
  </si>
  <si>
    <t>1.1.1.0.</t>
  </si>
  <si>
    <t>1.</t>
  </si>
  <si>
    <t>Iedzīvotāju ienākuma nodoklis</t>
  </si>
  <si>
    <t>PB</t>
  </si>
  <si>
    <t>01.1.1.2.</t>
  </si>
  <si>
    <t>1.1.</t>
  </si>
  <si>
    <t>pārskata gada</t>
  </si>
  <si>
    <t>Precizēta summa apstiprinātajos MK Nr.191 11.04.2023</t>
  </si>
  <si>
    <t>Pēc faktiskās izpildes lielāki IIN ieņēmumi</t>
  </si>
  <si>
    <t>1.2.</t>
  </si>
  <si>
    <t>saņemts no Valsts kases sadales konta iepriekšējā gada nesadalītais iedzīvotāju ienākuma nodokļa atlikums</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</si>
  <si>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</si>
  <si>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</si>
  <si>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</si>
  <si>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</si>
  <si>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</si>
  <si>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</si>
  <si>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</si>
  <si>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</si>
  <si>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</si>
  <si>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</si>
  <si>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</si>
  <si>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</si>
  <si>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</si>
  <si>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</si>
  <si>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</si>
  <si>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</si>
  <si>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</si>
  <si>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</si>
  <si>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</si>
  <si>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</si>
  <si>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</si>
  <si>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</si>
  <si>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</si>
  <si>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</si>
  <si>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</si>
  <si>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</si>
  <si>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</si>
  <si>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</si>
  <si>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</si>
  <si>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</si>
  <si>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</si>
  <si>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</si>
  <si>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</si>
  <si>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</si>
  <si>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</si>
  <si>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</si>
  <si>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</si>
  <si>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</si>
  <si>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</si>
  <si>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</si>
  <si>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</si>
  <si>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</si>
  <si>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</si>
  <si>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</si>
  <si>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</si>
  <si>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</si>
  <si>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</si>
  <si>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</si>
  <si>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</si>
  <si>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</si>
  <si>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</si>
  <si>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</si>
  <si>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</si>
  <si>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</si>
  <si>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</si>
  <si>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</si>
  <si>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</si>
  <si>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</si>
  <si>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</si>
  <si>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09.5.1.5.</t>
  </si>
  <si>
    <t>6.2.4.</t>
  </si>
  <si>
    <t>t.sk.: - nodeva par dzīvnieku turēšanu</t>
  </si>
  <si>
    <t>09.5.1.7.</t>
  </si>
  <si>
    <t>6.2.5.</t>
  </si>
  <si>
    <t>t.sk.: - nodeva par reklāmas, afišu un sludinājumu izvietošanu publiskās vietās</t>
  </si>
  <si>
    <t>09.5.2.1.</t>
  </si>
  <si>
    <t>6.2.6.</t>
  </si>
  <si>
    <t>t.sk.: - nodeva par būvatļaujas saņemšanu</t>
  </si>
  <si>
    <t>09.5.2.9.</t>
  </si>
  <si>
    <t>6.2.7.</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</si>
  <si>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</si>
  <si>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</si>
  <si>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</si>
  <si>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</si>
  <si>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</si>
  <si>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</si>
  <si>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</si>
  <si>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</si>
  <si>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</si>
  <si>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</si>
  <si>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</si>
  <si>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</si>
  <si>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</si>
  <si>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</si>
  <si>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</si>
  <si>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</si>
  <si>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</si>
  <si>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12.3.9.5.</t>
  </si>
  <si>
    <t>8.2.</t>
  </si>
  <si>
    <t>līgumsodi un procentu maksājumi par saistību neizpildi</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</si>
  <si>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</si>
  <si>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</si>
  <si>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</si>
  <si>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</si>
  <si>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</si>
  <si>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</si>
  <si>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</si>
  <si>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</si>
  <si>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</si>
  <si>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</si>
  <si>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</si>
  <si>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</si>
  <si>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</si>
  <si>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Precizēts MD apjoms</t>
  </si>
  <si>
    <t>Precizēts mērķdotāciju apjoms sept. - dec.</t>
  </si>
  <si>
    <t>18.6.2.4.</t>
  </si>
  <si>
    <t>10.1.2.</t>
  </si>
  <si>
    <t>dotācija sporta skolai</t>
  </si>
  <si>
    <t>Saskaņā ar IZM rīkojumu EUR 13'302 pedagogu zemākās likmes paaugstināšanai.</t>
  </si>
  <si>
    <t>18.6.2.10.; 18.6.2.11</t>
  </si>
  <si>
    <t>10.1.3.</t>
  </si>
  <si>
    <t>dotācija skolēnu ēdināšanai</t>
  </si>
  <si>
    <t>18.6.2.5.</t>
  </si>
  <si>
    <t>10.1.4.</t>
  </si>
  <si>
    <t>dotācija mācību līdzekļiem</t>
  </si>
  <si>
    <t xml:space="preserve">  10.1.4.1.</t>
  </si>
  <si>
    <t>t.sk.: - dotācija mācību grāmatām</t>
  </si>
  <si>
    <t>Valsts mērķdotācija mācību līdzekļiem izglītības iestādēs.</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</si>
  <si>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</si>
  <si>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</si>
  <si>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</si>
  <si>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</si>
  <si>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</si>
  <si>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</si>
  <si>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</si>
  <si>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</si>
  <si>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</si>
  <si>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</si>
  <si>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</si>
  <si>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</si>
  <si>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</si>
  <si>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</si>
  <si>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</si>
  <si>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</si>
  <si>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</si>
  <si>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</si>
  <si>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</si>
  <si>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Precizēta summa pēc līguma noslēgšanas</t>
  </si>
  <si>
    <t>Projekts "Skolas soma" - 2023./2024.gadam jauns līgums EUR 14'485 (ĀVS); EUR 3'997 (CPS)</t>
  </si>
  <si>
    <t>10.1.8.</t>
  </si>
  <si>
    <t>Projekts "Skolas soma" Carnikava</t>
  </si>
  <si>
    <t>18.6.2.7.</t>
  </si>
  <si>
    <t>10.1.9.</t>
  </si>
  <si>
    <t>dotācija asistenta pakalpojumu nodrošināšanai</t>
  </si>
  <si>
    <t>10.1.10.</t>
  </si>
  <si>
    <t>dotācija sociālajiem darbiniekiem, kuri strādā ar ģimenēm un bērniem</t>
  </si>
  <si>
    <t>AM līdzfinansējums Mežaparka ceļa izbūvei</t>
  </si>
  <si>
    <t>0420 (18.6.2.9.)</t>
  </si>
  <si>
    <t>10.1.11.</t>
  </si>
  <si>
    <t>valsts dotācija ceļu uzturēšanai</t>
  </si>
  <si>
    <t>Precizēts mērķdotācijas pajoms</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</si>
  <si>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</si>
  <si>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</si>
  <si>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</si>
  <si>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</si>
  <si>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10.1.13.</t>
  </si>
  <si>
    <t>Dotācijas "Energoresursu atbalsts"</t>
  </si>
  <si>
    <t>CKS precizēts kods ieņēmumiem - valsts atbalsts iedzīvotājiem</t>
  </si>
  <si>
    <t>0630</t>
  </si>
  <si>
    <t>18.6.2.9.;</t>
  </si>
  <si>
    <t>10.1.14.</t>
  </si>
  <si>
    <t>pārējās dotācijas</t>
  </si>
  <si>
    <t>1) Noslēgts līgums par valsts līdzfinansējumu Dziesmu svētku dalībniekiem EUR 5840,91.
2) Apstiprināts dotācijas apjoms vienoto KAS uzturēšanai EUR 7'144.</t>
  </si>
  <si>
    <t>10.2.</t>
  </si>
  <si>
    <t>ES struktūrfondu līdzekļi un aktivitāšu līdzfinansējumi</t>
  </si>
  <si>
    <t>18.6.2.6.1.</t>
  </si>
  <si>
    <t>10.2.1.</t>
  </si>
  <si>
    <t>Dotācija nodarbinātības pasākumiem</t>
  </si>
  <si>
    <t>0634</t>
  </si>
  <si>
    <t>18.6.3.6.</t>
  </si>
  <si>
    <t>10.2.2.</t>
  </si>
  <si>
    <t>Plūdu risku projekts</t>
  </si>
  <si>
    <t>10.2.3.</t>
  </si>
  <si>
    <t>Apgaismojuma izbūve uz Salas aizsargdamja D-2 posmā, Carnikavas pagastā</t>
  </si>
  <si>
    <t>0632.6</t>
  </si>
  <si>
    <t>10.2.4.</t>
  </si>
  <si>
    <t>Eiropas Bauhaus pieejas piemērošana sabiedrisko ēku pārveidošanai</t>
  </si>
  <si>
    <t>Ieskaitīts projekta finansējums</t>
  </si>
  <si>
    <t xml:space="preserve">18.6.3.13. </t>
  </si>
  <si>
    <t>10.2.5.</t>
  </si>
  <si>
    <t>SAM 9.2.4.2. projekts "Pasākumi vietējās sabiedrības veselības veicināšanai Ādažu novadā"</t>
  </si>
  <si>
    <t xml:space="preserve">18.6.3.14.  </t>
  </si>
  <si>
    <t>10.2.6.</t>
  </si>
  <si>
    <t>VISA projekts "Atbalsts izglītojamo individuālo kompetenču attīstībai"</t>
  </si>
  <si>
    <t>10.2.8.</t>
  </si>
  <si>
    <t>SAM 9311 Deinstitucionalizācija - Dienas centrs - specializētās darbnīcas</t>
  </si>
  <si>
    <t>10.2.9.</t>
  </si>
  <si>
    <t>Dienas centrs - pakalpojumi (Ā)</t>
  </si>
  <si>
    <t>0632.2</t>
  </si>
  <si>
    <t xml:space="preserve">18.6.3.12. </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</si>
  <si>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</si>
  <si>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</si>
  <si>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</si>
  <si>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</si>
  <si>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</si>
  <si>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</si>
  <si>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</si>
  <si>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</si>
  <si>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18.6.3.20.</t>
  </si>
  <si>
    <t>10.2.14.</t>
  </si>
  <si>
    <t>SAM 5.5.1. Kultūras objektu būvniecība ©</t>
  </si>
  <si>
    <t>10.2.15.</t>
  </si>
  <si>
    <t>ES projekts Eiropa pilsoņiem (diskriminētām personām) ©</t>
  </si>
  <si>
    <t>10.2.16.</t>
  </si>
  <si>
    <t>ERASMUS + projekti</t>
  </si>
  <si>
    <t>Precizēta projekta NP</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</si>
  <si>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</si>
  <si>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</si>
  <si>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</si>
  <si>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</si>
  <si>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</si>
  <si>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</si>
  <si>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</si>
  <si>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</si>
  <si>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</si>
  <si>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10.2.21.</t>
  </si>
  <si>
    <t>Katlu mājas pārbūve Carnikavā, Tulpju iela 5</t>
  </si>
  <si>
    <t>Saskaņā ar Domes 06.09.2023. lēmumu Nr. 339 projekta realizācija atcelta</t>
  </si>
  <si>
    <t>18.6.4.0.</t>
  </si>
  <si>
    <t>10.3.</t>
  </si>
  <si>
    <t>IIN budžeta dotācija</t>
  </si>
  <si>
    <t>11.</t>
  </si>
  <si>
    <t>Pašvaldību budžeta transferti</t>
  </si>
  <si>
    <t>19.2.1.0.</t>
  </si>
  <si>
    <t>11.1.</t>
  </si>
  <si>
    <t>no citām pašvaldībām izglītības funkciju nodrošināšanai</t>
  </si>
  <si>
    <t>Balstoties uz izpildes prognozi palielinājums EUR 47100. Palielinājums tiks novirzīts līdzfinansējuma nodrošināšanai audzēkņiem, kuri apmeklē privātās izglītības iestādes.</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</si>
  <si>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</si>
  <si>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</si>
  <si>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</si>
  <si>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</si>
  <si>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</si>
  <si>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</si>
  <si>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</si>
  <si>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</si>
  <si>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</si>
  <si>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</si>
  <si>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</si>
  <si>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</si>
  <si>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</si>
  <si>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</si>
  <si>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</si>
  <si>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</si>
  <si>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</si>
  <si>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</si>
  <si>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</si>
  <si>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</si>
  <si>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</si>
  <si>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</si>
  <si>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</si>
  <si>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</si>
  <si>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</si>
  <si>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</si>
  <si>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</si>
  <si>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</si>
  <si>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</si>
  <si>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</si>
  <si>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12.3.3.</t>
  </si>
  <si>
    <t>pārējie ieņēmumi par nomu ©</t>
  </si>
  <si>
    <t>21.3.9.0.</t>
  </si>
  <si>
    <t>12.4.</t>
  </si>
  <si>
    <t>budžeta iestāžu maksas pakalpojumi</t>
  </si>
  <si>
    <t>0812</t>
  </si>
  <si>
    <t>12.4.1.</t>
  </si>
  <si>
    <t>Ieņēmumu pārpilde (Sporta daļa), palielināt par EUR 5000</t>
  </si>
  <si>
    <t>12.4.2.</t>
  </si>
  <si>
    <t>ieņēmumi no biļešu realizācijas</t>
  </si>
  <si>
    <t>12.4.3.</t>
  </si>
  <si>
    <t>ieņēmumi no dzīvokļu un komunālajiem pakalpojumiem ©</t>
  </si>
  <si>
    <t>21.3.5.9.; 21.4.9.9.</t>
  </si>
  <si>
    <t>12.6.</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</si>
  <si>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</si>
  <si>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</si>
  <si>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</si>
  <si>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</si>
  <si>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</si>
  <si>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</si>
  <si>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</si>
  <si>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</si>
  <si>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</si>
  <si>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</si>
  <si>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</si>
  <si>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14.2.</t>
  </si>
  <si>
    <t>14.3.</t>
  </si>
  <si>
    <t xml:space="preserve"> "Auto stāvlaukuma Lilastē paplašināšana, atpūtas vietu, labiekārtojuma, labierīcību, kempinga iespēju projektēšana un izbūve" ©</t>
  </si>
  <si>
    <t>F40321210</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</si>
  <si>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</si>
  <si>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</si>
  <si>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</si>
  <si>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</si>
  <si>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</si>
  <si>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</si>
  <si>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</si>
  <si>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</si>
  <si>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</si>
  <si>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Saskaņā ar Domes 28.09.2023. lēmumum Nr.289, projekts 2023.gadā netiks realizēts</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</si>
  <si>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</si>
  <si>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</si>
  <si>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</si>
  <si>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</si>
  <si>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</si>
  <si>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</si>
  <si>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</si>
  <si>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Saskaņā ar Domes 28.09.2023. lēmumum Nr.289, Draudzības ielas rekonstrukcija - projekts netiks realizēts 2023.gadā. Aizņēmums EUR 126'000 netiks saņemts.</t>
  </si>
  <si>
    <t>14.13.</t>
  </si>
  <si>
    <t>Liepu aleja</t>
  </si>
  <si>
    <t>Atbalstīta projekta realizācija</t>
  </si>
  <si>
    <t>14.14.</t>
  </si>
  <si>
    <t xml:space="preserve">       Atpūtas ielas pārbūve</t>
  </si>
  <si>
    <t>Sākotnēji plānots no pašvaldības līdzekļiem, bet saskaņā ar likumu ir iespējams izmantot aizņēmuma līdzekļus.</t>
  </si>
  <si>
    <t>VK aizņēmums nav saņemts</t>
  </si>
  <si>
    <t>PAVISAM KOPĀ IEŅĒMUMI:</t>
  </si>
  <si>
    <t xml:space="preserve">Izdevumu daļa </t>
  </si>
  <si>
    <t>Komentāri</t>
  </si>
  <si>
    <t>Vispārējie valdības dienesti</t>
  </si>
  <si>
    <t>0110</t>
  </si>
  <si>
    <t>pārvalde</t>
  </si>
  <si>
    <t>EKK korekcija (algu ekonomija novirzīta uz KA, atbalstīto zemsvītras investīciju finansēšanai.)</t>
  </si>
  <si>
    <t>0111</t>
  </si>
  <si>
    <t>deputāti</t>
  </si>
  <si>
    <t>0130</t>
  </si>
  <si>
    <t>1.3.</t>
  </si>
  <si>
    <t>administratīvā komisija</t>
  </si>
  <si>
    <t>0140</t>
  </si>
  <si>
    <t>1.4.</t>
  </si>
  <si>
    <t>iepirkumu komisija</t>
  </si>
  <si>
    <t>0120</t>
  </si>
  <si>
    <t>1.5.</t>
  </si>
  <si>
    <t>vēlēšanu komisija</t>
  </si>
  <si>
    <t>0150</t>
  </si>
  <si>
    <t>1.6.</t>
  </si>
  <si>
    <t>pārējās komisijas</t>
  </si>
  <si>
    <t>EUR2000 uz PII Piejūra - balva par energotaupības rezultātiem</t>
  </si>
  <si>
    <t>1.7.</t>
  </si>
  <si>
    <t>aizņēmumu procentu maksājumi</t>
  </si>
  <si>
    <t>Lai kompensētu aizņēmumu likmju pieaugumu.</t>
  </si>
  <si>
    <t>Procentu maksājumu summas palielinājums (avots - IIN pārpilde)</t>
  </si>
  <si>
    <t>1.8.</t>
  </si>
  <si>
    <t>Iemaksas PFIF</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</si>
  <si>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</si>
  <si>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</si>
  <si>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</si>
  <si>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</si>
  <si>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</si>
  <si>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</si>
  <si>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</si>
  <si>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</si>
  <si>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Ekonomiskā darbība</t>
  </si>
  <si>
    <t>0490</t>
  </si>
  <si>
    <t>Sabiedriskās attiecības, laikraksts</t>
  </si>
  <si>
    <t>4.1.1.</t>
  </si>
  <si>
    <t>Sabiedrisko attiecību nodaļa</t>
  </si>
  <si>
    <t>4.1.2.</t>
  </si>
  <si>
    <t>Ādažu vēstis</t>
  </si>
  <si>
    <t>0420</t>
  </si>
  <si>
    <t>Autoceļu fonds</t>
  </si>
  <si>
    <t>Vides aizsardzība</t>
  </si>
  <si>
    <t>0510</t>
  </si>
  <si>
    <t>Dabas resursu nodokļa izlietojums</t>
  </si>
  <si>
    <t>Pašvaldības teritoriju un mājokļu apsaimniekošana</t>
  </si>
  <si>
    <t>0620</t>
  </si>
  <si>
    <t>Būvvalde</t>
  </si>
  <si>
    <t>+ EUR 15'000 arhitektu plenērs izglītības kvartālam</t>
  </si>
  <si>
    <t>0660</t>
  </si>
  <si>
    <t>6.3.</t>
  </si>
  <si>
    <t>Teritorijas plānošanas nodaļa</t>
  </si>
  <si>
    <t>6.4.</t>
  </si>
  <si>
    <t>Attīstības un projektu nodaļa</t>
  </si>
  <si>
    <t>6.4.1.</t>
  </si>
  <si>
    <t>nodaļa</t>
  </si>
  <si>
    <t>Life CoHabit projekts noslēdzies - 2) EUR 5033 Gaujas-Baltezera projekta realizācijai (Lēmums #82)</t>
  </si>
  <si>
    <t>1. Papildus ģimenes ārsta prakses projekta realizācijas prasība - informatīvās plāksnes izgatavošana no attīstības daļas budžeta. (EUR 73 no 0630 uz 0633.5)
2. Saskaņā ar Domes 26.07.2023. lēmumu Nr. 291:
2.1. EUR 27'000 no Ķiršu ielas būvniecības plānotās summas Krastupes ielas projektēšanai.
2.2. EUR 8'000 no Draudzības ielas būvniecības plānotās summas Krastupes ielas projektēšanai.
2.3. EUR 50'000 no Dadzīšu ielas projektēšanas plānotās summas Krastupes ielas projektēšanai.
3. EUR 1000 no projekta konta atlikuma (projekts noslēdzies) uz zemas cenas īres mājokļu būvniecībai paredzētās teritorijas novērtēšanai (EKK 0630 (2239))</t>
  </si>
  <si>
    <t>1) Podnieku zemes iegāde EUR 232'064 no Attīstības daļas budžeta 0630/EKK 5217 uz Nekustamo īpašumu nodaļu 0670/EKK 5214;
2) Pārskaitīt EUR 8'445 CKS (no 0630/5240 uz 0645/7230) piekrastes projekta realizēšana</t>
  </si>
  <si>
    <t>0630.1</t>
  </si>
  <si>
    <t>6.4.2.</t>
  </si>
  <si>
    <t>Projekts "Sabiedrība ar dvēseli"</t>
  </si>
  <si>
    <t>Saskaņā ar lēmumu, novirzīt EUR 1'630 no 0630.2 Pārrobežu EST-LAT projekts "Militārais mantojums uz 0630.1/3263 Sabiedrība ar dvēseli projektu realizācijai</t>
  </si>
  <si>
    <t>6.4.3.</t>
  </si>
  <si>
    <t>Iedzīvotāju iniciatīvas un konkursi.</t>
  </si>
  <si>
    <t>0632.5</t>
  </si>
  <si>
    <t>6.4.4.</t>
  </si>
  <si>
    <t>TEP “Atjaunojamo energoresursu izmantošana Ādažu novadā” (EUCF)</t>
  </si>
  <si>
    <t>EUR 18'000 no atlikuma uz TEP “Atjaunojamo energoresursu izmantošana Ādažu novadā” (EUCF) projektu priekšfinansējumam. (Lēmums #164)</t>
  </si>
  <si>
    <t>0633.1</t>
  </si>
  <si>
    <t>6.4.5.</t>
  </si>
  <si>
    <t>”Mobilitātes punkta infrastruktūras izveidošana Rīgas metropoles areālā – “Carnikava””</t>
  </si>
  <si>
    <t>0633.2</t>
  </si>
  <si>
    <t>6.4.6.</t>
  </si>
  <si>
    <t>0632.4</t>
  </si>
  <si>
    <t>6.4.7.</t>
  </si>
  <si>
    <t>6.4.8.</t>
  </si>
  <si>
    <t>Life CoHabit projekts noslēdzies - 1) EUR 18'000 no atlikuma uz TEP “Atjaunojamo energoresursu izmantošana Ādažu novadā” (EUCF) projektu priekšfinansējumam. (Lēmums #164)
2) EUR 5033 Gaujas-Baltezera projekta realizācijai (Lēmums #82)</t>
  </si>
  <si>
    <t>6.4.9.</t>
  </si>
  <si>
    <t>Pārrobežu EST-LAT projekts "Militārais mantojums ©</t>
  </si>
  <si>
    <t>Noslēdzies iepirkums par kopsummu EUR 16'298. EUR 1'298 novirzīt no projekta Militārais mantojums (0630.2/2239) uz Ģimenes ārsta prakses izveide (0633.5/5240).</t>
  </si>
  <si>
    <t>EUR 1000 no projekta konta atlikuma (projekts noslēdzies) uz zemas cenas īres mājokļu būvniecībai paredzētās teritorijas novērtēšanai (EKK 0630 (2239))</t>
  </si>
  <si>
    <t>0633.5</t>
  </si>
  <si>
    <t>6.4.10.</t>
  </si>
  <si>
    <t>Papildus ģimenes ārsta prakses projekta realizācijas prasība - informatīvās plāksnes izgatavošana no attīstības daļas budžeta</t>
  </si>
  <si>
    <t>6.4.11.</t>
  </si>
  <si>
    <t>6.5.</t>
  </si>
  <si>
    <t>Objektu un teritorijas apsaimniekošana un uzturēšana</t>
  </si>
  <si>
    <t>6.5.1.</t>
  </si>
  <si>
    <t>Nekustamo īpašumu uzturēšana (Ā)</t>
  </si>
  <si>
    <t>0670</t>
  </si>
  <si>
    <t xml:space="preserve">Nekustamā īpašumas nodaļa </t>
  </si>
  <si>
    <t>Podnieku zemes iegāde EUR 232'064 no Attīstības daļas budžeta 0630/EKK 5217 uz Nekustamo īpašumu nodaļu 0670/EKK 5214</t>
  </si>
  <si>
    <t>0649</t>
  </si>
  <si>
    <t>6.5.2.</t>
  </si>
  <si>
    <t>Mežaparka ceļš (Ā)</t>
  </si>
  <si>
    <t>6.5.3.</t>
  </si>
  <si>
    <t>CKS_apsaimniek</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</si>
  <si>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</si>
  <si>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</si>
  <si>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</si>
  <si>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</si>
  <si>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</si>
  <si>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</si>
  <si>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</si>
  <si>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</si>
  <si>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1) EUR 50'000 no Dadzīšu ielas projektēšanas plānotās summas Krastupes ielas projektēšanai.
2) EUR 25'175 Atpūtas ielas rekonstrukcijai (Indikatīvās būvdarbu izmaksas saskaņā ar lēmumu)
3) EUR 54'000 no Liepu ielas būvniecības plānotās summas Kalngales NAI pārbūvei.
4) CKS grozījumi, kur pārceļam EUR 3700 uz pamatskolas budžetu, lai samaksātu virsstundas ēkas dežurantam, kas veidojas apkalpojot telpu nomniekus.</t>
  </si>
  <si>
    <t>6.5.5.2.</t>
  </si>
  <si>
    <t>Dotācija CKS ceļu uzturēšanai</t>
  </si>
  <si>
    <t>1) EUR 50'936 no CKS dotācijas uz Teritorijas uzturēšanu (Dome) par apsaimniekošanas līgumiem, kas noslēgti ar Domi. (EUR 23'016 uz teritorijas apsaimn. Dome un EUR 27'920 uz ceļu sadaļu)</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</si>
  <si>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</si>
  <si>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</si>
  <si>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</si>
  <si>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(EUR 23'016 uz teritorijas apsaimn. Dome un EUR 27'920 uz ceļu sadaļu)
2) Saskaņā ar līdzfinansējuma vērtēšanas komisijas ierosinājumu palielināt finanšu apjomu par EUR 20'000 daudzdzīvokļu māju siltināšanas līdzfinansējumam.</t>
  </si>
  <si>
    <t>0650_4</t>
  </si>
  <si>
    <t>6.5.6.</t>
  </si>
  <si>
    <t>Ceļu, ielu infrastruktūras attīstības programma  - pašvaldības ieguldījums ©</t>
  </si>
  <si>
    <t>0633.3</t>
  </si>
  <si>
    <t>6.5.7.</t>
  </si>
  <si>
    <t>Auto stāvlaukuma Lilastē paplašināšanas un atpūtas vietu labiekārtojuma projektēšana un izbūve ©</t>
  </si>
  <si>
    <t>6.5.8.</t>
  </si>
  <si>
    <t>Rasiņu ielas seguma atjaunošana</t>
  </si>
  <si>
    <t>Realizēs caur Domes līgumu</t>
  </si>
  <si>
    <t>6.5.9.</t>
  </si>
  <si>
    <t>1) EUR 27'000 no Ķiršu ielas būvniecības plānotās summas Krastupes ielas projektēšanai. (Jūnija palielinājums EUR 57'326 no 0645/5240 uz 0645/7230)</t>
  </si>
  <si>
    <t>6.5.10.</t>
  </si>
  <si>
    <t>1) EUR 8'000 no Draudzības ielas būvniecības plānotās summas Krastupes ielas projektēšanai.
2) EUR 7'875 no Draudzības ielas būvniecības plānotās summas Kalngales NAI pārbūvei.</t>
  </si>
  <si>
    <t>Saskaņā ar Domes 28.09.2023. lēmumum Nr.289, Draudzības ielas rekonstrukcija - projekts netiks realizēts 2023.gadā</t>
  </si>
  <si>
    <t>6.5.11.</t>
  </si>
  <si>
    <t>1) EUR 54'000 no Liepu ielas būvniecības plānotās summas Kalngales NAI pārbūvei.
2) EUR 7'875 no Draudzības ielas būvniecības plānotās summas Kalngales NAI pārbūvei.</t>
  </si>
  <si>
    <t>Saskaņā ar Domes 28.09.2023. lēmumum Nr.289, Kalngales NAI pārbūve - projekts 2023.gadā netiks realizēts</t>
  </si>
  <si>
    <t>6.5.12.</t>
  </si>
  <si>
    <t>6.5.13.</t>
  </si>
  <si>
    <t>0633.4</t>
  </si>
  <si>
    <t>6.5.14.</t>
  </si>
  <si>
    <t>KF Ūdenssaimniecības projekts Carnikavā, 3.kārta ©</t>
  </si>
  <si>
    <t>Atpūta, kultūra un reliģija</t>
  </si>
  <si>
    <t>Kultūra</t>
  </si>
  <si>
    <t>0841.1</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</si>
  <si>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</si>
  <si>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</si>
  <si>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</si>
  <si>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</si>
  <si>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0841.2</t>
  </si>
  <si>
    <t>7.1.2.</t>
  </si>
  <si>
    <t>Tautas nams "Ozolaine" ©</t>
  </si>
  <si>
    <t>Saskaņā ar 19.10.2023. FK protokollēmumu EUR 19'000 no EKK 2239/08412 uz EKK 2239/0841.2 (Ozolaine)</t>
  </si>
  <si>
    <t>0841.3</t>
  </si>
  <si>
    <t>7.1.3.</t>
  </si>
  <si>
    <t>Muzejs un Carnikavas novadpētniecības centrs</t>
  </si>
  <si>
    <t>08412</t>
  </si>
  <si>
    <t>Dziesmu svētki 2023</t>
  </si>
  <si>
    <t>EUR 20'000 papildus atobusu īrei Dziesmu un deju svētkos</t>
  </si>
  <si>
    <t>0844.1</t>
  </si>
  <si>
    <t>7.3.</t>
  </si>
  <si>
    <t>SAM 5.5.1. Kultūras objektu būvniecība (maksājumi projekta partneriem) ©</t>
  </si>
  <si>
    <t>0844.2</t>
  </si>
  <si>
    <t>7.4.</t>
  </si>
  <si>
    <t>0830</t>
  </si>
  <si>
    <t>7.5.</t>
  </si>
  <si>
    <t xml:space="preserve">Ādažu bibliotēka </t>
  </si>
  <si>
    <t>Saskaņā ar maija sēdes lēmumu par bibliotēkas paplašināšanos</t>
  </si>
  <si>
    <t>0831</t>
  </si>
  <si>
    <t>7.6.</t>
  </si>
  <si>
    <t xml:space="preserve">Carnikavas bibliotēka </t>
  </si>
  <si>
    <t>Papildus finansējums pakomāta iegādei</t>
  </si>
  <si>
    <t>7.8.</t>
  </si>
  <si>
    <t>Sporta daļa</t>
  </si>
  <si>
    <t>1) EUR 3'504 no Sporta daļas uz CKS vertikulēšanas un aerācijas aparāta iegādei sporta laukuma uzturēšanai.
2) No maksas pakalpojumu ieņēmumu palielinājuma EUR 5'000 āra trenažieru iegādei.
3) Carnikavas stadiona rekonstrukcijas ietvaros. Ūdensņemšanas vieta priekš sniega pūšanas (realizēts projekta ietvaros. Šos EUR 30'000 no 09823/5250 uz 0812/5239 (āra trenažieru iegādei)</t>
  </si>
  <si>
    <t>0880</t>
  </si>
  <si>
    <t>7.9.</t>
  </si>
  <si>
    <t>Evaņģēliski luteriskās draudzes</t>
  </si>
  <si>
    <t>0843</t>
  </si>
  <si>
    <t>7.10.</t>
  </si>
  <si>
    <t>Multihalle</t>
  </si>
  <si>
    <t>Sociālā aizsardzība</t>
  </si>
  <si>
    <t>Sociālais dienests</t>
  </si>
  <si>
    <t>8.1.1.</t>
  </si>
  <si>
    <t xml:space="preserve">Sociālās funkcijas nodrošināšana </t>
  </si>
  <si>
    <t>Saskaņā ar domes 24.05.2023. lēmumu Nr. 196 pārcelt finansējumu vakancei "Bērnu brīvā laika organizators" no soc. Dienesta budžeta uz Izglītības un jaunatnes nodaļu</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</si>
  <si>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</si>
  <si>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</si>
  <si>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</si>
  <si>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</si>
  <si>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</si>
  <si>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</si>
  <si>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</si>
  <si>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</si>
  <si>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</si>
  <si>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</si>
  <si>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</si>
  <si>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</si>
  <si>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</si>
  <si>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</si>
  <si>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</si>
  <si>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</si>
  <si>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</si>
  <si>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8.3.2.</t>
  </si>
  <si>
    <t>DI projekts- specializētās darbnīcas</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</si>
  <si>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</si>
  <si>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</si>
  <si>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</si>
  <si>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</si>
  <si>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</si>
  <si>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</si>
  <si>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</si>
  <si>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</si>
  <si>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</si>
  <si>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</si>
  <si>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</si>
  <si>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</si>
  <si>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</si>
  <si>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</si>
  <si>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</si>
  <si>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</si>
  <si>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</si>
  <si>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EUR 220'908 no pašvaldību savstarpējiem norēķiniem uz līdzfinansējumu privātajām izgl.iest.</t>
  </si>
  <si>
    <t>9.2.</t>
  </si>
  <si>
    <t>Ādažu Pirmsskolas izglītības iestāde</t>
  </si>
  <si>
    <t>0911</t>
  </si>
  <si>
    <t>9.2.1.</t>
  </si>
  <si>
    <t>pedagogu algas, grāmatas (mērķdotācija)</t>
  </si>
  <si>
    <t>0910</t>
  </si>
  <si>
    <t>9.2.2.</t>
  </si>
  <si>
    <t>pārējās izmaksas</t>
  </si>
  <si>
    <t>1. - EUR 7'910 korekcija (algu ekonomija novirzīta uz KA, atbalstīto zemsvītras investīciju finansēšanai.)
2. + EUR 20'000 ĀPII rotaļu laukums</t>
  </si>
  <si>
    <t>9.3.</t>
  </si>
  <si>
    <t>Kadagas PII</t>
  </si>
  <si>
    <t>0921</t>
  </si>
  <si>
    <t>9.3.1.</t>
  </si>
  <si>
    <t>0920</t>
  </si>
  <si>
    <t>9.3.2.</t>
  </si>
  <si>
    <t>9.4.</t>
  </si>
  <si>
    <t>Pirmsskolas izglītības iestāde "Riekstiņš"</t>
  </si>
  <si>
    <t>09011</t>
  </si>
  <si>
    <t>9.4.1.</t>
  </si>
  <si>
    <t>0901; 650_0901</t>
  </si>
  <si>
    <t>9.4.2.</t>
  </si>
  <si>
    <t>9.4.3.</t>
  </si>
  <si>
    <t>uzturēšanas izmaksas (CKS)</t>
  </si>
  <si>
    <t>0902; 650_0902</t>
  </si>
  <si>
    <t>9.5.</t>
  </si>
  <si>
    <t>Pirmsskolas izglītības iestādes "Piejūra"</t>
  </si>
  <si>
    <t>09021</t>
  </si>
  <si>
    <t>9.5.1.</t>
  </si>
  <si>
    <t>9.5.2.</t>
  </si>
  <si>
    <t>EUR 2000 uz PII Piejūra - balva par energotaupības rezultātiem</t>
  </si>
  <si>
    <t>9.5.3.</t>
  </si>
  <si>
    <t>9.6.</t>
  </si>
  <si>
    <t>Privātās izglītības iestādes</t>
  </si>
  <si>
    <t>1) Palielinājums ieņēmumos EUR 47'100 novirzīts līdzfinansējuma nodrošināšanai audzēkņiem, kuri apmeklē privātās izglītības iestādes.
2) EUR 220'908 no pašvaldību savstarpējiem norēķiniem uz līdzfinansējumu privātajām izgl.iest.
3)  EUR 32'100 no KA uz līdzfinansējumu privātajām izgl.iest.</t>
  </si>
  <si>
    <t>0970</t>
  </si>
  <si>
    <t>9.6.1.</t>
  </si>
  <si>
    <t>ĀBVS</t>
  </si>
  <si>
    <t>0940</t>
  </si>
  <si>
    <t>9.6.2.</t>
  </si>
  <si>
    <t>Privātās skolas</t>
  </si>
  <si>
    <t>9.6.3.</t>
  </si>
  <si>
    <t>Pārējās privātās PII</t>
  </si>
  <si>
    <t>9.7.</t>
  </si>
  <si>
    <t>Carnikavas pamatskola</t>
  </si>
  <si>
    <t>09821</t>
  </si>
  <si>
    <t>9.7.1.</t>
  </si>
  <si>
    <t>9.7.2.</t>
  </si>
  <si>
    <t>ēdināšana (mērķdotācija)</t>
  </si>
  <si>
    <t>0982; 0650_0982</t>
  </si>
  <si>
    <t>9.7.3.</t>
  </si>
  <si>
    <t>9.7.4.</t>
  </si>
  <si>
    <t>CKS grozījumi, kur pārceļam EUR 3700 uz pamatskolas budžetu, lai samaksātu virsstundas ēkas dežurantam, kas veidojas apkalpojot telpu nomniekus.</t>
  </si>
  <si>
    <t>09822</t>
  </si>
  <si>
    <t>9.7.5.</t>
  </si>
  <si>
    <t>projekts "Skolas soma"</t>
  </si>
  <si>
    <t>09825</t>
  </si>
  <si>
    <t>9.7.6.</t>
  </si>
  <si>
    <t>projekts Erasmus+</t>
  </si>
  <si>
    <t>0982</t>
  </si>
  <si>
    <t>9.7.7.</t>
  </si>
  <si>
    <t>mācību vides labiekārtošana</t>
  </si>
  <si>
    <t>09823</t>
  </si>
  <si>
    <t>9.8.</t>
  </si>
  <si>
    <t>Carnikavas stadiona rekonstrukcijas ietvaros. Ūdensņemšanas vieta priekš sniega pūšanas (realizēts projekta ietvaros. Šos EUR 30'000 no 09823/5250 uz 0812/5239 (āra trenažieru iegādei)</t>
  </si>
  <si>
    <t>9.9.</t>
  </si>
  <si>
    <t>Ādažu vidusskola</t>
  </si>
  <si>
    <t>0954</t>
  </si>
  <si>
    <t>9.9.1.</t>
  </si>
  <si>
    <t>0950</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</si>
  <si>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</si>
  <si>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</si>
  <si>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</si>
  <si>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20.09. FK protokols - EUR 9'300 no plānotā Chromebook apdrošināšanai un EUR 3'500 no plānotā profesionālās izaugsmes progr. (Transportlīdz. Vadīš. Apmācība) uz sākumskolu mācību līdzekļu iegādei.</t>
  </si>
  <si>
    <t>0957</t>
  </si>
  <si>
    <t>9.9.3.</t>
  </si>
  <si>
    <t>0951</t>
  </si>
  <si>
    <t>9.9.4.</t>
  </si>
  <si>
    <t>9.9.5.</t>
  </si>
  <si>
    <t>Ādažu vidusskolas ēkas B korpusa un savienojuma daļas starp korpusiem (C un B) fasādes atjaunošana - pašvaldības līdzfinansējuma daļa (aizņemšanās nosacījumi paredz 10% līdzfin.)</t>
  </si>
  <si>
    <t>0981</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</si>
  <si>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</si>
  <si>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</si>
  <si>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</si>
  <si>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</si>
  <si>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</si>
  <si>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9.9.8.</t>
  </si>
  <si>
    <t xml:space="preserve">PII </t>
  </si>
  <si>
    <t>0952.1</t>
  </si>
  <si>
    <t>9.9.8.1.</t>
  </si>
  <si>
    <t>- pedagogu algas (mērķdotācija)</t>
  </si>
  <si>
    <t>0952</t>
  </si>
  <si>
    <t>9.9.8.2.</t>
  </si>
  <si>
    <t>-  uzturēšana</t>
  </si>
  <si>
    <t>9.10.</t>
  </si>
  <si>
    <t>Ādažu novada  Mākslu skola</t>
  </si>
  <si>
    <t>9.10.1.</t>
  </si>
  <si>
    <t>pedagogu algas (mērķdotācija)</t>
  </si>
  <si>
    <t>9.10.2.</t>
  </si>
  <si>
    <t>9.11.</t>
  </si>
  <si>
    <t>Sporta skola</t>
  </si>
  <si>
    <t>09651</t>
  </si>
  <si>
    <t>9.11.1.</t>
  </si>
  <si>
    <t>0965</t>
  </si>
  <si>
    <t>9.11.2.</t>
  </si>
  <si>
    <t>Pašvaldības finansējums</t>
  </si>
  <si>
    <t>0930</t>
  </si>
  <si>
    <t>9.12.</t>
  </si>
  <si>
    <t>Izglītības un jaunatnes nodaļa</t>
  </si>
  <si>
    <t>9.13.</t>
  </si>
  <si>
    <t>Līdzfinansējums skolēnu dalībai konkursos</t>
  </si>
  <si>
    <t>0931</t>
  </si>
  <si>
    <t>9.14.</t>
  </si>
  <si>
    <t>ESF projekts Atbalsts priekšlaicīgas mācību pārtraukšanas samazināšanai © (Pumpurs)</t>
  </si>
  <si>
    <t>0932</t>
  </si>
  <si>
    <t>9.15.</t>
  </si>
  <si>
    <t>0933</t>
  </si>
  <si>
    <t>9.16.</t>
  </si>
  <si>
    <t>Valsts finansējums projektu konkursā "Atbalsts jaunatnes politikas īstenošanai vietējā līmenī"  projekts "Mobilais darbs ar jaunatni Ādažu novadā"</t>
  </si>
  <si>
    <t>9.17.</t>
  </si>
  <si>
    <t>0956</t>
  </si>
  <si>
    <t>9.17.1.</t>
  </si>
  <si>
    <t>Ādaži</t>
  </si>
  <si>
    <t>09824</t>
  </si>
  <si>
    <t>9.17.2.</t>
  </si>
  <si>
    <t>Carnikava</t>
  </si>
  <si>
    <t>10</t>
  </si>
  <si>
    <t>Ieguldījumi uzņēmumu pamatkapitālā</t>
  </si>
  <si>
    <t>SIA "Ādažu ūdens"</t>
  </si>
  <si>
    <t>SIA "Garkalnes ūdens"</t>
  </si>
  <si>
    <t>KOPĀ IZDEVUMI:</t>
  </si>
  <si>
    <t>Kredītu pamatsummas atmaksa</t>
  </si>
  <si>
    <t>PAVISAM KOPĀ IZDEVUMI:</t>
  </si>
  <si>
    <t>-</t>
  </si>
  <si>
    <t>Naudas līdzekļu atlikums uz gada beigām</t>
  </si>
  <si>
    <t>Ādažu novada pašvaldības aizņēmumu un citu ilgtermiņa saistību pārskats</t>
  </si>
  <si>
    <t>Te jāieliek pilnais gads, šobrīd ir tikai atlikušais!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</si>
  <si>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</si>
  <si>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</si>
  <si>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</si>
  <si>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</si>
  <si>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</si>
  <si>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</si>
  <si>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</si>
  <si>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</si>
  <si>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</si>
  <si>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t>
  </si>
  <si>
    <t>Neatmaksātās pamatsummas atlikums</t>
  </si>
  <si>
    <t>% likmes maiņas datums</t>
  </si>
  <si>
    <t>% likmes veids</t>
  </si>
  <si>
    <t>Kopējā procentu likme (gadā), %</t>
  </si>
  <si>
    <t>Procentu likme , %</t>
  </si>
  <si>
    <t>Apkalpošanas maksa, %</t>
  </si>
  <si>
    <t>Maksājuma veids</t>
  </si>
  <si>
    <t>2023 faktiski samaksāts</t>
  </si>
  <si>
    <t>2023 atlikušais maksājums</t>
  </si>
  <si>
    <t>Pavisam kopā</t>
  </si>
  <si>
    <t>2030 - 2053</t>
  </si>
  <si>
    <t>Kopsumma 2023 - 2053</t>
  </si>
  <si>
    <t>A</t>
  </si>
  <si>
    <t>Stabilizācijas aizdevums (1.kārtas 2.posms)</t>
  </si>
  <si>
    <t>A2/1/11/107</t>
  </si>
  <si>
    <t>P-50/2011</t>
  </si>
  <si>
    <t>11.04.2011</t>
  </si>
  <si>
    <t>20.04.2036</t>
  </si>
  <si>
    <t>EUR</t>
  </si>
  <si>
    <t>Pamatsumma</t>
  </si>
  <si>
    <t>12.04.2024</t>
  </si>
  <si>
    <t>Procentu maksa</t>
  </si>
  <si>
    <t>Stabilizācijas aizdevums (1.kārtas 3.posms)</t>
  </si>
  <si>
    <t>A2/1/11/549</t>
  </si>
  <si>
    <t>P-350/2011</t>
  </si>
  <si>
    <t>22.09.2011</t>
  </si>
  <si>
    <t>22.12.2031</t>
  </si>
  <si>
    <t>22.09.2023</t>
  </si>
  <si>
    <t>Stabilizācijas aizdevums (2.kārta 1.posms)</t>
  </si>
  <si>
    <t>A2/1/12/328</t>
  </si>
  <si>
    <t>P-219/2012</t>
  </si>
  <si>
    <t>11.07.2012</t>
  </si>
  <si>
    <t>25.03.2032</t>
  </si>
  <si>
    <t>06.07.2024</t>
  </si>
  <si>
    <t>Stabilizācijas aizdevums (2.kārta 2.posms)</t>
  </si>
  <si>
    <t>A2/1/13/1000</t>
  </si>
  <si>
    <t>P-441/2013</t>
  </si>
  <si>
    <t>26.11.2013</t>
  </si>
  <si>
    <t>27.11.2023</t>
  </si>
  <si>
    <t>22.11.2023</t>
  </si>
  <si>
    <t>Gaujas ielas rekonstrukcija (1.-3.kārta)</t>
  </si>
  <si>
    <t>A2/1/17/301</t>
  </si>
  <si>
    <t>P-196/2017</t>
  </si>
  <si>
    <t>19.05.2017</t>
  </si>
  <si>
    <t>20.05.2032</t>
  </si>
  <si>
    <t>18.05.2024</t>
  </si>
  <si>
    <t>Gaujas ielas rekonstrukcija (4.kārta)</t>
  </si>
  <si>
    <t>A2/1/17/596</t>
  </si>
  <si>
    <t>P-450/2017</t>
  </si>
  <si>
    <t>21.08.2017</t>
  </si>
  <si>
    <t>20.08.2032</t>
  </si>
  <si>
    <t>18.08.2024</t>
  </si>
  <si>
    <t>Jaunās skolas būvniecība (1.-2. kārta)</t>
  </si>
  <si>
    <t>A2/1/18/123</t>
  </si>
  <si>
    <t>P-94/2018</t>
  </si>
  <si>
    <t>03.04.2018</t>
  </si>
  <si>
    <t>22.06.2048</t>
  </si>
  <si>
    <t>29.03.2024</t>
  </si>
  <si>
    <t>C</t>
  </si>
  <si>
    <t xml:space="preserve">ELFLA projekts pievadceļu attīstība lauksaimniecības uzņēmumiem </t>
  </si>
  <si>
    <t>A2/1/18/139</t>
  </si>
  <si>
    <t>P-109/2018</t>
  </si>
  <si>
    <t>05.04.2018</t>
  </si>
  <si>
    <t>22.03.2038</t>
  </si>
  <si>
    <t>30.01.2024</t>
  </si>
  <si>
    <t>Ceļu, ielu infrastruktūras programma (1.kārta)</t>
  </si>
  <si>
    <t>A2/1/18/251</t>
  </si>
  <si>
    <t>P-205/2018</t>
  </si>
  <si>
    <t>28.05.2018</t>
  </si>
  <si>
    <t>20.05.2038</t>
  </si>
  <si>
    <t>24.05.2024</t>
  </si>
  <si>
    <t xml:space="preserve">Komunālās saimniecības investīcijas transportam </t>
  </si>
  <si>
    <t>A2/1/18/252</t>
  </si>
  <si>
    <t>P-200/2018</t>
  </si>
  <si>
    <t>20.05.2025</t>
  </si>
  <si>
    <t>ES Interreg Igaunijas - Latvijas projekts "Hiking Route Along the Baltic Sea Coastline in Latvia-Estonia"</t>
  </si>
  <si>
    <t>A2/1/18/255</t>
  </si>
  <si>
    <t>P-203/2018</t>
  </si>
  <si>
    <t>20.05.2033</t>
  </si>
  <si>
    <t>ERAF projekts Natura 2000 Atpūtas taka Carnikavā</t>
  </si>
  <si>
    <t>A2/1/18/254</t>
  </si>
  <si>
    <t>P-202/2018</t>
  </si>
  <si>
    <t>Prioritāro projektu īstenošana: bērnu rotaļu laukumi Carnikavas novadā</t>
  </si>
  <si>
    <t>A2/1/18/452</t>
  </si>
  <si>
    <t>P-374/2018</t>
  </si>
  <si>
    <t>12.07.2018</t>
  </si>
  <si>
    <t>20.06.2028</t>
  </si>
  <si>
    <t>11.07.2024</t>
  </si>
  <si>
    <t>Izglītības iestāžu investīciju projekts - Piejūras PII būvniecība</t>
  </si>
  <si>
    <t>A2/1/18/529</t>
  </si>
  <si>
    <t>P-435/2018</t>
  </si>
  <si>
    <t>03.08.2018</t>
  </si>
  <si>
    <t>20.07.2048</t>
  </si>
  <si>
    <t>01.08.2024</t>
  </si>
  <si>
    <t>Izglītības iestāžu investīciju projekts - Carnikavas izglītības iestādes būvniecība no moduļiem</t>
  </si>
  <si>
    <t>A2/1/18/528</t>
  </si>
  <si>
    <t>P-436/2018</t>
  </si>
  <si>
    <t>Ceļu, ielu infrastruktūras programma (2.kārta)</t>
  </si>
  <si>
    <t>A2/1/18/611</t>
  </si>
  <si>
    <t>P-500/2018</t>
  </si>
  <si>
    <t>04.09.2018</t>
  </si>
  <si>
    <t>20.08.2038</t>
  </si>
  <si>
    <t>30.08.2024</t>
  </si>
  <si>
    <t>Ceļu, ielu infrastruktūras programma (3.kārta)</t>
  </si>
  <si>
    <t>A2/1/18/643</t>
  </si>
  <si>
    <t>P-537/2018</t>
  </si>
  <si>
    <t>12.09.2018</t>
  </si>
  <si>
    <t>11.09.2024</t>
  </si>
  <si>
    <t>Attekas ielas rekonstrukcija</t>
  </si>
  <si>
    <t>A2/1/18/644</t>
  </si>
  <si>
    <t>P-538/2018</t>
  </si>
  <si>
    <t>20.09.2033</t>
  </si>
  <si>
    <t>12.09.2024</t>
  </si>
  <si>
    <t>Muižas ielas rekonstrukcijai</t>
  </si>
  <si>
    <t>A2/1/18/711</t>
  </si>
  <si>
    <t>P-580/2018</t>
  </si>
  <si>
    <t>10.10.2018</t>
  </si>
  <si>
    <t>20.09.2028</t>
  </si>
  <si>
    <t>03.10.2023</t>
  </si>
  <si>
    <t>Ceļu, ielu infrastruktūras programma 4.kārta</t>
  </si>
  <si>
    <t>A2/1/18/777</t>
  </si>
  <si>
    <t>P-643/2018</t>
  </si>
  <si>
    <t>12.11.2018</t>
  </si>
  <si>
    <t>20.10.2038</t>
  </si>
  <si>
    <t>08.11.2023</t>
  </si>
  <si>
    <t xml:space="preserve">Prioritārais projekts Dambja būvniecība Valteru ielā </t>
  </si>
  <si>
    <t>A2/1/18/818</t>
  </si>
  <si>
    <t>P-666/2018</t>
  </si>
  <si>
    <t>21.11.2018</t>
  </si>
  <si>
    <t>22.11.2038</t>
  </si>
  <si>
    <t>14.11.2023</t>
  </si>
  <si>
    <t>Pārjaunojuma līgums visiem līgumiem līdz 2015.gadam</t>
  </si>
  <si>
    <t>A2/1/19/50</t>
  </si>
  <si>
    <t>PP-5/2019</t>
  </si>
  <si>
    <t>05.03.2019</t>
  </si>
  <si>
    <t>20.09.2035</t>
  </si>
  <si>
    <t>26.02.2024</t>
  </si>
  <si>
    <t>ELFLA Eimuru - Mangaļu poldera meliorācijas grāvju atjaunošana Carnikavas novadā</t>
  </si>
  <si>
    <t>A2/1/19/57</t>
  </si>
  <si>
    <t>P-31/2019</t>
  </si>
  <si>
    <t>06.03.2019</t>
  </si>
  <si>
    <t>20.02.2029</t>
  </si>
  <si>
    <t>06.03.2024</t>
  </si>
  <si>
    <t>ERAF projekta SAM 3.3.1. Uzņēmējdarbības attīstībai nepieciešamās infrastruktūras attīstībai Carnikavas novada Garciemā" īstenošanai</t>
  </si>
  <si>
    <t>A2/1/19/225</t>
  </si>
  <si>
    <t>P-150/2019</t>
  </si>
  <si>
    <t>13.06.2019</t>
  </si>
  <si>
    <t>20.05.2049</t>
  </si>
  <si>
    <t>06.06.2024</t>
  </si>
  <si>
    <t>SAM 4.2.2. ĀPII remontdarbi</t>
  </si>
  <si>
    <t>A2/1/19/370</t>
  </si>
  <si>
    <t>P-236/2019</t>
  </si>
  <si>
    <t>09.10.2019</t>
  </si>
  <si>
    <t>20.09.2034</t>
  </si>
  <si>
    <t>08.10.2023</t>
  </si>
  <si>
    <t>SAM 5.5.1. Kultūras objektu būvniecība</t>
  </si>
  <si>
    <t>A2/1/19/460</t>
  </si>
  <si>
    <t>P-292/2019</t>
  </si>
  <si>
    <t>11.12.2019</t>
  </si>
  <si>
    <t>21.11.2039</t>
  </si>
  <si>
    <t>06.12.2023</t>
  </si>
  <si>
    <t>Jaunās skolas būvniecība (3. kārta)</t>
  </si>
  <si>
    <t>A2/1/20/158</t>
  </si>
  <si>
    <t>P-119/2020</t>
  </si>
  <si>
    <t>29.04.2020</t>
  </si>
  <si>
    <t>20.04.2048</t>
  </si>
  <si>
    <t>29.04.2024</t>
  </si>
  <si>
    <t>Ataru ceļa rekonstrukcija</t>
  </si>
  <si>
    <t>A2/1/20/411</t>
  </si>
  <si>
    <t>P-177/2020</t>
  </si>
  <si>
    <t>08.07.2020</t>
  </si>
  <si>
    <t>20.06.2035</t>
  </si>
  <si>
    <t>08.07.2024</t>
  </si>
  <si>
    <t>KF projekts "Ūdenssaimniecības pakalpojumu attīstība Carnikavā III kārta"</t>
  </si>
  <si>
    <t>A2/1/20/675</t>
  </si>
  <si>
    <t>P-339/2020</t>
  </si>
  <si>
    <t>01.10.2020</t>
  </si>
  <si>
    <t>20.09.2050</t>
  </si>
  <si>
    <t>01.10.2023</t>
  </si>
  <si>
    <t>Carnikavas novada pašvaldības transporta infrstruktūras attīstība</t>
  </si>
  <si>
    <t>A2/1/20/676</t>
  </si>
  <si>
    <t>P-338/2020</t>
  </si>
  <si>
    <t>20.09.2040</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</si>
  <si>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</si>
  <si>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</si>
  <si>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</si>
  <si>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</si>
  <si>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</si>
  <si>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</si>
  <si>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</si>
  <si>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</si>
  <si>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</si>
  <si>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</si>
  <si>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</si>
  <si>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</si>
  <si>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</si>
  <si>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</si>
  <si>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26.01.2024</t>
  </si>
  <si>
    <t>LAD  projekts koka laipu taka uz jūru</t>
  </si>
  <si>
    <t>A2/1/21/11</t>
  </si>
  <si>
    <t>P-3/2021</t>
  </si>
  <si>
    <t>20.01.2031</t>
  </si>
  <si>
    <t>Prioritārais projekts "PII "Piejūra" būvniecība"</t>
  </si>
  <si>
    <t>A2/1/21/41</t>
  </si>
  <si>
    <t>P-10/2021</t>
  </si>
  <si>
    <t>24.02.2021</t>
  </si>
  <si>
    <t>20.02.2051</t>
  </si>
  <si>
    <t>24.02.2024</t>
  </si>
  <si>
    <t>Budžeta un finanšu vadībai (Aprīkojums PII Piejūra)</t>
  </si>
  <si>
    <t>A2/1/21/96</t>
  </si>
  <si>
    <t>P-43/2021</t>
  </si>
  <si>
    <t>25.03.2021</t>
  </si>
  <si>
    <t>20.03.2024</t>
  </si>
  <si>
    <t>PII Piejūra būvniecības pabeigšana</t>
  </si>
  <si>
    <t>A2/1/21/120</t>
  </si>
  <si>
    <t>P-69/2021</t>
  </si>
  <si>
    <t>08.04.2021</t>
  </si>
  <si>
    <t>20.03.2051</t>
  </si>
  <si>
    <t>08.04.2024</t>
  </si>
  <si>
    <t>Investīciju projektu īstenošanai (saistību pārjaunojums)</t>
  </si>
  <si>
    <t>A2/1/21/139</t>
  </si>
  <si>
    <t>PP-14/2021</t>
  </si>
  <si>
    <t>26.04.2021</t>
  </si>
  <si>
    <t>21.06.2038</t>
  </si>
  <si>
    <t>22.04.2024</t>
  </si>
  <si>
    <t>Stacijas ielas pārbūve</t>
  </si>
  <si>
    <t>A2/1/21/169</t>
  </si>
  <si>
    <t>P-89/2021</t>
  </si>
  <si>
    <t>30.04.2021</t>
  </si>
  <si>
    <t>20.04.2051</t>
  </si>
  <si>
    <t>30.04.2024</t>
  </si>
  <si>
    <t>Lielās ielas pārbūve</t>
  </si>
  <si>
    <t>A2/1/21/232</t>
  </si>
  <si>
    <t>P-163/2021</t>
  </si>
  <si>
    <t>27.05.2021</t>
  </si>
  <si>
    <t>20.05.2041</t>
  </si>
  <si>
    <t>27.05.2024</t>
  </si>
  <si>
    <t>Autostāvvietas izbūve Karlsona parkā, Garciemā, Carnikavas novadā</t>
  </si>
  <si>
    <t>A2/1/21/231</t>
  </si>
  <si>
    <t>P-164/2021</t>
  </si>
  <si>
    <t>Pirmās ielas stāvlaukums pie ĀPII</t>
  </si>
  <si>
    <t>A2/1/21/632</t>
  </si>
  <si>
    <t>P-481/2021</t>
  </si>
  <si>
    <t>14.10.2021</t>
  </si>
  <si>
    <t>21.09.2026</t>
  </si>
  <si>
    <t>A2/1/21/729</t>
  </si>
  <si>
    <t>P-556/2021</t>
  </si>
  <si>
    <t>02.12.2021</t>
  </si>
  <si>
    <t>20.11.2040</t>
  </si>
  <si>
    <t>02.12.2023</t>
  </si>
  <si>
    <t>Mežaparka ceļa pārbūve</t>
  </si>
  <si>
    <t>A2/1/21/728</t>
  </si>
  <si>
    <t>P-557/2021</t>
  </si>
  <si>
    <t>20.11.2031</t>
  </si>
  <si>
    <t>Ķiršu ielas rekonstrukcija</t>
  </si>
  <si>
    <t>A2/1/21/727</t>
  </si>
  <si>
    <t>P-558/2021</t>
  </si>
  <si>
    <t>Carnikavas pamatskolas infrastruktūras uzlabošana un mācību vides labiekārtošana</t>
  </si>
  <si>
    <t>A2/1/21/776</t>
  </si>
  <si>
    <t>P-583/2021</t>
  </si>
  <si>
    <t>23.12.2021</t>
  </si>
  <si>
    <t>21.12.2026</t>
  </si>
  <si>
    <t>23.12.2023</t>
  </si>
  <si>
    <t>Laivu ielas (no Cēlāju ciema līdz jūrai Carnikavā) un tai piegulošā auto stāvlaukuma projektēšana un būvniecība</t>
  </si>
  <si>
    <t>A2/1/22/15</t>
  </si>
  <si>
    <t>P-7/2022</t>
  </si>
  <si>
    <t>02.02.2022</t>
  </si>
  <si>
    <t>20.01.2037</t>
  </si>
  <si>
    <t>02.02.2024</t>
  </si>
  <si>
    <t>Aizvēju ielas Garciemā, dubultā virsmas apstrāde (1.daļa)</t>
  </si>
  <si>
    <t>A2/1/22/16</t>
  </si>
  <si>
    <t>P-8/2022</t>
  </si>
  <si>
    <t>22.01.2029</t>
  </si>
  <si>
    <t>SAM 5.1.1. Pretplūdu pasākumi Ādažu centra polderī</t>
  </si>
  <si>
    <t>A2/1/22/123</t>
  </si>
  <si>
    <t>P-70/2022</t>
  </si>
  <si>
    <t>31.05.2022</t>
  </si>
  <si>
    <t>20.05.2037</t>
  </si>
  <si>
    <t>31.05.2024</t>
  </si>
  <si>
    <t>Gaujas ielas gājēju celiņa izbūve</t>
  </si>
  <si>
    <t>A2/1/22/165</t>
  </si>
  <si>
    <t>P-112/2022</t>
  </si>
  <si>
    <t>04.07.2022</t>
  </si>
  <si>
    <t>21.06.2027</t>
  </si>
  <si>
    <t>04.07.2024</t>
  </si>
  <si>
    <t>Skolas ielas projektēšana izbūve - 3.kārta</t>
  </si>
  <si>
    <t>A2/1/22/239</t>
  </si>
  <si>
    <t>P-160/2022</t>
  </si>
  <si>
    <t>20.07.2022</t>
  </si>
  <si>
    <t>20.07.2027</t>
  </si>
  <si>
    <t>20.07.2024</t>
  </si>
  <si>
    <t>Skolas siltināšana un stadiona rekonstrukcija</t>
  </si>
  <si>
    <t>A2/1/22/250</t>
  </si>
  <si>
    <t>P-164/2022</t>
  </si>
  <si>
    <t>03.08.2022</t>
  </si>
  <si>
    <t>20.07.2032</t>
  </si>
  <si>
    <t>03.08.2024</t>
  </si>
  <si>
    <t>Aizvēju ielas Garciemā, dubultā virsmas apstrāde (2.daļa)</t>
  </si>
  <si>
    <t>A2/1/22/265</t>
  </si>
  <si>
    <t>P-175/2022</t>
  </si>
  <si>
    <t>08.08.2022</t>
  </si>
  <si>
    <t>20.07.2029</t>
  </si>
  <si>
    <t>08.08.2024</t>
  </si>
  <si>
    <t>Carnikavas stadiona rekonstrukcija (Prioritārais)</t>
  </si>
  <si>
    <t>A2/1/22/536</t>
  </si>
  <si>
    <t>P-363/2022</t>
  </si>
  <si>
    <t>29.11.2022</t>
  </si>
  <si>
    <t>20.11.2037</t>
  </si>
  <si>
    <t>Carnikavas stadiona rekonstrukcija (Covid19)</t>
  </si>
  <si>
    <t>A2/1/22/538</t>
  </si>
  <si>
    <t>P-361/2022</t>
  </si>
  <si>
    <t>22.11.2032</t>
  </si>
  <si>
    <t>ERAF projekta (Nr.5.1.1.0/17/I/009) “Novērst plūdu un krasta erozijas risku apdraudējumu Ādažu novadā, 1. daļa” īstenošanai</t>
  </si>
  <si>
    <t>A2/1/22/582</t>
  </si>
  <si>
    <t>P-389/2022</t>
  </si>
  <si>
    <t>23.12.2022</t>
  </si>
  <si>
    <t>21.12.2037</t>
  </si>
  <si>
    <t>A2/1/23/103</t>
  </si>
  <si>
    <t>P-57/2023</t>
  </si>
  <si>
    <t>09.05.2023</t>
  </si>
  <si>
    <t>09.11.2023</t>
  </si>
  <si>
    <t>Carnikavas stadiona rekonstrukcija (Prioritārais 2023.g.)</t>
  </si>
  <si>
    <t>A2/1/23/156</t>
  </si>
  <si>
    <t>P-104/2023</t>
  </si>
  <si>
    <t>26.06.2023</t>
  </si>
  <si>
    <t>26.06.2024</t>
  </si>
  <si>
    <t xml:space="preserve"> "Auto stāvlaukuma Lilastē paplašināšana, atpūtas vietu, labiekārtojuma, labierīcību, kempinga iespēju projektēšana un izbūve"</t>
  </si>
  <si>
    <t>A2/1/23/245</t>
  </si>
  <si>
    <t>P-181/2023</t>
  </si>
  <si>
    <t>02.08.2023</t>
  </si>
  <si>
    <t>20.07.2026</t>
  </si>
  <si>
    <t>A2/1/23/290</t>
  </si>
  <si>
    <t>P-222/2023</t>
  </si>
  <si>
    <t>21.08.2023</t>
  </si>
  <si>
    <t>20.07.2033</t>
  </si>
  <si>
    <t>A2/1/23/429</t>
  </si>
  <si>
    <t>P-344/2023</t>
  </si>
  <si>
    <t xml:space="preserve"> ”Mobilitātes punkta infrastruktūras izveidošana </t>
  </si>
  <si>
    <t>Plānots</t>
  </si>
  <si>
    <t>Rīgas metropoles areālā – “Carnikava””</t>
  </si>
  <si>
    <t>PII Podnieki UN Krastupes iela</t>
  </si>
  <si>
    <t>Atmaksāts</t>
  </si>
  <si>
    <t>A2/1/22/267</t>
  </si>
  <si>
    <t>P-163/2022</t>
  </si>
  <si>
    <t>Būvprojekta "Kultūras un amatniecības centra pārbūve īpašumā "Blusas"" izstrāde</t>
  </si>
  <si>
    <t>A2/1/18/253</t>
  </si>
  <si>
    <t>P-201/2018</t>
  </si>
  <si>
    <t>Ādažu vidusskolas remonts</t>
  </si>
  <si>
    <t>A2/1/17/468</t>
  </si>
  <si>
    <t>P-330/2017</t>
  </si>
  <si>
    <t>20.06.2023</t>
  </si>
  <si>
    <t>Aizņēmumu portfeļa kopsumma:</t>
  </si>
  <si>
    <t>Aizņēmumi kopā:</t>
  </si>
  <si>
    <t>Citas ilgtermiņa saistības.</t>
  </si>
  <si>
    <t>Saistību mērķis</t>
  </si>
  <si>
    <t>Līguma Nr.</t>
  </si>
  <si>
    <t>Trānčes Nr.</t>
  </si>
  <si>
    <t>Galvojums SIA "Ādažu ūdens"</t>
  </si>
  <si>
    <t>Līzings - jauna automašīna Volvo V60</t>
  </si>
  <si>
    <t>(Operatīvais līzings)</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</si>
  <si>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</si>
  <si>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</si>
  <si>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</si>
  <si>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</si>
  <si>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</si>
  <si>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</si>
  <si>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</si>
  <si>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</si>
  <si>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</si>
  <si>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</si>
  <si>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</si>
  <si>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Plānotie vērtētie ieņēmumi, balstoties uz provizorisko pašvaldības finanšu izlīdzināšanas aprēķinu 2024.gadam.</t>
  </si>
  <si>
    <t>2023. budžets</t>
  </si>
  <si>
    <t>Trūkstošais procentu maksai, tiks iegrozīts 2023.gada budžeta oktobra grozījumos.</t>
  </si>
  <si>
    <r>
      <t xml:space="preserve">1) Pārskaitīt EUR 8'445 CKS (no 0630/5240 uz 0645/7230) piekrastes projekta realizēšanai.
2) EUR 3'504 no Sporta daļas uz CKS vertikulēšanas un aerācijas aparāta iegādei sporta laukuma uzturēšanai.
</t>
    </r>
    <r>
      <rPr>
        <sz val="11"/>
        <color rgb="FFFF0000"/>
        <rFont val="Times New Roman"/>
        <family val="1"/>
        <charset val="186"/>
      </rPr>
      <t>3) No CKS dotācijas uz Teritorijas uzturēšanu (Dome) par apsaimniekošanas līgumiem, kas noslēgti ar Domi (EUR 19'591 - teritorija; EUR 20'707 - ceļu uzturēšana).</t>
    </r>
  </si>
  <si>
    <t>No CKS dotācijas uz Teritorijas uzturēšanu (Dome) par apsaimniekošanas līgumiem, kas noslēgti ar Domi (EUR 19'591 - teritorija; EUR 20'707 - ceļu uzturēšana).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</si>
</sst>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00\ _€_-;\-* #,##0.00\ _€_-;_-* &quot;-&quot;??\ _€_-;_-@_-"/>
    <numFmt numFmtId="167" formatCode="_-* #,##0.000_-;\-* #,##0.000_-;_-* &quot;-&quot;??_-;_-@_-"/>
  </numFmts>
  <fonts count="42"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FF0000"/>
      <name val="Times New Roman"/>
      <family val="1"/>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FF0000"/>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theme="8" tint="-0.249977111117893"/>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b/>
      <sz val="14"/>
      <color theme="1"/>
      <name val="Times New Roman"/>
      <family val="1"/>
      <charset val="186"/>
    </font>
    <font>
      <b/>
      <sz val="12"/>
      <name val="Times New Roman"/>
      <family val="1"/>
      <charset val="186"/>
    </font>
    <font>
      <b/>
      <sz val="10"/>
      <name val="Times New Roman"/>
      <family val="1"/>
      <charset val="186"/>
    </font>
    <font>
      <b/>
      <sz val="11"/>
      <color indexed="8"/>
      <name val="Times New Roman"/>
      <family val="1"/>
      <charset val="186"/>
    </font>
    <font>
      <b/>
      <sz val="11"/>
      <color theme="6" tint="-0.249977111117893"/>
      <name val="Times New Roman"/>
      <family val="1"/>
      <charset val="186"/>
    </font>
    <font>
      <b/>
      <sz val="10"/>
      <color theme="6" tint="-0.249977111117893"/>
      <name val="Times New Roman"/>
      <family val="1"/>
      <charset val="186"/>
    </font>
    <font>
      <sz val="10"/>
      <color theme="6" tint="-0.249977111117893"/>
      <name val="Times New Roman"/>
      <family val="1"/>
      <charset val="186"/>
    </font>
    <font>
      <b/>
      <sz val="11"/>
      <color theme="8" tint="-0.249977111117893"/>
      <name val="Times New Roman"/>
      <family val="1"/>
      <charset val="186"/>
    </font>
    <font>
      <sz val="10"/>
      <color theme="8" tint="-0.249977111117893"/>
      <name val="Times New Roman"/>
      <family val="1"/>
      <charset val="186"/>
    </font>
    <font>
      <b/>
      <sz val="10"/>
      <color theme="8" tint="-0.249977111117893"/>
      <name val="Times New Roman"/>
      <family val="1"/>
      <charset val="186"/>
    </font>
    <font>
      <sz val="10"/>
      <color rgb="FFFF0000"/>
      <name val="Times New Roman"/>
      <family val="1"/>
      <charset val="186"/>
    </font>
    <font>
      <sz val="9"/>
      <name val="Times New Roman"/>
      <family val="1"/>
      <charset val="186"/>
    </font>
    <font>
      <sz val="11"/>
      <color theme="4"/>
      <name val="Times New Roman"/>
      <family val="1"/>
      <charset val="186"/>
    </font>
    <font>
      <sz val="10"/>
      <color theme="4"/>
      <name val="Times New Roman"/>
      <family val="1"/>
      <charset val="186"/>
    </font>
    <font>
      <b/>
      <sz val="10"/>
      <color theme="4"/>
      <name val="Times New Roman"/>
      <family val="1"/>
      <charset val="186"/>
    </font>
    <font>
      <b/>
      <sz val="11"/>
      <color theme="4"/>
      <name val="Times New Roman"/>
      <family val="1"/>
      <charset val="186"/>
    </font>
  </fonts>
  <fills count="21">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rgb="FFFFFFCC"/>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style="thin">
        <color auto="1"/>
      </right>
      <top style="thin">
        <color auto="1"/>
      </top>
      <bottom/>
      <diagonal/>
    </border>
    <border>
      <left/>
      <right/>
      <top/>
      <bottom style="thin">
        <color indexed="64"/>
      </bottom>
      <diagonal/>
    </border>
    <border>
      <left/>
      <right/>
      <top style="thin">
        <color indexed="64"/>
      </top>
      <bottom/>
      <diagonal/>
    </border>
    <border>
      <left style="thin">
        <color auto="1"/>
      </left>
      <right/>
      <top/>
      <bottom style="thin">
        <color auto="1"/>
      </bottom>
      <diagonal/>
    </border>
    <border>
      <left style="thin">
        <color auto="1"/>
      </left>
      <right style="thin">
        <color auto="1"/>
      </right>
      <top/>
      <bottom/>
      <diagonal/>
    </border>
  </borders>
  <cellStyleXfs count="14">
    <xf numFmtId="0" fontId="0" fillId="0" borderId="0"/>
    <xf numFmtId="43" fontId="5" fillId="0" borderId="0" applyFont="0" applyFill="0" applyBorder="0" applyAlignment="0" applyProtection="0"/>
    <xf numFmtId="0" fontId="2" fillId="0" borderId="0"/>
    <xf numFmtId="0" fontId="2" fillId="0" borderId="0"/>
    <xf numFmtId="9" fontId="6" fillId="0" borderId="0" applyFont="0" applyFill="0" applyBorder="0" applyAlignment="0" applyProtection="0"/>
    <xf numFmtId="43" fontId="6" fillId="0" borderId="0" applyFont="0" applyFill="0" applyBorder="0" applyAlignment="0" applyProtection="0"/>
    <xf numFmtId="0" fontId="13" fillId="0" borderId="0" applyNumberFormat="0" applyFill="0" applyBorder="0" applyAlignment="0" applyProtection="0"/>
    <xf numFmtId="0" fontId="14" fillId="0" borderId="0"/>
    <xf numFmtId="9" fontId="6" fillId="0" borderId="0" applyFont="0" applyFill="0" applyBorder="0" applyAlignment="0" applyProtection="0"/>
    <xf numFmtId="0" fontId="6" fillId="0" borderId="0"/>
    <xf numFmtId="0" fontId="1" fillId="0" borderId="0"/>
    <xf numFmtId="0" fontId="14" fillId="0" borderId="0"/>
    <xf numFmtId="43" fontId="14" fillId="0" borderId="0" applyFill="0" applyBorder="0" applyAlignment="0" applyProtection="0"/>
    <xf numFmtId="9" fontId="6" fillId="0" borderId="0" applyFont="0" applyFill="0" applyBorder="0" applyAlignment="0" applyProtection="0"/>
  </cellStyleXfs>
  <cellXfs count="354">
    <xf numFmtId="0" fontId="0" fillId="0" borderId="0" xfId="0"/>
    <xf numFmtId="0" fontId="3" fillId="0" borderId="0" xfId="2" applyFont="1"/>
    <xf numFmtId="0" fontId="4" fillId="0" borderId="0" xfId="3" applyFont="1"/>
    <xf numFmtId="0" fontId="3" fillId="0" borderId="0" xfId="2" applyFont="1" applyAlignment="1">
      <alignment wrapText="1"/>
    </xf>
    <xf numFmtId="3" fontId="3" fillId="0" borderId="0" xfId="2" applyNumberFormat="1" applyFont="1"/>
    <xf numFmtId="164" fontId="3" fillId="0" borderId="0" xfId="1" applyNumberFormat="1" applyFont="1" applyAlignment="1">
      <alignment wrapText="1"/>
    </xf>
    <xf numFmtId="9" fontId="3" fillId="0" borderId="0" xfId="4" applyFont="1" applyAlignment="1">
      <alignment wrapText="1"/>
    </xf>
    <xf numFmtId="164" fontId="3" fillId="0" borderId="0" xfId="1" applyNumberFormat="1" applyFont="1"/>
    <xf numFmtId="1" fontId="3" fillId="0" borderId="0" xfId="4" applyNumberFormat="1" applyFont="1" applyFill="1"/>
    <xf numFmtId="43" fontId="3" fillId="0" borderId="0" xfId="1" applyFont="1"/>
    <xf numFmtId="3" fontId="7" fillId="0" borderId="0" xfId="2" applyNumberFormat="1" applyFont="1"/>
    <xf numFmtId="164" fontId="10" fillId="0" borderId="0" xfId="5" applyNumberFormat="1" applyFont="1"/>
    <xf numFmtId="164" fontId="10" fillId="0" borderId="0" xfId="1" applyNumberFormat="1" applyFont="1"/>
    <xf numFmtId="9" fontId="3" fillId="0" borderId="0" xfId="4" applyFont="1"/>
    <xf numFmtId="0" fontId="13" fillId="0" borderId="0" xfId="6"/>
    <xf numFmtId="0" fontId="10" fillId="0" borderId="1" xfId="2" applyFont="1" applyBorder="1" applyAlignment="1">
      <alignment horizontal="center" vertical="center"/>
    </xf>
    <xf numFmtId="0" fontId="10" fillId="0" borderId="2" xfId="2" applyFont="1" applyBorder="1" applyAlignment="1">
      <alignment horizontal="center" vertical="center" wrapText="1"/>
    </xf>
    <xf numFmtId="0" fontId="10" fillId="0" borderId="3" xfId="7" applyFont="1" applyBorder="1" applyAlignment="1">
      <alignment horizontal="center" vertical="center" wrapText="1"/>
    </xf>
    <xf numFmtId="164" fontId="10" fillId="0" borderId="3" xfId="1" applyNumberFormat="1" applyFont="1" applyBorder="1" applyAlignment="1">
      <alignment horizontal="center" vertical="center" wrapText="1"/>
    </xf>
    <xf numFmtId="9" fontId="10" fillId="0" borderId="3" xfId="4" applyFont="1" applyBorder="1" applyAlignment="1">
      <alignment horizontal="center" vertical="center" wrapText="1"/>
    </xf>
    <xf numFmtId="0" fontId="10" fillId="2" borderId="4" xfId="2" applyFont="1" applyFill="1" applyBorder="1"/>
    <xf numFmtId="0" fontId="10" fillId="2" borderId="5" xfId="2" applyFont="1" applyFill="1" applyBorder="1" applyAlignment="1">
      <alignment wrapText="1"/>
    </xf>
    <xf numFmtId="164" fontId="10" fillId="2" borderId="6" xfId="1" applyNumberFormat="1" applyFont="1" applyFill="1" applyBorder="1"/>
    <xf numFmtId="3" fontId="10" fillId="2" borderId="6" xfId="2" applyNumberFormat="1" applyFont="1" applyFill="1" applyBorder="1"/>
    <xf numFmtId="9" fontId="3" fillId="2" borderId="6" xfId="4" applyFont="1" applyFill="1" applyBorder="1" applyAlignment="1">
      <alignment wrapText="1"/>
    </xf>
    <xf numFmtId="0" fontId="10" fillId="3" borderId="4" xfId="2" quotePrefix="1" applyFont="1" applyFill="1" applyBorder="1"/>
    <xf numFmtId="0" fontId="10" fillId="3" borderId="5" xfId="2" applyFont="1" applyFill="1" applyBorder="1" applyAlignment="1">
      <alignment wrapText="1"/>
    </xf>
    <xf numFmtId="3" fontId="10" fillId="3" borderId="6" xfId="2" applyNumberFormat="1" applyFont="1" applyFill="1" applyBorder="1"/>
    <xf numFmtId="164" fontId="10" fillId="3" borderId="6" xfId="1" applyNumberFormat="1" applyFont="1" applyFill="1" applyBorder="1"/>
    <xf numFmtId="9" fontId="10" fillId="3" borderId="6" xfId="4" applyFont="1" applyFill="1" applyBorder="1"/>
    <xf numFmtId="0" fontId="15" fillId="0" borderId="0" xfId="2" applyFont="1"/>
    <xf numFmtId="0" fontId="3" fillId="0" borderId="7" xfId="2" applyFont="1" applyBorder="1" applyAlignment="1">
      <alignment horizontal="left" indent="1"/>
    </xf>
    <xf numFmtId="0" fontId="3" fillId="0" borderId="8" xfId="2" applyFont="1" applyBorder="1" applyAlignment="1">
      <alignment horizontal="left" wrapText="1" indent="2"/>
    </xf>
    <xf numFmtId="3" fontId="3" fillId="0" borderId="9" xfId="2" applyNumberFormat="1" applyFont="1" applyBorder="1"/>
    <xf numFmtId="164" fontId="3" fillId="0" borderId="9" xfId="1" applyNumberFormat="1" applyFont="1" applyBorder="1"/>
    <xf numFmtId="9" fontId="3" fillId="0" borderId="9" xfId="4" applyFont="1" applyFill="1" applyBorder="1"/>
    <xf numFmtId="3" fontId="8" fillId="0" borderId="9" xfId="2" applyNumberFormat="1" applyFont="1" applyBorder="1"/>
    <xf numFmtId="0" fontId="10" fillId="3" borderId="7" xfId="2" applyFont="1" applyFill="1" applyBorder="1"/>
    <xf numFmtId="0" fontId="10" fillId="3" borderId="8" xfId="2" applyFont="1" applyFill="1" applyBorder="1" applyAlignment="1">
      <alignment wrapText="1"/>
    </xf>
    <xf numFmtId="3" fontId="10" fillId="3" borderId="9" xfId="2" applyNumberFormat="1" applyFont="1" applyFill="1" applyBorder="1"/>
    <xf numFmtId="164" fontId="10" fillId="3" borderId="9" xfId="1" applyNumberFormat="1" applyFont="1" applyFill="1" applyBorder="1"/>
    <xf numFmtId="9" fontId="10" fillId="3" borderId="9" xfId="4" applyFont="1" applyFill="1" applyBorder="1"/>
    <xf numFmtId="9" fontId="3" fillId="0" borderId="9" xfId="4" applyFont="1" applyBorder="1"/>
    <xf numFmtId="9" fontId="3" fillId="0" borderId="10" xfId="4" applyFont="1" applyFill="1" applyBorder="1"/>
    <xf numFmtId="0" fontId="2" fillId="0" borderId="0" xfId="2"/>
    <xf numFmtId="9" fontId="3" fillId="0" borderId="10" xfId="4" applyFont="1" applyFill="1" applyBorder="1" applyAlignment="1">
      <alignment wrapText="1"/>
    </xf>
    <xf numFmtId="0" fontId="16" fillId="0" borderId="7" xfId="2" applyFont="1" applyBorder="1" applyAlignment="1">
      <alignment horizontal="left" indent="2"/>
    </xf>
    <xf numFmtId="0" fontId="16" fillId="0" borderId="8" xfId="2" applyFont="1" applyBorder="1" applyAlignment="1">
      <alignment horizontal="left" wrapText="1" indent="3"/>
    </xf>
    <xf numFmtId="0" fontId="15" fillId="0" borderId="0" xfId="2" quotePrefix="1" applyFont="1"/>
    <xf numFmtId="9" fontId="3" fillId="3" borderId="9" xfId="4" applyFont="1" applyFill="1" applyBorder="1" applyAlignment="1">
      <alignment wrapText="1"/>
    </xf>
    <xf numFmtId="0" fontId="3" fillId="5" borderId="8" xfId="2" applyFont="1" applyFill="1" applyBorder="1" applyAlignment="1">
      <alignment horizontal="left" wrapText="1" indent="2"/>
    </xf>
    <xf numFmtId="9" fontId="3" fillId="0" borderId="9" xfId="4" applyFont="1" applyFill="1" applyBorder="1" applyAlignment="1">
      <alignment wrapText="1"/>
    </xf>
    <xf numFmtId="9" fontId="8" fillId="0" borderId="9" xfId="4" applyFont="1" applyFill="1" applyBorder="1" applyAlignment="1">
      <alignment wrapText="1"/>
    </xf>
    <xf numFmtId="0" fontId="10" fillId="3" borderId="7" xfId="2" quotePrefix="1" applyFont="1" applyFill="1" applyBorder="1"/>
    <xf numFmtId="0" fontId="3" fillId="2" borderId="7" xfId="2" applyFont="1" applyFill="1" applyBorder="1" applyAlignment="1">
      <alignment horizontal="left" indent="1"/>
    </xf>
    <xf numFmtId="0" fontId="3" fillId="2" borderId="8" xfId="2" applyFont="1" applyFill="1" applyBorder="1" applyAlignment="1">
      <alignment horizontal="left" wrapText="1" indent="2"/>
    </xf>
    <xf numFmtId="3" fontId="3" fillId="2" borderId="9" xfId="2" applyNumberFormat="1" applyFont="1" applyFill="1" applyBorder="1"/>
    <xf numFmtId="3" fontId="3" fillId="6" borderId="9" xfId="2" applyNumberFormat="1" applyFont="1" applyFill="1" applyBorder="1"/>
    <xf numFmtId="164" fontId="3" fillId="6" borderId="9" xfId="1" applyNumberFormat="1" applyFont="1" applyFill="1" applyBorder="1"/>
    <xf numFmtId="3" fontId="3" fillId="6" borderId="9" xfId="2" applyNumberFormat="1" applyFont="1" applyFill="1" applyBorder="1" applyAlignment="1">
      <alignment wrapText="1"/>
    </xf>
    <xf numFmtId="3" fontId="16" fillId="7" borderId="9" xfId="2" applyNumberFormat="1" applyFont="1" applyFill="1" applyBorder="1"/>
    <xf numFmtId="164" fontId="16" fillId="7" borderId="9" xfId="1" applyNumberFormat="1" applyFont="1" applyFill="1" applyBorder="1"/>
    <xf numFmtId="9" fontId="16" fillId="7" borderId="9" xfId="4" applyFont="1" applyFill="1" applyBorder="1" applyAlignment="1">
      <alignment wrapText="1"/>
    </xf>
    <xf numFmtId="0" fontId="16" fillId="0" borderId="0" xfId="2" applyFont="1"/>
    <xf numFmtId="3" fontId="16" fillId="8" borderId="9" xfId="2" applyNumberFormat="1" applyFont="1" applyFill="1" applyBorder="1"/>
    <xf numFmtId="9" fontId="16" fillId="8" borderId="9" xfId="4" applyFont="1" applyFill="1" applyBorder="1"/>
    <xf numFmtId="0" fontId="7" fillId="0" borderId="8" xfId="2" applyFont="1" applyBorder="1" applyAlignment="1">
      <alignment horizontal="left" wrapText="1" indent="2"/>
    </xf>
    <xf numFmtId="0" fontId="3" fillId="0" borderId="0" xfId="2" quotePrefix="1" applyFont="1"/>
    <xf numFmtId="0" fontId="3" fillId="9" borderId="8" xfId="2" applyFont="1" applyFill="1" applyBorder="1" applyAlignment="1">
      <alignment horizontal="left" wrapText="1" indent="2"/>
    </xf>
    <xf numFmtId="9" fontId="7" fillId="0" borderId="9" xfId="4" applyFont="1" applyFill="1" applyBorder="1" applyAlignment="1">
      <alignment wrapText="1"/>
    </xf>
    <xf numFmtId="164" fontId="3" fillId="2" borderId="9" xfId="1" applyNumberFormat="1" applyFont="1" applyFill="1" applyBorder="1"/>
    <xf numFmtId="9" fontId="3" fillId="2" borderId="9" xfId="4" applyFont="1" applyFill="1" applyBorder="1" applyAlignment="1">
      <alignment wrapText="1"/>
    </xf>
    <xf numFmtId="0" fontId="3" fillId="0" borderId="8" xfId="2" applyFont="1" applyBorder="1" applyAlignment="1">
      <alignment horizontal="left" wrapText="1" indent="3"/>
    </xf>
    <xf numFmtId="9" fontId="3" fillId="11" borderId="9" xfId="4" applyFont="1" applyFill="1" applyBorder="1" applyAlignment="1">
      <alignment wrapText="1"/>
    </xf>
    <xf numFmtId="3" fontId="7" fillId="0" borderId="9" xfId="2" applyNumberFormat="1" applyFont="1" applyBorder="1"/>
    <xf numFmtId="0" fontId="7" fillId="0" borderId="0" xfId="2" quotePrefix="1" applyFont="1"/>
    <xf numFmtId="9" fontId="3" fillId="0" borderId="13" xfId="4" applyFont="1" applyFill="1" applyBorder="1"/>
    <xf numFmtId="0" fontId="3" fillId="0" borderId="0" xfId="2" quotePrefix="1" applyFont="1" applyAlignment="1">
      <alignment wrapText="1"/>
    </xf>
    <xf numFmtId="0" fontId="3" fillId="9" borderId="8" xfId="2" applyFont="1" applyFill="1" applyBorder="1" applyAlignment="1">
      <alignment horizontal="left" wrapText="1" indent="3"/>
    </xf>
    <xf numFmtId="0" fontId="2" fillId="10" borderId="0" xfId="2" applyFill="1"/>
    <xf numFmtId="0" fontId="3" fillId="0" borderId="5" xfId="2" applyFont="1" applyBorder="1" applyAlignment="1">
      <alignment horizontal="left" wrapText="1" indent="2"/>
    </xf>
    <xf numFmtId="0" fontId="3" fillId="5" borderId="7" xfId="2" applyFont="1" applyFill="1" applyBorder="1" applyAlignment="1">
      <alignment horizontal="left" indent="2"/>
    </xf>
    <xf numFmtId="0" fontId="3" fillId="5" borderId="8" xfId="2" applyFont="1" applyFill="1" applyBorder="1" applyAlignment="1">
      <alignment horizontal="left" wrapText="1" indent="3"/>
    </xf>
    <xf numFmtId="1" fontId="3" fillId="0" borderId="9" xfId="4" applyNumberFormat="1" applyFont="1" applyFill="1" applyBorder="1"/>
    <xf numFmtId="3" fontId="3" fillId="12" borderId="9" xfId="2" applyNumberFormat="1" applyFont="1" applyFill="1" applyBorder="1"/>
    <xf numFmtId="0" fontId="10" fillId="0" borderId="14" xfId="2" applyFont="1" applyBorder="1"/>
    <xf numFmtId="0" fontId="10" fillId="0" borderId="15" xfId="2" applyFont="1" applyBorder="1" applyAlignment="1">
      <alignment horizontal="right" wrapText="1"/>
    </xf>
    <xf numFmtId="3" fontId="10" fillId="0" borderId="3" xfId="2" applyNumberFormat="1" applyFont="1" applyBorder="1"/>
    <xf numFmtId="164" fontId="10" fillId="0" borderId="3" xfId="1" applyNumberFormat="1" applyFont="1" applyBorder="1"/>
    <xf numFmtId="9" fontId="10" fillId="0" borderId="3" xfId="4" applyFont="1" applyBorder="1"/>
    <xf numFmtId="0" fontId="10" fillId="0" borderId="16" xfId="2" quotePrefix="1" applyFont="1" applyBorder="1"/>
    <xf numFmtId="0" fontId="10" fillId="0" borderId="17" xfId="2" applyFont="1" applyBorder="1" applyAlignment="1">
      <alignment wrapText="1"/>
    </xf>
    <xf numFmtId="3" fontId="10" fillId="0" borderId="18" xfId="2" applyNumberFormat="1" applyFont="1" applyBorder="1"/>
    <xf numFmtId="164" fontId="10" fillId="0" borderId="18" xfId="1" applyNumberFormat="1" applyFont="1" applyBorder="1"/>
    <xf numFmtId="9" fontId="10" fillId="0" borderId="18" xfId="4" applyFont="1" applyFill="1" applyBorder="1"/>
    <xf numFmtId="0" fontId="10" fillId="3" borderId="19" xfId="2" applyFont="1" applyFill="1" applyBorder="1" applyAlignment="1">
      <alignment wrapText="1"/>
    </xf>
    <xf numFmtId="3" fontId="10" fillId="3" borderId="13" xfId="2" applyNumberFormat="1" applyFont="1" applyFill="1" applyBorder="1"/>
    <xf numFmtId="164" fontId="10" fillId="3" borderId="13" xfId="1" applyNumberFormat="1" applyFont="1" applyFill="1" applyBorder="1"/>
    <xf numFmtId="49" fontId="3" fillId="0" borderId="19" xfId="2" applyNumberFormat="1" applyFont="1" applyBorder="1" applyAlignment="1">
      <alignment horizontal="left" wrapText="1" indent="4"/>
    </xf>
    <xf numFmtId="3" fontId="3" fillId="0" borderId="13" xfId="2" applyNumberFormat="1" applyFont="1" applyBorder="1"/>
    <xf numFmtId="3" fontId="3" fillId="0" borderId="19" xfId="2" applyNumberFormat="1" applyFont="1" applyBorder="1"/>
    <xf numFmtId="49" fontId="3" fillId="4" borderId="19" xfId="2" applyNumberFormat="1" applyFont="1" applyFill="1" applyBorder="1" applyAlignment="1">
      <alignment horizontal="left" wrapText="1" indent="4"/>
    </xf>
    <xf numFmtId="164" fontId="3" fillId="0" borderId="13" xfId="1" applyNumberFormat="1" applyFont="1" applyBorder="1"/>
    <xf numFmtId="3" fontId="3" fillId="0" borderId="20" xfId="2" applyNumberFormat="1" applyFont="1" applyBorder="1"/>
    <xf numFmtId="9" fontId="3" fillId="0" borderId="21" xfId="4" applyFont="1" applyFill="1" applyBorder="1"/>
    <xf numFmtId="49" fontId="3" fillId="0" borderId="22" xfId="2" applyNumberFormat="1" applyFont="1" applyBorder="1" applyAlignment="1">
      <alignment horizontal="left" wrapText="1" indent="4"/>
    </xf>
    <xf numFmtId="164" fontId="3" fillId="0" borderId="23" xfId="1" applyNumberFormat="1" applyFont="1" applyBorder="1"/>
    <xf numFmtId="49" fontId="3" fillId="0" borderId="8" xfId="2" applyNumberFormat="1" applyFont="1" applyBorder="1" applyAlignment="1">
      <alignment horizontal="left" wrapText="1" indent="4"/>
    </xf>
    <xf numFmtId="164" fontId="3" fillId="13" borderId="8" xfId="1" applyNumberFormat="1" applyFont="1" applyFill="1" applyBorder="1"/>
    <xf numFmtId="164" fontId="3" fillId="0" borderId="8" xfId="1" applyNumberFormat="1" applyFont="1" applyBorder="1"/>
    <xf numFmtId="9" fontId="3" fillId="0" borderId="8" xfId="4" applyFont="1" applyFill="1" applyBorder="1"/>
    <xf numFmtId="0" fontId="3" fillId="5" borderId="24" xfId="2" applyFont="1" applyFill="1" applyBorder="1" applyAlignment="1">
      <alignment horizontal="left" indent="2"/>
    </xf>
    <xf numFmtId="49" fontId="3" fillId="4" borderId="8" xfId="2" applyNumberFormat="1" applyFont="1" applyFill="1" applyBorder="1" applyAlignment="1">
      <alignment horizontal="left" wrapText="1" indent="4"/>
    </xf>
    <xf numFmtId="9" fontId="3" fillId="0" borderId="8" xfId="4" applyFont="1" applyFill="1" applyBorder="1" applyAlignment="1">
      <alignment wrapText="1"/>
    </xf>
    <xf numFmtId="49" fontId="3" fillId="0" borderId="25" xfId="2" applyNumberFormat="1" applyFont="1" applyBorder="1" applyAlignment="1">
      <alignment horizontal="left" wrapText="1" indent="4"/>
    </xf>
    <xf numFmtId="9" fontId="3" fillId="0" borderId="6" xfId="4" applyFont="1" applyFill="1" applyBorder="1"/>
    <xf numFmtId="3" fontId="3" fillId="0" borderId="10" xfId="2" applyNumberFormat="1" applyFont="1" applyBorder="1"/>
    <xf numFmtId="0" fontId="3" fillId="5" borderId="26" xfId="2" applyFont="1" applyFill="1" applyBorder="1" applyAlignment="1">
      <alignment horizontal="left" indent="2"/>
    </xf>
    <xf numFmtId="49" fontId="3" fillId="0" borderId="27" xfId="2" applyNumberFormat="1" applyFont="1" applyBorder="1" applyAlignment="1">
      <alignment horizontal="left" vertical="center" wrapText="1"/>
    </xf>
    <xf numFmtId="164" fontId="3" fillId="0" borderId="27" xfId="1" applyNumberFormat="1" applyFont="1" applyBorder="1" applyAlignment="1">
      <alignment vertical="center"/>
    </xf>
    <xf numFmtId="164" fontId="3" fillId="0" borderId="28" xfId="1" applyNumberFormat="1" applyFont="1" applyBorder="1" applyAlignment="1">
      <alignment vertical="center"/>
    </xf>
    <xf numFmtId="3" fontId="3" fillId="0" borderId="21" xfId="2" applyNumberFormat="1" applyFont="1" applyBorder="1" applyAlignment="1">
      <alignment vertical="center"/>
    </xf>
    <xf numFmtId="9" fontId="3" fillId="0" borderId="21" xfId="4" applyFont="1" applyFill="1" applyBorder="1" applyAlignment="1">
      <alignment vertical="center"/>
    </xf>
    <xf numFmtId="3" fontId="3" fillId="0" borderId="28" xfId="2" applyNumberFormat="1" applyFont="1" applyBorder="1" applyAlignment="1">
      <alignment vertical="center"/>
    </xf>
    <xf numFmtId="9" fontId="3" fillId="0" borderId="12" xfId="4" applyFont="1" applyFill="1" applyBorder="1" applyAlignment="1">
      <alignment vertical="center" wrapText="1"/>
    </xf>
    <xf numFmtId="9" fontId="3" fillId="0" borderId="27" xfId="4" applyFont="1" applyFill="1" applyBorder="1" applyAlignment="1">
      <alignment vertical="center"/>
    </xf>
    <xf numFmtId="3" fontId="3" fillId="0" borderId="10" xfId="2" applyNumberFormat="1" applyFont="1" applyBorder="1" applyAlignment="1">
      <alignment vertical="center"/>
    </xf>
    <xf numFmtId="9" fontId="3" fillId="0" borderId="10" xfId="4" applyFont="1" applyFill="1" applyBorder="1" applyAlignment="1">
      <alignment vertical="center" wrapText="1"/>
    </xf>
    <xf numFmtId="0" fontId="10" fillId="0" borderId="29" xfId="2" applyFont="1" applyBorder="1"/>
    <xf numFmtId="0" fontId="10" fillId="0" borderId="30" xfId="2" applyFont="1" applyBorder="1" applyAlignment="1">
      <alignment horizontal="right" wrapText="1"/>
    </xf>
    <xf numFmtId="9" fontId="10" fillId="0" borderId="18" xfId="4" applyFont="1" applyBorder="1"/>
    <xf numFmtId="0" fontId="10" fillId="0" borderId="0" xfId="2" applyFont="1"/>
    <xf numFmtId="0" fontId="7" fillId="0" borderId="0" xfId="2" applyFont="1"/>
    <xf numFmtId="10" fontId="3" fillId="0" borderId="0" xfId="8" applyNumberFormat="1" applyFont="1"/>
    <xf numFmtId="49" fontId="10" fillId="3" borderId="31" xfId="2" applyNumberFormat="1" applyFont="1" applyFill="1" applyBorder="1" applyAlignment="1">
      <alignment horizontal="left" indent="2"/>
    </xf>
    <xf numFmtId="49" fontId="10" fillId="3" borderId="32" xfId="2" applyNumberFormat="1" applyFont="1" applyFill="1" applyBorder="1" applyAlignment="1">
      <alignment wrapText="1"/>
    </xf>
    <xf numFmtId="3" fontId="10" fillId="3" borderId="33" xfId="2" applyNumberFormat="1" applyFont="1" applyFill="1" applyBorder="1"/>
    <xf numFmtId="164" fontId="10" fillId="3" borderId="33" xfId="1" applyNumberFormat="1" applyFont="1" applyFill="1" applyBorder="1"/>
    <xf numFmtId="9" fontId="10" fillId="3" borderId="33" xfId="4" applyFont="1" applyFill="1" applyBorder="1"/>
    <xf numFmtId="49" fontId="3" fillId="2" borderId="7" xfId="2" applyNumberFormat="1" applyFont="1" applyFill="1" applyBorder="1" applyAlignment="1">
      <alignment horizontal="left" indent="1"/>
    </xf>
    <xf numFmtId="49" fontId="3" fillId="2" borderId="8" xfId="2" applyNumberFormat="1" applyFont="1" applyFill="1" applyBorder="1" applyAlignment="1">
      <alignment horizontal="left" wrapText="1" indent="2"/>
    </xf>
    <xf numFmtId="3" fontId="8" fillId="2" borderId="9" xfId="2" applyNumberFormat="1" applyFont="1" applyFill="1" applyBorder="1"/>
    <xf numFmtId="9" fontId="8" fillId="2" borderId="9" xfId="4" applyFont="1" applyFill="1" applyBorder="1" applyAlignment="1">
      <alignment wrapText="1"/>
    </xf>
    <xf numFmtId="9" fontId="3" fillId="2" borderId="9" xfId="4" applyFont="1" applyFill="1" applyBorder="1"/>
    <xf numFmtId="49" fontId="10" fillId="3" borderId="7" xfId="2" applyNumberFormat="1" applyFont="1" applyFill="1" applyBorder="1"/>
    <xf numFmtId="49" fontId="10" fillId="3" borderId="8" xfId="2" applyNumberFormat="1" applyFont="1" applyFill="1" applyBorder="1" applyAlignment="1">
      <alignment wrapText="1"/>
    </xf>
    <xf numFmtId="9" fontId="8" fillId="3" borderId="9" xfId="4" applyFont="1" applyFill="1" applyBorder="1" applyAlignment="1">
      <alignment wrapText="1"/>
    </xf>
    <xf numFmtId="0" fontId="18" fillId="0" borderId="0" xfId="2" applyFont="1"/>
    <xf numFmtId="49" fontId="3" fillId="0" borderId="7" xfId="2" applyNumberFormat="1" applyFont="1" applyBorder="1" applyAlignment="1">
      <alignment horizontal="left" indent="2"/>
    </xf>
    <xf numFmtId="49" fontId="3" fillId="0" borderId="8" xfId="2" applyNumberFormat="1" applyFont="1" applyBorder="1" applyAlignment="1">
      <alignment horizontal="left" wrapText="1" indent="2"/>
    </xf>
    <xf numFmtId="49" fontId="10" fillId="2" borderId="8" xfId="2" applyNumberFormat="1" applyFont="1" applyFill="1" applyBorder="1" applyAlignment="1">
      <alignment horizontal="left" wrapText="1" indent="2"/>
    </xf>
    <xf numFmtId="3" fontId="10" fillId="2" borderId="9" xfId="2" applyNumberFormat="1" applyFont="1" applyFill="1" applyBorder="1"/>
    <xf numFmtId="164" fontId="10" fillId="2" borderId="9" xfId="1" applyNumberFormat="1" applyFont="1" applyFill="1" applyBorder="1"/>
    <xf numFmtId="3" fontId="12" fillId="2" borderId="9" xfId="2" applyNumberFormat="1" applyFont="1" applyFill="1" applyBorder="1"/>
    <xf numFmtId="9" fontId="8" fillId="2" borderId="9" xfId="4" quotePrefix="1" applyFont="1" applyFill="1" applyBorder="1" applyAlignment="1">
      <alignment wrapText="1"/>
    </xf>
    <xf numFmtId="9" fontId="3" fillId="2" borderId="9" xfId="4" quotePrefix="1" applyFont="1" applyFill="1" applyBorder="1" applyAlignment="1">
      <alignment wrapText="1"/>
    </xf>
    <xf numFmtId="9" fontId="3" fillId="0" borderId="9" xfId="4" applyFont="1" applyBorder="1" applyAlignment="1">
      <alignment wrapText="1"/>
    </xf>
    <xf numFmtId="9" fontId="8" fillId="0" borderId="9" xfId="4" applyFont="1" applyBorder="1" applyAlignment="1">
      <alignment wrapText="1"/>
    </xf>
    <xf numFmtId="49" fontId="8" fillId="0" borderId="8" xfId="2" applyNumberFormat="1" applyFont="1" applyBorder="1" applyAlignment="1">
      <alignment horizontal="left" wrapText="1" indent="4"/>
    </xf>
    <xf numFmtId="49" fontId="3" fillId="14" borderId="7" xfId="2" applyNumberFormat="1" applyFont="1" applyFill="1" applyBorder="1" applyAlignment="1">
      <alignment horizontal="left" indent="2"/>
    </xf>
    <xf numFmtId="0" fontId="8" fillId="0" borderId="8" xfId="2" applyFont="1" applyBorder="1" applyAlignment="1">
      <alignment horizontal="left" wrapText="1" indent="3"/>
    </xf>
    <xf numFmtId="0" fontId="8" fillId="11" borderId="8" xfId="2" applyFont="1" applyFill="1" applyBorder="1" applyAlignment="1">
      <alignment horizontal="left" wrapText="1" indent="3"/>
    </xf>
    <xf numFmtId="9" fontId="3" fillId="0" borderId="12" xfId="4" applyFont="1" applyBorder="1" applyAlignment="1">
      <alignment wrapText="1"/>
    </xf>
    <xf numFmtId="9" fontId="3" fillId="0" borderId="28" xfId="4" applyFont="1" applyBorder="1" applyAlignment="1">
      <alignment horizontal="left" wrapText="1"/>
    </xf>
    <xf numFmtId="9" fontId="3" fillId="0" borderId="28" xfId="4" applyFont="1" applyBorder="1" applyAlignment="1">
      <alignment wrapText="1"/>
    </xf>
    <xf numFmtId="9" fontId="10" fillId="2" borderId="9" xfId="4" applyFont="1" applyFill="1" applyBorder="1"/>
    <xf numFmtId="49" fontId="7" fillId="0" borderId="7" xfId="2" applyNumberFormat="1" applyFont="1" applyBorder="1" applyAlignment="1">
      <alignment horizontal="left" indent="2"/>
    </xf>
    <xf numFmtId="0" fontId="7" fillId="11" borderId="8" xfId="2" applyFont="1" applyFill="1" applyBorder="1" applyAlignment="1">
      <alignment horizontal="left" wrapText="1" indent="3"/>
    </xf>
    <xf numFmtId="9" fontId="3" fillId="0" borderId="10" xfId="4" applyFont="1" applyBorder="1" applyAlignment="1">
      <alignment wrapText="1"/>
    </xf>
    <xf numFmtId="0" fontId="3" fillId="11" borderId="8" xfId="2" applyFont="1" applyFill="1" applyBorder="1" applyAlignment="1">
      <alignment horizontal="left" wrapText="1" indent="3"/>
    </xf>
    <xf numFmtId="164" fontId="3" fillId="12" borderId="9" xfId="1" applyNumberFormat="1" applyFont="1" applyFill="1" applyBorder="1"/>
    <xf numFmtId="49" fontId="19" fillId="0" borderId="7" xfId="2" applyNumberFormat="1" applyFont="1" applyBorder="1" applyAlignment="1">
      <alignment horizontal="left" indent="3"/>
    </xf>
    <xf numFmtId="0" fontId="19" fillId="11" borderId="8" xfId="2" applyFont="1" applyFill="1" applyBorder="1" applyAlignment="1">
      <alignment horizontal="left" wrapText="1" indent="6"/>
    </xf>
    <xf numFmtId="9" fontId="7" fillId="0" borderId="9" xfId="4" applyFont="1" applyBorder="1" applyAlignment="1">
      <alignment wrapText="1"/>
    </xf>
    <xf numFmtId="3" fontId="3" fillId="11" borderId="9" xfId="2" applyNumberFormat="1" applyFont="1" applyFill="1" applyBorder="1"/>
    <xf numFmtId="0" fontId="3" fillId="15" borderId="8" xfId="2" applyFont="1" applyFill="1" applyBorder="1" applyAlignment="1">
      <alignment horizontal="left" wrapText="1" indent="3"/>
    </xf>
    <xf numFmtId="9" fontId="8" fillId="0" borderId="9" xfId="4" quotePrefix="1" applyFont="1" applyBorder="1" applyAlignment="1">
      <alignment wrapText="1"/>
    </xf>
    <xf numFmtId="9" fontId="3" fillId="0" borderId="9" xfId="4" quotePrefix="1" applyFont="1" applyBorder="1" applyAlignment="1">
      <alignment wrapText="1"/>
    </xf>
    <xf numFmtId="49" fontId="3" fillId="14" borderId="7" xfId="2" applyNumberFormat="1" applyFont="1" applyFill="1" applyBorder="1" applyAlignment="1">
      <alignment horizontal="left" indent="1"/>
    </xf>
    <xf numFmtId="9" fontId="19" fillId="2" borderId="9" xfId="4" applyFont="1" applyFill="1" applyBorder="1" applyAlignment="1">
      <alignment wrapText="1"/>
    </xf>
    <xf numFmtId="9" fontId="20" fillId="2" borderId="9" xfId="4" applyFont="1" applyFill="1" applyBorder="1" applyAlignment="1">
      <alignment wrapText="1"/>
    </xf>
    <xf numFmtId="0" fontId="15" fillId="11" borderId="0" xfId="2" applyFont="1" applyFill="1"/>
    <xf numFmtId="0" fontId="15" fillId="11" borderId="8" xfId="2" applyFont="1" applyFill="1" applyBorder="1" applyAlignment="1">
      <alignment horizontal="left" indent="2"/>
    </xf>
    <xf numFmtId="0" fontId="3" fillId="11" borderId="34" xfId="2" applyFont="1" applyFill="1" applyBorder="1" applyAlignment="1">
      <alignment horizontal="left" indent="3"/>
    </xf>
    <xf numFmtId="164" fontId="3" fillId="11" borderId="9" xfId="1" applyNumberFormat="1" applyFont="1" applyFill="1" applyBorder="1"/>
    <xf numFmtId="9" fontId="3" fillId="11" borderId="9" xfId="4" applyFont="1" applyFill="1" applyBorder="1"/>
    <xf numFmtId="3" fontId="8" fillId="11" borderId="9" xfId="2" applyNumberFormat="1" applyFont="1" applyFill="1" applyBorder="1"/>
    <xf numFmtId="3" fontId="3" fillId="16" borderId="9" xfId="2" applyNumberFormat="1" applyFont="1" applyFill="1" applyBorder="1"/>
    <xf numFmtId="164" fontId="3" fillId="16" borderId="9" xfId="1" applyNumberFormat="1" applyFont="1" applyFill="1" applyBorder="1"/>
    <xf numFmtId="0" fontId="15" fillId="0" borderId="8" xfId="2" applyFont="1" applyBorder="1" applyAlignment="1">
      <alignment horizontal="left" indent="2"/>
    </xf>
    <xf numFmtId="0" fontId="3" fillId="0" borderId="34" xfId="2" applyFont="1" applyBorder="1" applyAlignment="1">
      <alignment horizontal="left" indent="3"/>
    </xf>
    <xf numFmtId="0" fontId="15" fillId="14" borderId="8" xfId="2" applyFont="1" applyFill="1" applyBorder="1" applyAlignment="1">
      <alignment horizontal="left" indent="2"/>
    </xf>
    <xf numFmtId="9" fontId="7" fillId="2" borderId="9" xfId="4" applyFont="1" applyFill="1" applyBorder="1"/>
    <xf numFmtId="0" fontId="3" fillId="0" borderId="0" xfId="2" applyFont="1" applyAlignment="1">
      <alignment horizontal="right"/>
    </xf>
    <xf numFmtId="3" fontId="7" fillId="2" borderId="9" xfId="2" applyNumberFormat="1" applyFont="1" applyFill="1" applyBorder="1"/>
    <xf numFmtId="9" fontId="7" fillId="2" borderId="9" xfId="4" applyFont="1" applyFill="1" applyBorder="1" applyAlignment="1">
      <alignment wrapText="1"/>
    </xf>
    <xf numFmtId="3" fontId="3" fillId="5" borderId="9" xfId="2" applyNumberFormat="1" applyFont="1" applyFill="1" applyBorder="1"/>
    <xf numFmtId="164" fontId="3" fillId="5" borderId="9" xfId="1" applyNumberFormat="1" applyFont="1" applyFill="1" applyBorder="1"/>
    <xf numFmtId="3" fontId="8" fillId="5" borderId="9" xfId="2" applyNumberFormat="1" applyFont="1" applyFill="1" applyBorder="1"/>
    <xf numFmtId="9" fontId="3" fillId="5" borderId="9" xfId="4" applyFont="1" applyFill="1" applyBorder="1" applyAlignment="1">
      <alignment wrapText="1"/>
    </xf>
    <xf numFmtId="49" fontId="10" fillId="2" borderId="7" xfId="2" applyNumberFormat="1" applyFont="1" applyFill="1" applyBorder="1" applyAlignment="1">
      <alignment horizontal="left" indent="1"/>
    </xf>
    <xf numFmtId="0" fontId="3" fillId="5" borderId="0" xfId="2" quotePrefix="1" applyFont="1" applyFill="1"/>
    <xf numFmtId="0" fontId="3" fillId="5" borderId="0" xfId="2" applyFont="1" applyFill="1"/>
    <xf numFmtId="49" fontId="3" fillId="5" borderId="7" xfId="2" applyNumberFormat="1" applyFont="1" applyFill="1" applyBorder="1" applyAlignment="1">
      <alignment horizontal="left" indent="2"/>
    </xf>
    <xf numFmtId="49" fontId="3" fillId="5" borderId="8" xfId="2" applyNumberFormat="1" applyFont="1" applyFill="1" applyBorder="1" applyAlignment="1">
      <alignment horizontal="left" wrapText="1" indent="4"/>
    </xf>
    <xf numFmtId="3" fontId="7" fillId="5" borderId="9" xfId="2" applyNumberFormat="1" applyFont="1" applyFill="1" applyBorder="1"/>
    <xf numFmtId="0" fontId="21" fillId="0" borderId="0" xfId="2" applyFont="1"/>
    <xf numFmtId="0" fontId="21" fillId="0" borderId="0" xfId="2" quotePrefix="1" applyFont="1"/>
    <xf numFmtId="49" fontId="10" fillId="0" borderId="7" xfId="2" applyNumberFormat="1" applyFont="1" applyBorder="1" applyAlignment="1">
      <alignment horizontal="left" indent="2"/>
    </xf>
    <xf numFmtId="49" fontId="10" fillId="0" borderId="8" xfId="2" applyNumberFormat="1" applyFont="1" applyBorder="1" applyAlignment="1">
      <alignment horizontal="left" wrapText="1" indent="4"/>
    </xf>
    <xf numFmtId="3" fontId="10" fillId="0" borderId="9" xfId="2" applyNumberFormat="1" applyFont="1" applyBorder="1"/>
    <xf numFmtId="164" fontId="10" fillId="0" borderId="9" xfId="1" applyNumberFormat="1" applyFont="1" applyBorder="1"/>
    <xf numFmtId="0" fontId="22" fillId="0" borderId="0" xfId="2" applyFont="1"/>
    <xf numFmtId="49" fontId="3" fillId="0" borderId="7" xfId="2" applyNumberFormat="1" applyFont="1" applyBorder="1" applyAlignment="1">
      <alignment horizontal="left" indent="3"/>
    </xf>
    <xf numFmtId="9" fontId="16" fillId="0" borderId="9" xfId="4" applyFont="1" applyFill="1" applyBorder="1" applyAlignment="1">
      <alignment wrapText="1"/>
    </xf>
    <xf numFmtId="49" fontId="23" fillId="2" borderId="7" xfId="2" applyNumberFormat="1" applyFont="1" applyFill="1" applyBorder="1" applyAlignment="1">
      <alignment horizontal="left" indent="1"/>
    </xf>
    <xf numFmtId="49" fontId="10" fillId="0" borderId="14" xfId="2" applyNumberFormat="1" applyFont="1" applyBorder="1"/>
    <xf numFmtId="49" fontId="10" fillId="0" borderId="15" xfId="2" applyNumberFormat="1" applyFont="1" applyBorder="1" applyAlignment="1">
      <alignment horizontal="right" wrapText="1"/>
    </xf>
    <xf numFmtId="3" fontId="10" fillId="0" borderId="35" xfId="2" applyNumberFormat="1" applyFont="1" applyBorder="1"/>
    <xf numFmtId="164" fontId="10" fillId="0" borderId="35" xfId="1" applyNumberFormat="1" applyFont="1" applyBorder="1"/>
    <xf numFmtId="9" fontId="10" fillId="0" borderId="35" xfId="4" applyFont="1" applyBorder="1"/>
    <xf numFmtId="3" fontId="10" fillId="0" borderId="36" xfId="2" applyNumberFormat="1" applyFont="1" applyBorder="1"/>
    <xf numFmtId="164" fontId="10" fillId="0" borderId="36" xfId="1" applyNumberFormat="1" applyFont="1" applyBorder="1"/>
    <xf numFmtId="9" fontId="3" fillId="0" borderId="36" xfId="4" applyFont="1" applyBorder="1"/>
    <xf numFmtId="49" fontId="10" fillId="3" borderId="37" xfId="2" applyNumberFormat="1" applyFont="1" applyFill="1" applyBorder="1" applyAlignment="1">
      <alignment horizontal="center"/>
    </xf>
    <xf numFmtId="49" fontId="10" fillId="3" borderId="38" xfId="2" applyNumberFormat="1" applyFont="1" applyFill="1" applyBorder="1" applyAlignment="1">
      <alignment wrapText="1"/>
    </xf>
    <xf numFmtId="3" fontId="10" fillId="3" borderId="39" xfId="2" applyNumberFormat="1" applyFont="1" applyFill="1" applyBorder="1"/>
    <xf numFmtId="164" fontId="10" fillId="3" borderId="39" xfId="1" applyNumberFormat="1" applyFont="1" applyFill="1" applyBorder="1"/>
    <xf numFmtId="9" fontId="10" fillId="3" borderId="39" xfId="4" applyFont="1" applyFill="1" applyBorder="1"/>
    <xf numFmtId="0" fontId="15" fillId="0" borderId="0" xfId="9" applyFont="1"/>
    <xf numFmtId="0" fontId="26" fillId="0" borderId="0" xfId="10" applyFont="1"/>
    <xf numFmtId="0" fontId="11" fillId="0" borderId="0" xfId="9" applyFont="1"/>
    <xf numFmtId="0" fontId="11" fillId="0" borderId="0" xfId="9" applyFont="1" applyAlignment="1">
      <alignment horizontal="center"/>
    </xf>
    <xf numFmtId="0" fontId="7" fillId="0" borderId="0" xfId="9" applyFont="1"/>
    <xf numFmtId="1" fontId="15" fillId="0" borderId="0" xfId="9" applyNumberFormat="1" applyFont="1"/>
    <xf numFmtId="0" fontId="27" fillId="0" borderId="0" xfId="11" applyFont="1"/>
    <xf numFmtId="164" fontId="15" fillId="0" borderId="0" xfId="9" applyNumberFormat="1" applyFont="1"/>
    <xf numFmtId="166" fontId="15" fillId="0" borderId="0" xfId="9" applyNumberFormat="1" applyFont="1"/>
    <xf numFmtId="0" fontId="28" fillId="0" borderId="0" xfId="11" applyFont="1"/>
    <xf numFmtId="0" fontId="11" fillId="0" borderId="41" xfId="9" applyFont="1" applyBorder="1" applyAlignment="1">
      <alignment horizontal="center"/>
    </xf>
    <xf numFmtId="0" fontId="10" fillId="6" borderId="0" xfId="9" applyFont="1" applyFill="1"/>
    <xf numFmtId="0" fontId="29" fillId="17" borderId="8" xfId="9" applyFont="1" applyFill="1" applyBorder="1" applyAlignment="1">
      <alignment horizontal="center" vertical="center"/>
    </xf>
    <xf numFmtId="0" fontId="29" fillId="17" borderId="8" xfId="9" applyFont="1" applyFill="1" applyBorder="1" applyAlignment="1">
      <alignment horizontal="center" vertical="center" wrapText="1"/>
    </xf>
    <xf numFmtId="0" fontId="11" fillId="17" borderId="8" xfId="9" applyFont="1" applyFill="1" applyBorder="1" applyAlignment="1">
      <alignment horizontal="center" vertical="center" wrapText="1"/>
    </xf>
    <xf numFmtId="0" fontId="10" fillId="17" borderId="19" xfId="9" applyFont="1" applyFill="1" applyBorder="1" applyAlignment="1">
      <alignment horizontal="center" vertical="center" wrapText="1"/>
    </xf>
    <xf numFmtId="0" fontId="30" fillId="17" borderId="19" xfId="9" applyFont="1" applyFill="1" applyBorder="1" applyAlignment="1">
      <alignment horizontal="center" vertical="center" wrapText="1"/>
    </xf>
    <xf numFmtId="0" fontId="30" fillId="17" borderId="8" xfId="9" applyFont="1" applyFill="1" applyBorder="1" applyAlignment="1">
      <alignment horizontal="center" vertical="center" wrapText="1"/>
    </xf>
    <xf numFmtId="0" fontId="10" fillId="17" borderId="8" xfId="9" applyFont="1" applyFill="1" applyBorder="1" applyAlignment="1">
      <alignment horizontal="center" vertical="center" wrapText="1"/>
    </xf>
    <xf numFmtId="0" fontId="15" fillId="0" borderId="0" xfId="9" applyFont="1" applyAlignment="1">
      <alignment horizontal="center" vertical="center"/>
    </xf>
    <xf numFmtId="0" fontId="29" fillId="17" borderId="19" xfId="9" applyFont="1" applyFill="1" applyBorder="1" applyAlignment="1">
      <alignment horizontal="center" vertical="center"/>
    </xf>
    <xf numFmtId="0" fontId="29" fillId="0" borderId="42" xfId="9" applyFont="1" applyBorder="1"/>
    <xf numFmtId="164" fontId="28" fillId="0" borderId="42" xfId="12" applyNumberFormat="1" applyFont="1" applyBorder="1"/>
    <xf numFmtId="167" fontId="28" fillId="0" borderId="42" xfId="12" applyNumberFormat="1" applyFont="1" applyBorder="1"/>
    <xf numFmtId="164" fontId="31" fillId="0" borderId="40" xfId="12" applyNumberFormat="1" applyFont="1" applyBorder="1"/>
    <xf numFmtId="164" fontId="28" fillId="0" borderId="40" xfId="12" applyNumberFormat="1" applyFont="1" applyBorder="1"/>
    <xf numFmtId="164" fontId="28" fillId="18" borderId="40" xfId="12" applyNumberFormat="1" applyFont="1" applyFill="1" applyBorder="1"/>
    <xf numFmtId="164" fontId="28" fillId="0" borderId="22" xfId="12" applyNumberFormat="1" applyFont="1" applyBorder="1"/>
    <xf numFmtId="0" fontId="29" fillId="0" borderId="0" xfId="9" applyFont="1"/>
    <xf numFmtId="164" fontId="29" fillId="0" borderId="0" xfId="9" applyNumberFormat="1" applyFont="1"/>
    <xf numFmtId="0" fontId="15" fillId="0" borderId="41" xfId="9" applyFont="1" applyBorder="1"/>
    <xf numFmtId="164" fontId="16" fillId="0" borderId="41" xfId="12" applyNumberFormat="1" applyFont="1" applyBorder="1"/>
    <xf numFmtId="167" fontId="16" fillId="0" borderId="41" xfId="12" applyNumberFormat="1" applyFont="1" applyBorder="1"/>
    <xf numFmtId="164" fontId="32" fillId="0" borderId="5" xfId="12" applyNumberFormat="1" applyFont="1" applyBorder="1"/>
    <xf numFmtId="164" fontId="16" fillId="0" borderId="5" xfId="12" applyNumberFormat="1" applyFont="1" applyBorder="1"/>
    <xf numFmtId="164" fontId="16" fillId="18" borderId="5" xfId="12" applyNumberFormat="1" applyFont="1" applyFill="1" applyBorder="1"/>
    <xf numFmtId="164" fontId="16" fillId="0" borderId="43" xfId="12" applyNumberFormat="1" applyFont="1" applyBorder="1"/>
    <xf numFmtId="164" fontId="16" fillId="0" borderId="41" xfId="12" applyNumberFormat="1" applyFont="1" applyFill="1" applyBorder="1"/>
    <xf numFmtId="167" fontId="16" fillId="9" borderId="41" xfId="12" applyNumberFormat="1" applyFont="1" applyFill="1" applyBorder="1"/>
    <xf numFmtId="164" fontId="28" fillId="0" borderId="42" xfId="12" applyNumberFormat="1" applyFont="1" applyFill="1" applyBorder="1"/>
    <xf numFmtId="0" fontId="10" fillId="0" borderId="42" xfId="9" applyFont="1" applyBorder="1"/>
    <xf numFmtId="164" fontId="16" fillId="0" borderId="42" xfId="12" applyNumberFormat="1" applyFont="1" applyBorder="1"/>
    <xf numFmtId="167" fontId="16" fillId="0" borderId="42" xfId="12" applyNumberFormat="1" applyFont="1" applyBorder="1"/>
    <xf numFmtId="167" fontId="28" fillId="0" borderId="40" xfId="12" applyNumberFormat="1" applyFont="1" applyBorder="1"/>
    <xf numFmtId="164" fontId="3" fillId="0" borderId="0" xfId="9" applyNumberFormat="1" applyFont="1"/>
    <xf numFmtId="0" fontId="3" fillId="0" borderId="0" xfId="9" applyFont="1"/>
    <xf numFmtId="0" fontId="10" fillId="0" borderId="0" xfId="9" applyFont="1"/>
    <xf numFmtId="164" fontId="10" fillId="0" borderId="0" xfId="9" applyNumberFormat="1" applyFont="1"/>
    <xf numFmtId="0" fontId="3" fillId="0" borderId="41" xfId="9" applyFont="1" applyBorder="1"/>
    <xf numFmtId="167" fontId="16" fillId="0" borderId="5" xfId="12" applyNumberFormat="1" applyFont="1" applyBorder="1"/>
    <xf numFmtId="0" fontId="10" fillId="0" borderId="42" xfId="0" applyFont="1" applyBorder="1"/>
    <xf numFmtId="14" fontId="10" fillId="0" borderId="42" xfId="0" applyNumberFormat="1" applyFont="1" applyBorder="1"/>
    <xf numFmtId="164" fontId="10" fillId="0" borderId="0" xfId="0" applyNumberFormat="1" applyFont="1"/>
    <xf numFmtId="0" fontId="10" fillId="0" borderId="0" xfId="0" applyFont="1"/>
    <xf numFmtId="0" fontId="3" fillId="0" borderId="41" xfId="0" applyFont="1" applyBorder="1"/>
    <xf numFmtId="164" fontId="3" fillId="0" borderId="0" xfId="0" applyNumberFormat="1" applyFont="1"/>
    <xf numFmtId="0" fontId="3" fillId="0" borderId="0" xfId="0" applyFont="1"/>
    <xf numFmtId="0" fontId="3" fillId="0" borderId="42" xfId="9" applyFont="1" applyBorder="1"/>
    <xf numFmtId="0" fontId="33" fillId="0" borderId="42" xfId="9" applyFont="1" applyBorder="1"/>
    <xf numFmtId="0" fontId="17" fillId="0" borderId="42" xfId="9" applyFont="1" applyBorder="1"/>
    <xf numFmtId="14" fontId="17" fillId="0" borderId="42" xfId="9" applyNumberFormat="1" applyFont="1" applyBorder="1"/>
    <xf numFmtId="164" fontId="34" fillId="0" borderId="42" xfId="12" applyNumberFormat="1" applyFont="1" applyBorder="1"/>
    <xf numFmtId="167" fontId="34" fillId="0" borderId="42" xfId="12" applyNumberFormat="1" applyFont="1" applyBorder="1"/>
    <xf numFmtId="167" fontId="35" fillId="0" borderId="42" xfId="12" applyNumberFormat="1" applyFont="1" applyBorder="1"/>
    <xf numFmtId="164" fontId="35" fillId="0" borderId="40" xfId="12" applyNumberFormat="1" applyFont="1" applyBorder="1"/>
    <xf numFmtId="164" fontId="35" fillId="18" borderId="40" xfId="12" applyNumberFormat="1" applyFont="1" applyFill="1" applyBorder="1"/>
    <xf numFmtId="164" fontId="35" fillId="0" borderId="22" xfId="12" applyNumberFormat="1" applyFont="1" applyBorder="1"/>
    <xf numFmtId="0" fontId="17" fillId="0" borderId="0" xfId="9" applyFont="1"/>
    <xf numFmtId="0" fontId="17" fillId="0" borderId="41" xfId="9" applyFont="1" applyBorder="1"/>
    <xf numFmtId="164" fontId="34" fillId="0" borderId="41" xfId="12" applyNumberFormat="1" applyFont="1" applyBorder="1"/>
    <xf numFmtId="167" fontId="34" fillId="0" borderId="41" xfId="12" applyNumberFormat="1" applyFont="1" applyBorder="1"/>
    <xf numFmtId="164" fontId="34" fillId="0" borderId="5" xfId="12" applyNumberFormat="1" applyFont="1" applyBorder="1"/>
    <xf numFmtId="164" fontId="34" fillId="18" borderId="5" xfId="12" applyNumberFormat="1" applyFont="1" applyFill="1" applyBorder="1"/>
    <xf numFmtId="164" fontId="34" fillId="0" borderId="43" xfId="12" applyNumberFormat="1" applyFont="1" applyBorder="1"/>
    <xf numFmtId="164" fontId="16" fillId="0" borderId="0" xfId="12" applyNumberFormat="1" applyFont="1" applyFill="1" applyBorder="1"/>
    <xf numFmtId="167" fontId="16" fillId="0" borderId="0" xfId="12" applyNumberFormat="1" applyFont="1" applyFill="1" applyBorder="1"/>
    <xf numFmtId="164" fontId="36" fillId="0" borderId="0" xfId="12" applyNumberFormat="1" applyFont="1" applyFill="1" applyBorder="1"/>
    <xf numFmtId="0" fontId="29" fillId="0" borderId="0" xfId="9" applyFont="1" applyAlignment="1">
      <alignment horizontal="right"/>
    </xf>
    <xf numFmtId="164" fontId="29" fillId="17" borderId="0" xfId="9" applyNumberFormat="1" applyFont="1" applyFill="1"/>
    <xf numFmtId="167" fontId="29" fillId="17" borderId="0" xfId="9" applyNumberFormat="1" applyFont="1" applyFill="1"/>
    <xf numFmtId="167" fontId="29" fillId="0" borderId="0" xfId="9" applyNumberFormat="1" applyFont="1"/>
    <xf numFmtId="167" fontId="28" fillId="0" borderId="0" xfId="12" applyNumberFormat="1" applyFont="1" applyFill="1" applyBorder="1" applyAlignment="1">
      <alignment horizontal="right"/>
    </xf>
    <xf numFmtId="164" fontId="31" fillId="19" borderId="40" xfId="12" applyNumberFormat="1" applyFont="1" applyFill="1" applyBorder="1"/>
    <xf numFmtId="164" fontId="28" fillId="19" borderId="40" xfId="12" applyNumberFormat="1" applyFont="1" applyFill="1" applyBorder="1"/>
    <xf numFmtId="167" fontId="16" fillId="0" borderId="0" xfId="12" applyNumberFormat="1" applyFont="1" applyFill="1" applyBorder="1" applyAlignment="1">
      <alignment horizontal="right"/>
    </xf>
    <xf numFmtId="164" fontId="32" fillId="19" borderId="5" xfId="12" applyNumberFormat="1" applyFont="1" applyFill="1" applyBorder="1"/>
    <xf numFmtId="164" fontId="16" fillId="19" borderId="5" xfId="12" applyNumberFormat="1" applyFont="1" applyFill="1" applyBorder="1"/>
    <xf numFmtId="164" fontId="30" fillId="19" borderId="5" xfId="9" applyNumberFormat="1" applyFont="1" applyFill="1" applyBorder="1"/>
    <xf numFmtId="164" fontId="10" fillId="19" borderId="5" xfId="9" applyNumberFormat="1" applyFont="1" applyFill="1" applyBorder="1"/>
    <xf numFmtId="0" fontId="29" fillId="0" borderId="0" xfId="9" applyFont="1" applyAlignment="1">
      <alignment wrapText="1"/>
    </xf>
    <xf numFmtId="0" fontId="11" fillId="0" borderId="0" xfId="9" applyFont="1" applyAlignment="1">
      <alignment wrapText="1"/>
    </xf>
    <xf numFmtId="164" fontId="7" fillId="0" borderId="0" xfId="9" applyNumberFormat="1" applyFont="1"/>
    <xf numFmtId="14" fontId="29" fillId="0" borderId="42" xfId="9" applyNumberFormat="1" applyFont="1" applyBorder="1"/>
    <xf numFmtId="164" fontId="36" fillId="0" borderId="5" xfId="12" applyNumberFormat="1" applyFont="1" applyBorder="1"/>
    <xf numFmtId="14" fontId="10" fillId="0" borderId="42" xfId="9" applyNumberFormat="1" applyFont="1" applyBorder="1"/>
    <xf numFmtId="0" fontId="10" fillId="0" borderId="41" xfId="9" applyFont="1" applyBorder="1"/>
    <xf numFmtId="0" fontId="10" fillId="0" borderId="0" xfId="9" applyFont="1" applyAlignment="1">
      <alignment horizontal="right"/>
    </xf>
    <xf numFmtId="164" fontId="28" fillId="19" borderId="8" xfId="12" applyNumberFormat="1" applyFont="1" applyFill="1" applyBorder="1"/>
    <xf numFmtId="164" fontId="10" fillId="19" borderId="8" xfId="9" applyNumberFormat="1" applyFont="1" applyFill="1" applyBorder="1"/>
    <xf numFmtId="0" fontId="3" fillId="0" borderId="0" xfId="11" applyFont="1" applyAlignment="1">
      <alignment horizontal="right"/>
    </xf>
    <xf numFmtId="164" fontId="3" fillId="0" borderId="44" xfId="9" applyNumberFormat="1" applyFont="1" applyBorder="1"/>
    <xf numFmtId="164" fontId="28" fillId="18" borderId="44" xfId="12" applyNumberFormat="1" applyFont="1" applyFill="1" applyBorder="1"/>
    <xf numFmtId="164" fontId="16" fillId="0" borderId="44" xfId="12" applyNumberFormat="1" applyFont="1" applyBorder="1"/>
    <xf numFmtId="165" fontId="10" fillId="20" borderId="8" xfId="13" applyNumberFormat="1" applyFont="1" applyFill="1" applyBorder="1"/>
    <xf numFmtId="165" fontId="10" fillId="0" borderId="0" xfId="13" applyNumberFormat="1" applyFont="1" applyFill="1"/>
    <xf numFmtId="165" fontId="7" fillId="0" borderId="0" xfId="13" applyNumberFormat="1" applyFont="1"/>
    <xf numFmtId="0" fontId="37" fillId="0" borderId="0" xfId="11" applyFont="1" applyAlignment="1">
      <alignment horizontal="right"/>
    </xf>
    <xf numFmtId="164" fontId="28" fillId="20" borderId="0" xfId="12" applyNumberFormat="1" applyFont="1" applyFill="1"/>
    <xf numFmtId="0" fontId="38" fillId="0" borderId="0" xfId="9" applyFont="1"/>
    <xf numFmtId="9" fontId="38" fillId="0" borderId="0" xfId="9" applyNumberFormat="1" applyFont="1"/>
    <xf numFmtId="0" fontId="38" fillId="0" borderId="0" xfId="9" applyFont="1" applyAlignment="1">
      <alignment horizontal="right"/>
    </xf>
    <xf numFmtId="164" fontId="39" fillId="0" borderId="0" xfId="12" applyNumberFormat="1" applyFont="1"/>
    <xf numFmtId="164" fontId="40" fillId="0" borderId="0" xfId="12" applyNumberFormat="1" applyFont="1"/>
    <xf numFmtId="165" fontId="41" fillId="20" borderId="8" xfId="13" applyNumberFormat="1" applyFont="1" applyFill="1" applyBorder="1"/>
    <xf numFmtId="9" fontId="15" fillId="0" borderId="0" xfId="9" applyNumberFormat="1" applyFont="1"/>
    <xf numFmtId="164" fontId="36" fillId="0" borderId="0" xfId="12" applyNumberFormat="1" applyFont="1" applyAlignment="1">
      <alignment horizontal="right"/>
    </xf>
    <xf numFmtId="164" fontId="36" fillId="0" borderId="0" xfId="12" applyNumberFormat="1" applyFont="1"/>
    <xf numFmtId="164" fontId="16" fillId="10" borderId="8" xfId="12" applyNumberFormat="1" applyFont="1" applyFill="1" applyBorder="1"/>
    <xf numFmtId="9" fontId="3" fillId="0" borderId="11" xfId="4" applyFont="1" applyFill="1" applyBorder="1" applyAlignment="1">
      <alignment horizontal="left" wrapText="1"/>
    </xf>
    <xf numFmtId="9" fontId="3" fillId="0" borderId="12" xfId="4" applyFont="1" applyFill="1" applyBorder="1" applyAlignment="1">
      <alignment horizontal="left" wrapText="1"/>
    </xf>
    <xf numFmtId="0" fontId="9" fillId="0" borderId="0" xfId="3" applyFont="1"/>
    <xf numFmtId="0" fontId="2" fillId="0" borderId="0" xfId="2"/>
    <xf numFmtId="9" fontId="3" fillId="0" borderId="11" xfId="4" applyFont="1" applyBorder="1" applyAlignment="1">
      <alignment horizontal="left" wrapText="1"/>
    </xf>
    <xf numFmtId="9" fontId="3" fillId="0" borderId="12" xfId="4" applyFont="1" applyBorder="1" applyAlignment="1">
      <alignment horizontal="left" wrapText="1"/>
    </xf>
    <xf numFmtId="0" fontId="4" fillId="0" borderId="0" xfId="3" applyFont="1"/>
  </cellXfs>
  <cellStyles count="14">
    <cellStyle name="Comma" xfId="1" builtinId="3"/>
    <cellStyle name="Comma 2" xfId="12" xr:uid="{52022BBB-88BF-4D4D-8C3A-C24AEEB27ED8}"/>
    <cellStyle name="Hyperlink" xfId="6" builtinId="8"/>
    <cellStyle name="Komats 10" xfId="5" xr:uid="{4112714F-BA6E-40AE-BDA9-A3549D9117D2}"/>
    <cellStyle name="Normal" xfId="0" builtinId="0"/>
    <cellStyle name="Normal 2" xfId="9" xr:uid="{4936C313-0C59-48AD-ABCA-D58DFAAA5DD8}"/>
    <cellStyle name="Normal 2 2" xfId="7" xr:uid="{B0D896C5-3B77-4DBD-8969-85E2CD330C04}"/>
    <cellStyle name="Normal 4" xfId="11" xr:uid="{211CEEB1-A61C-49CA-A7DA-98F31D2DEBA7}"/>
    <cellStyle name="Parasts 2 2 2 2" xfId="10" xr:uid="{46598144-F062-4269-B74F-A59C422BD914}"/>
    <cellStyle name="Parasts 2 2 5" xfId="2" xr:uid="{A695B830-C13A-4B0D-976A-ADA7ECDF82FE}"/>
    <cellStyle name="Parasts 2 2 5 2" xfId="3" xr:uid="{7492546F-76D0-4FD5-B506-A4EC56116BDA}"/>
    <cellStyle name="Percent 2" xfId="13" xr:uid="{B7CE27A4-3D50-4DBA-B072-C3BEC5D9BD55}"/>
    <cellStyle name="Percent 4" xfId="8" xr:uid="{7489DF0F-30B4-416D-BE6F-68BC4F35F8F4}"/>
    <cellStyle name="Procenti 2 3" xfId="4" xr:uid="{DD39E963-6FE5-4143-AEF6-6EE6BF15068B}"/>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armite.Muze\Nextcloud\Finansu%20nodala%20kopmape\10_2023\1_Budzets_2023_actual_10_2023.xlsx" TargetMode="External"/><Relationship Id="rId1" Type="http://schemas.openxmlformats.org/officeDocument/2006/relationships/externalLinkPath" Target="/Users/Sarmite.Muze/Nextcloud/Finansu%20nodala%20kopmape/10_2023/1_Budzets_2023_actual_10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Tames"/>
      <sheetName val="PIVOT_2023"/>
      <sheetName val="Investīcijas_2023"/>
      <sheetName val="Pivot_invest_2023"/>
      <sheetName val="PFIF prognoze"/>
      <sheetName val="2022-2027"/>
      <sheetName val="2023.gada budzeta plans_apvieno"/>
      <sheetName val="Grafiki_budžeta_izpilde"/>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4.piel_Saistibas (%likmes)"/>
      <sheetName val="Saistibas_VK_prognoze"/>
      <sheetName val="5.piel.EKK"/>
      <sheetName val="Deputāti"/>
      <sheetName val="Velesanu_komis_loc"/>
      <sheetName val="Adm_komisija"/>
      <sheetName val="Iepirk_komisija"/>
      <sheetName val="Komisijas"/>
      <sheetName val="1_Budzets_2023_actual_10_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66F31-F789-4139-937C-2629BA46FC23}">
  <sheetPr>
    <tabColor rgb="FF92D050"/>
    <pageSetUpPr fitToPage="1"/>
  </sheetPr>
  <dimension ref="A1:T280"/>
  <sheetViews>
    <sheetView tabSelected="1" zoomScaleNormal="100" zoomScaleSheetLayoutView="80" workbookViewId="0">
      <pane xSplit="4" ySplit="5" topLeftCell="I177" activePane="bottomRight" state="frozen"/>
      <selection activeCell="C1" sqref="C1"/>
      <selection pane="topRight" activeCell="E1" sqref="E1"/>
      <selection pane="bottomLeft" activeCell="C6" sqref="C6"/>
      <selection pane="bottomRight" activeCell="T180" sqref="T180"/>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31" customWidth="1" collapsed="1"/>
    <col min="4" max="4" width="48.5703125" style="3" customWidth="1"/>
    <col min="5" max="5" width="14.85546875" style="7" customWidth="1"/>
    <col min="6" max="6" width="14.85546875" style="7" customWidth="1" collapsed="1"/>
    <col min="7" max="7" width="14.85546875" style="1" hidden="1" customWidth="1" outlineLevel="1"/>
    <col min="8" max="8" width="54" style="13" hidden="1" customWidth="1" outlineLevel="1" collapsed="1"/>
    <col min="9" max="9" width="14.85546875" style="1" customWidth="1" collapsed="1"/>
    <col min="10" max="10" width="14.85546875" style="1" hidden="1" customWidth="1" outlineLevel="1"/>
    <col min="11" max="11" width="56.42578125" style="13" hidden="1" customWidth="1" outlineLevel="1" collapsed="1"/>
    <col min="12" max="12" width="14.85546875" style="1" customWidth="1" collapsed="1"/>
    <col min="13" max="13" width="14.85546875" style="1" hidden="1" customWidth="1" outlineLevel="1"/>
    <col min="14" max="14" width="56.42578125" style="13" hidden="1" customWidth="1" outlineLevel="1" collapsed="1"/>
    <col min="15" max="15" width="14.85546875" style="1" customWidth="1" collapsed="1"/>
    <col min="16" max="16" width="14.85546875" style="1" hidden="1" customWidth="1" outlineLevel="1"/>
    <col min="17" max="17" width="56.42578125" style="13" hidden="1" customWidth="1" outlineLevel="1" collapsed="1"/>
    <col min="18" max="18" width="14.85546875" style="1" customWidth="1" collapsed="1"/>
    <col min="19" max="19" width="14.85546875" style="1" customWidth="1"/>
    <col min="20" max="20" width="56.42578125" style="13" customWidth="1" collapsed="1"/>
    <col min="21" max="184" width="9.140625" style="1"/>
    <col min="185" max="186" width="0" style="1" hidden="1" customWidth="1"/>
    <col min="187" max="187" width="13.7109375" style="1" customWidth="1"/>
    <col min="188" max="188" width="52.85546875" style="1" customWidth="1"/>
    <col min="189" max="228" width="0" style="1" hidden="1" customWidth="1"/>
    <col min="229" max="230" width="14.85546875" style="1" customWidth="1"/>
    <col min="231" max="232" width="0" style="1" hidden="1" customWidth="1"/>
    <col min="233" max="233" width="14.85546875" style="1" customWidth="1"/>
    <col min="234" max="235" width="0" style="1" hidden="1" customWidth="1"/>
    <col min="236" max="236" width="14.85546875" style="1" customWidth="1"/>
    <col min="237" max="238" width="0" style="1" hidden="1" customWidth="1"/>
    <col min="239" max="239" width="14.85546875" style="1" customWidth="1"/>
    <col min="240" max="241" width="0" style="1" hidden="1" customWidth="1"/>
    <col min="242" max="242" width="14.85546875" style="1" customWidth="1"/>
    <col min="243" max="244" width="0" style="1" hidden="1" customWidth="1"/>
    <col min="245" max="246" width="14.85546875" style="1" customWidth="1"/>
    <col min="247" max="247" width="44.42578125" style="1" customWidth="1"/>
    <col min="248" max="252" width="14.85546875" style="1" customWidth="1"/>
    <col min="253" max="253" width="63.85546875" style="1" customWidth="1"/>
    <col min="254" max="254" width="13.28515625" style="1" customWidth="1"/>
    <col min="255" max="440" width="9.140625" style="1"/>
    <col min="441" max="442" width="0" style="1" hidden="1" customWidth="1"/>
    <col min="443" max="443" width="13.7109375" style="1" customWidth="1"/>
    <col min="444" max="444" width="52.85546875" style="1" customWidth="1"/>
    <col min="445" max="484" width="0" style="1" hidden="1" customWidth="1"/>
    <col min="485" max="486" width="14.85546875" style="1" customWidth="1"/>
    <col min="487" max="488" width="0" style="1" hidden="1" customWidth="1"/>
    <col min="489" max="489" width="14.85546875" style="1" customWidth="1"/>
    <col min="490" max="491" width="0" style="1" hidden="1" customWidth="1"/>
    <col min="492" max="492" width="14.85546875" style="1" customWidth="1"/>
    <col min="493" max="494" width="0" style="1" hidden="1" customWidth="1"/>
    <col min="495" max="495" width="14.85546875" style="1" customWidth="1"/>
    <col min="496" max="497" width="0" style="1" hidden="1" customWidth="1"/>
    <col min="498" max="498" width="14.85546875" style="1" customWidth="1"/>
    <col min="499" max="500" width="0" style="1" hidden="1" customWidth="1"/>
    <col min="501" max="502" width="14.85546875" style="1" customWidth="1"/>
    <col min="503" max="503" width="44.42578125" style="1" customWidth="1"/>
    <col min="504" max="508" width="14.85546875" style="1" customWidth="1"/>
    <col min="509" max="509" width="63.85546875" style="1" customWidth="1"/>
    <col min="510" max="510" width="13.28515625" style="1" customWidth="1"/>
    <col min="511" max="696" width="9.140625" style="1"/>
    <col min="697" max="698" width="0" style="1" hidden="1" customWidth="1"/>
    <col min="699" max="699" width="13.7109375" style="1" customWidth="1"/>
    <col min="700" max="700" width="52.85546875" style="1" customWidth="1"/>
    <col min="701" max="740" width="0" style="1" hidden="1" customWidth="1"/>
    <col min="741" max="742" width="14.85546875" style="1" customWidth="1"/>
    <col min="743" max="744" width="0" style="1" hidden="1" customWidth="1"/>
    <col min="745" max="745" width="14.85546875" style="1" customWidth="1"/>
    <col min="746" max="747" width="0" style="1" hidden="1" customWidth="1"/>
    <col min="748" max="748" width="14.85546875" style="1" customWidth="1"/>
    <col min="749" max="750" width="0" style="1" hidden="1" customWidth="1"/>
    <col min="751" max="751" width="14.85546875" style="1" customWidth="1"/>
    <col min="752" max="753" width="0" style="1" hidden="1" customWidth="1"/>
    <col min="754" max="754" width="14.85546875" style="1" customWidth="1"/>
    <col min="755" max="756" width="0" style="1" hidden="1" customWidth="1"/>
    <col min="757" max="758" width="14.85546875" style="1" customWidth="1"/>
    <col min="759" max="759" width="44.42578125" style="1" customWidth="1"/>
    <col min="760" max="764" width="14.85546875" style="1" customWidth="1"/>
    <col min="765" max="765" width="63.85546875" style="1" customWidth="1"/>
    <col min="766" max="766" width="13.28515625" style="1" customWidth="1"/>
    <col min="767" max="952" width="9.140625" style="1"/>
    <col min="953" max="954" width="0" style="1" hidden="1" customWidth="1"/>
    <col min="955" max="955" width="13.7109375" style="1" customWidth="1"/>
    <col min="956" max="956" width="52.85546875" style="1" customWidth="1"/>
    <col min="957" max="996" width="0" style="1" hidden="1" customWidth="1"/>
    <col min="997" max="998" width="14.85546875" style="1" customWidth="1"/>
    <col min="999" max="1000" width="0" style="1" hidden="1" customWidth="1"/>
    <col min="1001" max="1001" width="14.85546875" style="1" customWidth="1"/>
    <col min="1002" max="1003" width="0" style="1" hidden="1" customWidth="1"/>
    <col min="1004" max="1004" width="14.85546875" style="1" customWidth="1"/>
    <col min="1005" max="1006" width="0" style="1" hidden="1" customWidth="1"/>
    <col min="1007" max="1007" width="14.85546875" style="1" customWidth="1"/>
    <col min="1008" max="1009" width="0" style="1" hidden="1" customWidth="1"/>
    <col min="1010" max="1010" width="14.85546875" style="1" customWidth="1"/>
    <col min="1011" max="1012" width="0" style="1" hidden="1" customWidth="1"/>
    <col min="1013" max="1014" width="14.85546875" style="1" customWidth="1"/>
    <col min="1015" max="1015" width="44.42578125" style="1" customWidth="1"/>
    <col min="1016" max="1020" width="14.85546875" style="1" customWidth="1"/>
    <col min="1021" max="1021" width="63.85546875" style="1" customWidth="1"/>
    <col min="1022" max="1022" width="13.28515625" style="1" customWidth="1"/>
    <col min="1023" max="1208" width="9.140625" style="1"/>
    <col min="1209" max="1210" width="0" style="1" hidden="1" customWidth="1"/>
    <col min="1211" max="1211" width="13.7109375" style="1" customWidth="1"/>
    <col min="1212" max="1212" width="52.85546875" style="1" customWidth="1"/>
    <col min="1213" max="1252" width="0" style="1" hidden="1" customWidth="1"/>
    <col min="1253" max="1254" width="14.85546875" style="1" customWidth="1"/>
    <col min="1255" max="1256" width="0" style="1" hidden="1" customWidth="1"/>
    <col min="1257" max="1257" width="14.85546875" style="1" customWidth="1"/>
    <col min="1258" max="1259" width="0" style="1" hidden="1" customWidth="1"/>
    <col min="1260" max="1260" width="14.85546875" style="1" customWidth="1"/>
    <col min="1261" max="1262" width="0" style="1" hidden="1" customWidth="1"/>
    <col min="1263" max="1263" width="14.85546875" style="1" customWidth="1"/>
    <col min="1264" max="1265" width="0" style="1" hidden="1" customWidth="1"/>
    <col min="1266" max="1266" width="14.85546875" style="1" customWidth="1"/>
    <col min="1267" max="1268" width="0" style="1" hidden="1" customWidth="1"/>
    <col min="1269" max="1270" width="14.85546875" style="1" customWidth="1"/>
    <col min="1271" max="1271" width="44.42578125" style="1" customWidth="1"/>
    <col min="1272" max="1276" width="14.85546875" style="1" customWidth="1"/>
    <col min="1277" max="1277" width="63.85546875" style="1" customWidth="1"/>
    <col min="1278" max="1278" width="13.28515625" style="1" customWidth="1"/>
    <col min="1279" max="1464" width="9.140625" style="1"/>
    <col min="1465" max="1466" width="0" style="1" hidden="1" customWidth="1"/>
    <col min="1467" max="1467" width="13.7109375" style="1" customWidth="1"/>
    <col min="1468" max="1468" width="52.85546875" style="1" customWidth="1"/>
    <col min="1469" max="1508" width="0" style="1" hidden="1" customWidth="1"/>
    <col min="1509" max="1510" width="14.85546875" style="1" customWidth="1"/>
    <col min="1511" max="1512" width="0" style="1" hidden="1" customWidth="1"/>
    <col min="1513" max="1513" width="14.85546875" style="1" customWidth="1"/>
    <col min="1514" max="1515" width="0" style="1" hidden="1" customWidth="1"/>
    <col min="1516" max="1516" width="14.85546875" style="1" customWidth="1"/>
    <col min="1517" max="1518" width="0" style="1" hidden="1" customWidth="1"/>
    <col min="1519" max="1519" width="14.85546875" style="1" customWidth="1"/>
    <col min="1520" max="1521" width="0" style="1" hidden="1" customWidth="1"/>
    <col min="1522" max="1522" width="14.85546875" style="1" customWidth="1"/>
    <col min="1523" max="1524" width="0" style="1" hidden="1" customWidth="1"/>
    <col min="1525" max="1526" width="14.85546875" style="1" customWidth="1"/>
    <col min="1527" max="1527" width="44.42578125" style="1" customWidth="1"/>
    <col min="1528" max="1532" width="14.85546875" style="1" customWidth="1"/>
    <col min="1533" max="1533" width="63.85546875" style="1" customWidth="1"/>
    <col min="1534" max="1534" width="13.28515625" style="1" customWidth="1"/>
    <col min="1535" max="1720" width="9.140625" style="1"/>
    <col min="1721" max="1722" width="0" style="1" hidden="1" customWidth="1"/>
    <col min="1723" max="1723" width="13.7109375" style="1" customWidth="1"/>
    <col min="1724" max="1724" width="52.85546875" style="1" customWidth="1"/>
    <col min="1725" max="1764" width="0" style="1" hidden="1" customWidth="1"/>
    <col min="1765" max="1766" width="14.85546875" style="1" customWidth="1"/>
    <col min="1767" max="1768" width="0" style="1" hidden="1" customWidth="1"/>
    <col min="1769" max="1769" width="14.85546875" style="1" customWidth="1"/>
    <col min="1770" max="1771" width="0" style="1" hidden="1" customWidth="1"/>
    <col min="1772" max="1772" width="14.85546875" style="1" customWidth="1"/>
    <col min="1773" max="1774" width="0" style="1" hidden="1" customWidth="1"/>
    <col min="1775" max="1775" width="14.85546875" style="1" customWidth="1"/>
    <col min="1776" max="1777" width="0" style="1" hidden="1" customWidth="1"/>
    <col min="1778" max="1778" width="14.85546875" style="1" customWidth="1"/>
    <col min="1779" max="1780" width="0" style="1" hidden="1" customWidth="1"/>
    <col min="1781" max="1782" width="14.85546875" style="1" customWidth="1"/>
    <col min="1783" max="1783" width="44.42578125" style="1" customWidth="1"/>
    <col min="1784" max="1788" width="14.85546875" style="1" customWidth="1"/>
    <col min="1789" max="1789" width="63.85546875" style="1" customWidth="1"/>
    <col min="1790" max="1790" width="13.28515625" style="1" customWidth="1"/>
    <col min="1791" max="1976" width="9.140625" style="1"/>
    <col min="1977" max="1978" width="0" style="1" hidden="1" customWidth="1"/>
    <col min="1979" max="1979" width="13.7109375" style="1" customWidth="1"/>
    <col min="1980" max="1980" width="52.85546875" style="1" customWidth="1"/>
    <col min="1981" max="2020" width="0" style="1" hidden="1" customWidth="1"/>
    <col min="2021" max="2022" width="14.85546875" style="1" customWidth="1"/>
    <col min="2023" max="2024" width="0" style="1" hidden="1" customWidth="1"/>
    <col min="2025" max="2025" width="14.85546875" style="1" customWidth="1"/>
    <col min="2026" max="2027" width="0" style="1" hidden="1" customWidth="1"/>
    <col min="2028" max="2028" width="14.85546875" style="1" customWidth="1"/>
    <col min="2029" max="2030" width="0" style="1" hidden="1" customWidth="1"/>
    <col min="2031" max="2031" width="14.85546875" style="1" customWidth="1"/>
    <col min="2032" max="2033" width="0" style="1" hidden="1" customWidth="1"/>
    <col min="2034" max="2034" width="14.85546875" style="1" customWidth="1"/>
    <col min="2035" max="2036" width="0" style="1" hidden="1" customWidth="1"/>
    <col min="2037" max="2038" width="14.85546875" style="1" customWidth="1"/>
    <col min="2039" max="2039" width="44.42578125" style="1" customWidth="1"/>
    <col min="2040" max="2044" width="14.85546875" style="1" customWidth="1"/>
    <col min="2045" max="2045" width="63.85546875" style="1" customWidth="1"/>
    <col min="2046" max="2046" width="13.28515625" style="1" customWidth="1"/>
    <col min="2047" max="2232" width="9.140625" style="1"/>
    <col min="2233" max="2234" width="0" style="1" hidden="1" customWidth="1"/>
    <col min="2235" max="2235" width="13.7109375" style="1" customWidth="1"/>
    <col min="2236" max="2236" width="52.85546875" style="1" customWidth="1"/>
    <col min="2237" max="2276" width="0" style="1" hidden="1" customWidth="1"/>
    <col min="2277" max="2278" width="14.85546875" style="1" customWidth="1"/>
    <col min="2279" max="2280" width="0" style="1" hidden="1" customWidth="1"/>
    <col min="2281" max="2281" width="14.85546875" style="1" customWidth="1"/>
    <col min="2282" max="2283" width="0" style="1" hidden="1" customWidth="1"/>
    <col min="2284" max="2284" width="14.85546875" style="1" customWidth="1"/>
    <col min="2285" max="2286" width="0" style="1" hidden="1" customWidth="1"/>
    <col min="2287" max="2287" width="14.85546875" style="1" customWidth="1"/>
    <col min="2288" max="2289" width="0" style="1" hidden="1" customWidth="1"/>
    <col min="2290" max="2290" width="14.85546875" style="1" customWidth="1"/>
    <col min="2291" max="2292" width="0" style="1" hidden="1" customWidth="1"/>
    <col min="2293" max="2294" width="14.85546875" style="1" customWidth="1"/>
    <col min="2295" max="2295" width="44.42578125" style="1" customWidth="1"/>
    <col min="2296" max="2300" width="14.85546875" style="1" customWidth="1"/>
    <col min="2301" max="2301" width="63.85546875" style="1" customWidth="1"/>
    <col min="2302" max="2302" width="13.28515625" style="1" customWidth="1"/>
    <col min="2303" max="2488" width="9.140625" style="1"/>
    <col min="2489" max="2490" width="0" style="1" hidden="1" customWidth="1"/>
    <col min="2491" max="2491" width="13.7109375" style="1" customWidth="1"/>
    <col min="2492" max="2492" width="52.85546875" style="1" customWidth="1"/>
    <col min="2493" max="2532" width="0" style="1" hidden="1" customWidth="1"/>
    <col min="2533" max="2534" width="14.85546875" style="1" customWidth="1"/>
    <col min="2535" max="2536" width="0" style="1" hidden="1" customWidth="1"/>
    <col min="2537" max="2537" width="14.85546875" style="1" customWidth="1"/>
    <col min="2538" max="2539" width="0" style="1" hidden="1" customWidth="1"/>
    <col min="2540" max="2540" width="14.85546875" style="1" customWidth="1"/>
    <col min="2541" max="2542" width="0" style="1" hidden="1" customWidth="1"/>
    <col min="2543" max="2543" width="14.85546875" style="1" customWidth="1"/>
    <col min="2544" max="2545" width="0" style="1" hidden="1" customWidth="1"/>
    <col min="2546" max="2546" width="14.85546875" style="1" customWidth="1"/>
    <col min="2547" max="2548" width="0" style="1" hidden="1" customWidth="1"/>
    <col min="2549" max="2550" width="14.85546875" style="1" customWidth="1"/>
    <col min="2551" max="2551" width="44.42578125" style="1" customWidth="1"/>
    <col min="2552" max="2556" width="14.85546875" style="1" customWidth="1"/>
    <col min="2557" max="2557" width="63.85546875" style="1" customWidth="1"/>
    <col min="2558" max="2558" width="13.28515625" style="1" customWidth="1"/>
    <col min="2559" max="2744" width="9.140625" style="1"/>
    <col min="2745" max="2746" width="0" style="1" hidden="1" customWidth="1"/>
    <col min="2747" max="2747" width="13.7109375" style="1" customWidth="1"/>
    <col min="2748" max="2748" width="52.85546875" style="1" customWidth="1"/>
    <col min="2749" max="2788" width="0" style="1" hidden="1" customWidth="1"/>
    <col min="2789" max="2790" width="14.85546875" style="1" customWidth="1"/>
    <col min="2791" max="2792" width="0" style="1" hidden="1" customWidth="1"/>
    <col min="2793" max="2793" width="14.85546875" style="1" customWidth="1"/>
    <col min="2794" max="2795" width="0" style="1" hidden="1" customWidth="1"/>
    <col min="2796" max="2796" width="14.85546875" style="1" customWidth="1"/>
    <col min="2797" max="2798" width="0" style="1" hidden="1" customWidth="1"/>
    <col min="2799" max="2799" width="14.85546875" style="1" customWidth="1"/>
    <col min="2800" max="2801" width="0" style="1" hidden="1" customWidth="1"/>
    <col min="2802" max="2802" width="14.85546875" style="1" customWidth="1"/>
    <col min="2803" max="2804" width="0" style="1" hidden="1" customWidth="1"/>
    <col min="2805" max="2806" width="14.85546875" style="1" customWidth="1"/>
    <col min="2807" max="2807" width="44.42578125" style="1" customWidth="1"/>
    <col min="2808" max="2812" width="14.85546875" style="1" customWidth="1"/>
    <col min="2813" max="2813" width="63.85546875" style="1" customWidth="1"/>
    <col min="2814" max="2814" width="13.28515625" style="1" customWidth="1"/>
    <col min="2815" max="3000" width="9.140625" style="1"/>
    <col min="3001" max="3002" width="0" style="1" hidden="1" customWidth="1"/>
    <col min="3003" max="3003" width="13.7109375" style="1" customWidth="1"/>
    <col min="3004" max="3004" width="52.85546875" style="1" customWidth="1"/>
    <col min="3005" max="3044" width="0" style="1" hidden="1" customWidth="1"/>
    <col min="3045" max="3046" width="14.85546875" style="1" customWidth="1"/>
    <col min="3047" max="3048" width="0" style="1" hidden="1" customWidth="1"/>
    <col min="3049" max="3049" width="14.85546875" style="1" customWidth="1"/>
    <col min="3050" max="3051" width="0" style="1" hidden="1" customWidth="1"/>
    <col min="3052" max="3052" width="14.85546875" style="1" customWidth="1"/>
    <col min="3053" max="3054" width="0" style="1" hidden="1" customWidth="1"/>
    <col min="3055" max="3055" width="14.85546875" style="1" customWidth="1"/>
    <col min="3056" max="3057" width="0" style="1" hidden="1" customWidth="1"/>
    <col min="3058" max="3058" width="14.85546875" style="1" customWidth="1"/>
    <col min="3059" max="3060" width="0" style="1" hidden="1" customWidth="1"/>
    <col min="3061" max="3062" width="14.85546875" style="1" customWidth="1"/>
    <col min="3063" max="3063" width="44.42578125" style="1" customWidth="1"/>
    <col min="3064" max="3068" width="14.85546875" style="1" customWidth="1"/>
    <col min="3069" max="3069" width="63.85546875" style="1" customWidth="1"/>
    <col min="3070" max="3070" width="13.28515625" style="1" customWidth="1"/>
    <col min="3071" max="3256" width="9.140625" style="1"/>
    <col min="3257" max="3258" width="0" style="1" hidden="1" customWidth="1"/>
    <col min="3259" max="3259" width="13.7109375" style="1" customWidth="1"/>
    <col min="3260" max="3260" width="52.85546875" style="1" customWidth="1"/>
    <col min="3261" max="3300" width="0" style="1" hidden="1" customWidth="1"/>
    <col min="3301" max="3302" width="14.85546875" style="1" customWidth="1"/>
    <col min="3303" max="3304" width="0" style="1" hidden="1" customWidth="1"/>
    <col min="3305" max="3305" width="14.85546875" style="1" customWidth="1"/>
    <col min="3306" max="3307" width="0" style="1" hidden="1" customWidth="1"/>
    <col min="3308" max="3308" width="14.85546875" style="1" customWidth="1"/>
    <col min="3309" max="3310" width="0" style="1" hidden="1" customWidth="1"/>
    <col min="3311" max="3311" width="14.85546875" style="1" customWidth="1"/>
    <col min="3312" max="3313" width="0" style="1" hidden="1" customWidth="1"/>
    <col min="3314" max="3314" width="14.85546875" style="1" customWidth="1"/>
    <col min="3315" max="3316" width="0" style="1" hidden="1" customWidth="1"/>
    <col min="3317" max="3318" width="14.85546875" style="1" customWidth="1"/>
    <col min="3319" max="3319" width="44.42578125" style="1" customWidth="1"/>
    <col min="3320" max="3324" width="14.85546875" style="1" customWidth="1"/>
    <col min="3325" max="3325" width="63.85546875" style="1" customWidth="1"/>
    <col min="3326" max="3326" width="13.28515625" style="1" customWidth="1"/>
    <col min="3327" max="3512" width="9.140625" style="1"/>
    <col min="3513" max="3514" width="0" style="1" hidden="1" customWidth="1"/>
    <col min="3515" max="3515" width="13.7109375" style="1" customWidth="1"/>
    <col min="3516" max="3516" width="52.85546875" style="1" customWidth="1"/>
    <col min="3517" max="3556" width="0" style="1" hidden="1" customWidth="1"/>
    <col min="3557" max="3558" width="14.85546875" style="1" customWidth="1"/>
    <col min="3559" max="3560" width="0" style="1" hidden="1" customWidth="1"/>
    <col min="3561" max="3561" width="14.85546875" style="1" customWidth="1"/>
    <col min="3562" max="3563" width="0" style="1" hidden="1" customWidth="1"/>
    <col min="3564" max="3564" width="14.85546875" style="1" customWidth="1"/>
    <col min="3565" max="3566" width="0" style="1" hidden="1" customWidth="1"/>
    <col min="3567" max="3567" width="14.85546875" style="1" customWidth="1"/>
    <col min="3568" max="3569" width="0" style="1" hidden="1" customWidth="1"/>
    <col min="3570" max="3570" width="14.85546875" style="1" customWidth="1"/>
    <col min="3571" max="3572" width="0" style="1" hidden="1" customWidth="1"/>
    <col min="3573" max="3574" width="14.85546875" style="1" customWidth="1"/>
    <col min="3575" max="3575" width="44.42578125" style="1" customWidth="1"/>
    <col min="3576" max="3580" width="14.85546875" style="1" customWidth="1"/>
    <col min="3581" max="3581" width="63.85546875" style="1" customWidth="1"/>
    <col min="3582" max="3582" width="13.28515625" style="1" customWidth="1"/>
    <col min="3583" max="3768" width="9.140625" style="1"/>
    <col min="3769" max="3770" width="0" style="1" hidden="1" customWidth="1"/>
    <col min="3771" max="3771" width="13.7109375" style="1" customWidth="1"/>
    <col min="3772" max="3772" width="52.85546875" style="1" customWidth="1"/>
    <col min="3773" max="3812" width="0" style="1" hidden="1" customWidth="1"/>
    <col min="3813" max="3814" width="14.85546875" style="1" customWidth="1"/>
    <col min="3815" max="3816" width="0" style="1" hidden="1" customWidth="1"/>
    <col min="3817" max="3817" width="14.85546875" style="1" customWidth="1"/>
    <col min="3818" max="3819" width="0" style="1" hidden="1" customWidth="1"/>
    <col min="3820" max="3820" width="14.85546875" style="1" customWidth="1"/>
    <col min="3821" max="3822" width="0" style="1" hidden="1" customWidth="1"/>
    <col min="3823" max="3823" width="14.85546875" style="1" customWidth="1"/>
    <col min="3824" max="3825" width="0" style="1" hidden="1" customWidth="1"/>
    <col min="3826" max="3826" width="14.85546875" style="1" customWidth="1"/>
    <col min="3827" max="3828" width="0" style="1" hidden="1" customWidth="1"/>
    <col min="3829" max="3830" width="14.85546875" style="1" customWidth="1"/>
    <col min="3831" max="3831" width="44.42578125" style="1" customWidth="1"/>
    <col min="3832" max="3836" width="14.85546875" style="1" customWidth="1"/>
    <col min="3837" max="3837" width="63.85546875" style="1" customWidth="1"/>
    <col min="3838" max="3838" width="13.28515625" style="1" customWidth="1"/>
    <col min="3839" max="4024" width="9.140625" style="1"/>
    <col min="4025" max="4026" width="0" style="1" hidden="1" customWidth="1"/>
    <col min="4027" max="4027" width="13.7109375" style="1" customWidth="1"/>
    <col min="4028" max="4028" width="52.85546875" style="1" customWidth="1"/>
    <col min="4029" max="4068" width="0" style="1" hidden="1" customWidth="1"/>
    <col min="4069" max="4070" width="14.85546875" style="1" customWidth="1"/>
    <col min="4071" max="4072" width="0" style="1" hidden="1" customWidth="1"/>
    <col min="4073" max="4073" width="14.85546875" style="1" customWidth="1"/>
    <col min="4074" max="4075" width="0" style="1" hidden="1" customWidth="1"/>
    <col min="4076" max="4076" width="14.85546875" style="1" customWidth="1"/>
    <col min="4077" max="4078" width="0" style="1" hidden="1" customWidth="1"/>
    <col min="4079" max="4079" width="14.85546875" style="1" customWidth="1"/>
    <col min="4080" max="4081" width="0" style="1" hidden="1" customWidth="1"/>
    <col min="4082" max="4082" width="14.85546875" style="1" customWidth="1"/>
    <col min="4083" max="4084" width="0" style="1" hidden="1" customWidth="1"/>
    <col min="4085" max="4086" width="14.85546875" style="1" customWidth="1"/>
    <col min="4087" max="4087" width="44.42578125" style="1" customWidth="1"/>
    <col min="4088" max="4092" width="14.85546875" style="1" customWidth="1"/>
    <col min="4093" max="4093" width="63.85546875" style="1" customWidth="1"/>
    <col min="4094" max="4094" width="13.28515625" style="1" customWidth="1"/>
    <col min="4095" max="4280" width="9.140625" style="1"/>
    <col min="4281" max="4282" width="0" style="1" hidden="1" customWidth="1"/>
    <col min="4283" max="4283" width="13.7109375" style="1" customWidth="1"/>
    <col min="4284" max="4284" width="52.85546875" style="1" customWidth="1"/>
    <col min="4285" max="4324" width="0" style="1" hidden="1" customWidth="1"/>
    <col min="4325" max="4326" width="14.85546875" style="1" customWidth="1"/>
    <col min="4327" max="4328" width="0" style="1" hidden="1" customWidth="1"/>
    <col min="4329" max="4329" width="14.85546875" style="1" customWidth="1"/>
    <col min="4330" max="4331" width="0" style="1" hidden="1" customWidth="1"/>
    <col min="4332" max="4332" width="14.85546875" style="1" customWidth="1"/>
    <col min="4333" max="4334" width="0" style="1" hidden="1" customWidth="1"/>
    <col min="4335" max="4335" width="14.85546875" style="1" customWidth="1"/>
    <col min="4336" max="4337" width="0" style="1" hidden="1" customWidth="1"/>
    <col min="4338" max="4338" width="14.85546875" style="1" customWidth="1"/>
    <col min="4339" max="4340" width="0" style="1" hidden="1" customWidth="1"/>
    <col min="4341" max="4342" width="14.85546875" style="1" customWidth="1"/>
    <col min="4343" max="4343" width="44.42578125" style="1" customWidth="1"/>
    <col min="4344" max="4348" width="14.85546875" style="1" customWidth="1"/>
    <col min="4349" max="4349" width="63.85546875" style="1" customWidth="1"/>
    <col min="4350" max="4350" width="13.28515625" style="1" customWidth="1"/>
    <col min="4351" max="4536" width="9.140625" style="1"/>
    <col min="4537" max="4538" width="0" style="1" hidden="1" customWidth="1"/>
    <col min="4539" max="4539" width="13.7109375" style="1" customWidth="1"/>
    <col min="4540" max="4540" width="52.85546875" style="1" customWidth="1"/>
    <col min="4541" max="4580" width="0" style="1" hidden="1" customWidth="1"/>
    <col min="4581" max="4582" width="14.85546875" style="1" customWidth="1"/>
    <col min="4583" max="4584" width="0" style="1" hidden="1" customWidth="1"/>
    <col min="4585" max="4585" width="14.85546875" style="1" customWidth="1"/>
    <col min="4586" max="4587" width="0" style="1" hidden="1" customWidth="1"/>
    <col min="4588" max="4588" width="14.85546875" style="1" customWidth="1"/>
    <col min="4589" max="4590" width="0" style="1" hidden="1" customWidth="1"/>
    <col min="4591" max="4591" width="14.85546875" style="1" customWidth="1"/>
    <col min="4592" max="4593" width="0" style="1" hidden="1" customWidth="1"/>
    <col min="4594" max="4594" width="14.85546875" style="1" customWidth="1"/>
    <col min="4595" max="4596" width="0" style="1" hidden="1" customWidth="1"/>
    <col min="4597" max="4598" width="14.85546875" style="1" customWidth="1"/>
    <col min="4599" max="4599" width="44.42578125" style="1" customWidth="1"/>
    <col min="4600" max="4604" width="14.85546875" style="1" customWidth="1"/>
    <col min="4605" max="4605" width="63.85546875" style="1" customWidth="1"/>
    <col min="4606" max="4606" width="13.28515625" style="1" customWidth="1"/>
    <col min="4607" max="4792" width="9.140625" style="1"/>
    <col min="4793" max="4794" width="0" style="1" hidden="1" customWidth="1"/>
    <col min="4795" max="4795" width="13.7109375" style="1" customWidth="1"/>
    <col min="4796" max="4796" width="52.85546875" style="1" customWidth="1"/>
    <col min="4797" max="4836" width="0" style="1" hidden="1" customWidth="1"/>
    <col min="4837" max="4838" width="14.85546875" style="1" customWidth="1"/>
    <col min="4839" max="4840" width="0" style="1" hidden="1" customWidth="1"/>
    <col min="4841" max="4841" width="14.85546875" style="1" customWidth="1"/>
    <col min="4842" max="4843" width="0" style="1" hidden="1" customWidth="1"/>
    <col min="4844" max="4844" width="14.85546875" style="1" customWidth="1"/>
    <col min="4845" max="4846" width="0" style="1" hidden="1" customWidth="1"/>
    <col min="4847" max="4847" width="14.85546875" style="1" customWidth="1"/>
    <col min="4848" max="4849" width="0" style="1" hidden="1" customWidth="1"/>
    <col min="4850" max="4850" width="14.85546875" style="1" customWidth="1"/>
    <col min="4851" max="4852" width="0" style="1" hidden="1" customWidth="1"/>
    <col min="4853" max="4854" width="14.85546875" style="1" customWidth="1"/>
    <col min="4855" max="4855" width="44.42578125" style="1" customWidth="1"/>
    <col min="4856" max="4860" width="14.85546875" style="1" customWidth="1"/>
    <col min="4861" max="4861" width="63.85546875" style="1" customWidth="1"/>
    <col min="4862" max="4862" width="13.28515625" style="1" customWidth="1"/>
    <col min="4863" max="5048" width="9.140625" style="1"/>
    <col min="5049" max="5050" width="0" style="1" hidden="1" customWidth="1"/>
    <col min="5051" max="5051" width="13.7109375" style="1" customWidth="1"/>
    <col min="5052" max="5052" width="52.85546875" style="1" customWidth="1"/>
    <col min="5053" max="5092" width="0" style="1" hidden="1" customWidth="1"/>
    <col min="5093" max="5094" width="14.85546875" style="1" customWidth="1"/>
    <col min="5095" max="5096" width="0" style="1" hidden="1" customWidth="1"/>
    <col min="5097" max="5097" width="14.85546875" style="1" customWidth="1"/>
    <col min="5098" max="5099" width="0" style="1" hidden="1" customWidth="1"/>
    <col min="5100" max="5100" width="14.85546875" style="1" customWidth="1"/>
    <col min="5101" max="5102" width="0" style="1" hidden="1" customWidth="1"/>
    <col min="5103" max="5103" width="14.85546875" style="1" customWidth="1"/>
    <col min="5104" max="5105" width="0" style="1" hidden="1" customWidth="1"/>
    <col min="5106" max="5106" width="14.85546875" style="1" customWidth="1"/>
    <col min="5107" max="5108" width="0" style="1" hidden="1" customWidth="1"/>
    <col min="5109" max="5110" width="14.85546875" style="1" customWidth="1"/>
    <col min="5111" max="5111" width="44.42578125" style="1" customWidth="1"/>
    <col min="5112" max="5116" width="14.85546875" style="1" customWidth="1"/>
    <col min="5117" max="5117" width="63.85546875" style="1" customWidth="1"/>
    <col min="5118" max="5118" width="13.28515625" style="1" customWidth="1"/>
    <col min="5119" max="5304" width="9.140625" style="1"/>
    <col min="5305" max="5306" width="0" style="1" hidden="1" customWidth="1"/>
    <col min="5307" max="5307" width="13.7109375" style="1" customWidth="1"/>
    <col min="5308" max="5308" width="52.85546875" style="1" customWidth="1"/>
    <col min="5309" max="5348" width="0" style="1" hidden="1" customWidth="1"/>
    <col min="5349" max="5350" width="14.85546875" style="1" customWidth="1"/>
    <col min="5351" max="5352" width="0" style="1" hidden="1" customWidth="1"/>
    <col min="5353" max="5353" width="14.85546875" style="1" customWidth="1"/>
    <col min="5354" max="5355" width="0" style="1" hidden="1" customWidth="1"/>
    <col min="5356" max="5356" width="14.85546875" style="1" customWidth="1"/>
    <col min="5357" max="5358" width="0" style="1" hidden="1" customWidth="1"/>
    <col min="5359" max="5359" width="14.85546875" style="1" customWidth="1"/>
    <col min="5360" max="5361" width="0" style="1" hidden="1" customWidth="1"/>
    <col min="5362" max="5362" width="14.85546875" style="1" customWidth="1"/>
    <col min="5363" max="5364" width="0" style="1" hidden="1" customWidth="1"/>
    <col min="5365" max="5366" width="14.85546875" style="1" customWidth="1"/>
    <col min="5367" max="5367" width="44.42578125" style="1" customWidth="1"/>
    <col min="5368" max="5372" width="14.85546875" style="1" customWidth="1"/>
    <col min="5373" max="5373" width="63.85546875" style="1" customWidth="1"/>
    <col min="5374" max="5374" width="13.28515625" style="1" customWidth="1"/>
    <col min="5375" max="5560" width="9.140625" style="1"/>
    <col min="5561" max="5562" width="0" style="1" hidden="1" customWidth="1"/>
    <col min="5563" max="5563" width="13.7109375" style="1" customWidth="1"/>
    <col min="5564" max="5564" width="52.85546875" style="1" customWidth="1"/>
    <col min="5565" max="5604" width="0" style="1" hidden="1" customWidth="1"/>
    <col min="5605" max="5606" width="14.85546875" style="1" customWidth="1"/>
    <col min="5607" max="5608" width="0" style="1" hidden="1" customWidth="1"/>
    <col min="5609" max="5609" width="14.85546875" style="1" customWidth="1"/>
    <col min="5610" max="5611" width="0" style="1" hidden="1" customWidth="1"/>
    <col min="5612" max="5612" width="14.85546875" style="1" customWidth="1"/>
    <col min="5613" max="5614" width="0" style="1" hidden="1" customWidth="1"/>
    <col min="5615" max="5615" width="14.85546875" style="1" customWidth="1"/>
    <col min="5616" max="5617" width="0" style="1" hidden="1" customWidth="1"/>
    <col min="5618" max="5618" width="14.85546875" style="1" customWidth="1"/>
    <col min="5619" max="5620" width="0" style="1" hidden="1" customWidth="1"/>
    <col min="5621" max="5622" width="14.85546875" style="1" customWidth="1"/>
    <col min="5623" max="5623" width="44.42578125" style="1" customWidth="1"/>
    <col min="5624" max="5628" width="14.85546875" style="1" customWidth="1"/>
    <col min="5629" max="5629" width="63.85546875" style="1" customWidth="1"/>
    <col min="5630" max="5630" width="13.28515625" style="1" customWidth="1"/>
    <col min="5631" max="5816" width="9.140625" style="1"/>
    <col min="5817" max="5818" width="0" style="1" hidden="1" customWidth="1"/>
    <col min="5819" max="5819" width="13.7109375" style="1" customWidth="1"/>
    <col min="5820" max="5820" width="52.85546875" style="1" customWidth="1"/>
    <col min="5821" max="5860" width="0" style="1" hidden="1" customWidth="1"/>
    <col min="5861" max="5862" width="14.85546875" style="1" customWidth="1"/>
    <col min="5863" max="5864" width="0" style="1" hidden="1" customWidth="1"/>
    <col min="5865" max="5865" width="14.85546875" style="1" customWidth="1"/>
    <col min="5866" max="5867" width="0" style="1" hidden="1" customWidth="1"/>
    <col min="5868" max="5868" width="14.85546875" style="1" customWidth="1"/>
    <col min="5869" max="5870" width="0" style="1" hidden="1" customWidth="1"/>
    <col min="5871" max="5871" width="14.85546875" style="1" customWidth="1"/>
    <col min="5872" max="5873" width="0" style="1" hidden="1" customWidth="1"/>
    <col min="5874" max="5874" width="14.85546875" style="1" customWidth="1"/>
    <col min="5875" max="5876" width="0" style="1" hidden="1" customWidth="1"/>
    <col min="5877" max="5878" width="14.85546875" style="1" customWidth="1"/>
    <col min="5879" max="5879" width="44.42578125" style="1" customWidth="1"/>
    <col min="5880" max="5884" width="14.85546875" style="1" customWidth="1"/>
    <col min="5885" max="5885" width="63.85546875" style="1" customWidth="1"/>
    <col min="5886" max="5886" width="13.28515625" style="1" customWidth="1"/>
    <col min="5887" max="6072" width="9.140625" style="1"/>
    <col min="6073" max="6074" width="0" style="1" hidden="1" customWidth="1"/>
    <col min="6075" max="6075" width="13.7109375" style="1" customWidth="1"/>
    <col min="6076" max="6076" width="52.85546875" style="1" customWidth="1"/>
    <col min="6077" max="6116" width="0" style="1" hidden="1" customWidth="1"/>
    <col min="6117" max="6118" width="14.85546875" style="1" customWidth="1"/>
    <col min="6119" max="6120" width="0" style="1" hidden="1" customWidth="1"/>
    <col min="6121" max="6121" width="14.85546875" style="1" customWidth="1"/>
    <col min="6122" max="6123" width="0" style="1" hidden="1" customWidth="1"/>
    <col min="6124" max="6124" width="14.85546875" style="1" customWidth="1"/>
    <col min="6125" max="6126" width="0" style="1" hidden="1" customWidth="1"/>
    <col min="6127" max="6127" width="14.85546875" style="1" customWidth="1"/>
    <col min="6128" max="6129" width="0" style="1" hidden="1" customWidth="1"/>
    <col min="6130" max="6130" width="14.85546875" style="1" customWidth="1"/>
    <col min="6131" max="6132" width="0" style="1" hidden="1" customWidth="1"/>
    <col min="6133" max="6134" width="14.85546875" style="1" customWidth="1"/>
    <col min="6135" max="6135" width="44.42578125" style="1" customWidth="1"/>
    <col min="6136" max="6140" width="14.85546875" style="1" customWidth="1"/>
    <col min="6141" max="6141" width="63.85546875" style="1" customWidth="1"/>
    <col min="6142" max="6142" width="13.28515625" style="1" customWidth="1"/>
    <col min="6143" max="6328" width="9.140625" style="1"/>
    <col min="6329" max="6330" width="0" style="1" hidden="1" customWidth="1"/>
    <col min="6331" max="6331" width="13.7109375" style="1" customWidth="1"/>
    <col min="6332" max="6332" width="52.85546875" style="1" customWidth="1"/>
    <col min="6333" max="6372" width="0" style="1" hidden="1" customWidth="1"/>
    <col min="6373" max="6374" width="14.85546875" style="1" customWidth="1"/>
    <col min="6375" max="6376" width="0" style="1" hidden="1" customWidth="1"/>
    <col min="6377" max="6377" width="14.85546875" style="1" customWidth="1"/>
    <col min="6378" max="6379" width="0" style="1" hidden="1" customWidth="1"/>
    <col min="6380" max="6380" width="14.85546875" style="1" customWidth="1"/>
    <col min="6381" max="6382" width="0" style="1" hidden="1" customWidth="1"/>
    <col min="6383" max="6383" width="14.85546875" style="1" customWidth="1"/>
    <col min="6384" max="6385" width="0" style="1" hidden="1" customWidth="1"/>
    <col min="6386" max="6386" width="14.85546875" style="1" customWidth="1"/>
    <col min="6387" max="6388" width="0" style="1" hidden="1" customWidth="1"/>
    <col min="6389" max="6390" width="14.85546875" style="1" customWidth="1"/>
    <col min="6391" max="6391" width="44.42578125" style="1" customWidth="1"/>
    <col min="6392" max="6396" width="14.85546875" style="1" customWidth="1"/>
    <col min="6397" max="6397" width="63.85546875" style="1" customWidth="1"/>
    <col min="6398" max="6398" width="13.28515625" style="1" customWidth="1"/>
    <col min="6399" max="6584" width="9.140625" style="1"/>
    <col min="6585" max="6586" width="0" style="1" hidden="1" customWidth="1"/>
    <col min="6587" max="6587" width="13.7109375" style="1" customWidth="1"/>
    <col min="6588" max="6588" width="52.85546875" style="1" customWidth="1"/>
    <col min="6589" max="6628" width="0" style="1" hidden="1" customWidth="1"/>
    <col min="6629" max="6630" width="14.85546875" style="1" customWidth="1"/>
    <col min="6631" max="6632" width="0" style="1" hidden="1" customWidth="1"/>
    <col min="6633" max="6633" width="14.85546875" style="1" customWidth="1"/>
    <col min="6634" max="6635" width="0" style="1" hidden="1" customWidth="1"/>
    <col min="6636" max="6636" width="14.85546875" style="1" customWidth="1"/>
    <col min="6637" max="6638" width="0" style="1" hidden="1" customWidth="1"/>
    <col min="6639" max="6639" width="14.85546875" style="1" customWidth="1"/>
    <col min="6640" max="6641" width="0" style="1" hidden="1" customWidth="1"/>
    <col min="6642" max="6642" width="14.85546875" style="1" customWidth="1"/>
    <col min="6643" max="6644" width="0" style="1" hidden="1" customWidth="1"/>
    <col min="6645" max="6646" width="14.85546875" style="1" customWidth="1"/>
    <col min="6647" max="6647" width="44.42578125" style="1" customWidth="1"/>
    <col min="6648" max="6652" width="14.85546875" style="1" customWidth="1"/>
    <col min="6653" max="6653" width="63.85546875" style="1" customWidth="1"/>
    <col min="6654" max="6654" width="13.28515625" style="1" customWidth="1"/>
    <col min="6655" max="6840" width="9.140625" style="1"/>
    <col min="6841" max="6842" width="0" style="1" hidden="1" customWidth="1"/>
    <col min="6843" max="6843" width="13.7109375" style="1" customWidth="1"/>
    <col min="6844" max="6844" width="52.85546875" style="1" customWidth="1"/>
    <col min="6845" max="6884" width="0" style="1" hidden="1" customWidth="1"/>
    <col min="6885" max="6886" width="14.85546875" style="1" customWidth="1"/>
    <col min="6887" max="6888" width="0" style="1" hidden="1" customWidth="1"/>
    <col min="6889" max="6889" width="14.85546875" style="1" customWidth="1"/>
    <col min="6890" max="6891" width="0" style="1" hidden="1" customWidth="1"/>
    <col min="6892" max="6892" width="14.85546875" style="1" customWidth="1"/>
    <col min="6893" max="6894" width="0" style="1" hidden="1" customWidth="1"/>
    <col min="6895" max="6895" width="14.85546875" style="1" customWidth="1"/>
    <col min="6896" max="6897" width="0" style="1" hidden="1" customWidth="1"/>
    <col min="6898" max="6898" width="14.85546875" style="1" customWidth="1"/>
    <col min="6899" max="6900" width="0" style="1" hidden="1" customWidth="1"/>
    <col min="6901" max="6902" width="14.85546875" style="1" customWidth="1"/>
    <col min="6903" max="6903" width="44.42578125" style="1" customWidth="1"/>
    <col min="6904" max="6908" width="14.85546875" style="1" customWidth="1"/>
    <col min="6909" max="6909" width="63.85546875" style="1" customWidth="1"/>
    <col min="6910" max="6910" width="13.28515625" style="1" customWidth="1"/>
    <col min="6911" max="7096" width="9.140625" style="1"/>
    <col min="7097" max="7098" width="0" style="1" hidden="1" customWidth="1"/>
    <col min="7099" max="7099" width="13.7109375" style="1" customWidth="1"/>
    <col min="7100" max="7100" width="52.85546875" style="1" customWidth="1"/>
    <col min="7101" max="7140" width="0" style="1" hidden="1" customWidth="1"/>
    <col min="7141" max="7142" width="14.85546875" style="1" customWidth="1"/>
    <col min="7143" max="7144" width="0" style="1" hidden="1" customWidth="1"/>
    <col min="7145" max="7145" width="14.85546875" style="1" customWidth="1"/>
    <col min="7146" max="7147" width="0" style="1" hidden="1" customWidth="1"/>
    <col min="7148" max="7148" width="14.85546875" style="1" customWidth="1"/>
    <col min="7149" max="7150" width="0" style="1" hidden="1" customWidth="1"/>
    <col min="7151" max="7151" width="14.85546875" style="1" customWidth="1"/>
    <col min="7152" max="7153" width="0" style="1" hidden="1" customWidth="1"/>
    <col min="7154" max="7154" width="14.85546875" style="1" customWidth="1"/>
    <col min="7155" max="7156" width="0" style="1" hidden="1" customWidth="1"/>
    <col min="7157" max="7158" width="14.85546875" style="1" customWidth="1"/>
    <col min="7159" max="7159" width="44.42578125" style="1" customWidth="1"/>
    <col min="7160" max="7164" width="14.85546875" style="1" customWidth="1"/>
    <col min="7165" max="7165" width="63.85546875" style="1" customWidth="1"/>
    <col min="7166" max="7166" width="13.28515625" style="1" customWidth="1"/>
    <col min="7167" max="7352" width="9.140625" style="1"/>
    <col min="7353" max="7354" width="0" style="1" hidden="1" customWidth="1"/>
    <col min="7355" max="7355" width="13.7109375" style="1" customWidth="1"/>
    <col min="7356" max="7356" width="52.85546875" style="1" customWidth="1"/>
    <col min="7357" max="7396" width="0" style="1" hidden="1" customWidth="1"/>
    <col min="7397" max="7398" width="14.85546875" style="1" customWidth="1"/>
    <col min="7399" max="7400" width="0" style="1" hidden="1" customWidth="1"/>
    <col min="7401" max="7401" width="14.85546875" style="1" customWidth="1"/>
    <col min="7402" max="7403" width="0" style="1" hidden="1" customWidth="1"/>
    <col min="7404" max="7404" width="14.85546875" style="1" customWidth="1"/>
    <col min="7405" max="7406" width="0" style="1" hidden="1" customWidth="1"/>
    <col min="7407" max="7407" width="14.85546875" style="1" customWidth="1"/>
    <col min="7408" max="7409" width="0" style="1" hidden="1" customWidth="1"/>
    <col min="7410" max="7410" width="14.85546875" style="1" customWidth="1"/>
    <col min="7411" max="7412" width="0" style="1" hidden="1" customWidth="1"/>
    <col min="7413" max="7414" width="14.85546875" style="1" customWidth="1"/>
    <col min="7415" max="7415" width="44.42578125" style="1" customWidth="1"/>
    <col min="7416" max="7420" width="14.85546875" style="1" customWidth="1"/>
    <col min="7421" max="7421" width="63.85546875" style="1" customWidth="1"/>
    <col min="7422" max="7422" width="13.28515625" style="1" customWidth="1"/>
    <col min="7423" max="7608" width="9.140625" style="1"/>
    <col min="7609" max="7610" width="0" style="1" hidden="1" customWidth="1"/>
    <col min="7611" max="7611" width="13.7109375" style="1" customWidth="1"/>
    <col min="7612" max="7612" width="52.85546875" style="1" customWidth="1"/>
    <col min="7613" max="7652" width="0" style="1" hidden="1" customWidth="1"/>
    <col min="7653" max="7654" width="14.85546875" style="1" customWidth="1"/>
    <col min="7655" max="7656" width="0" style="1" hidden="1" customWidth="1"/>
    <col min="7657" max="7657" width="14.85546875" style="1" customWidth="1"/>
    <col min="7658" max="7659" width="0" style="1" hidden="1" customWidth="1"/>
    <col min="7660" max="7660" width="14.85546875" style="1" customWidth="1"/>
    <col min="7661" max="7662" width="0" style="1" hidden="1" customWidth="1"/>
    <col min="7663" max="7663" width="14.85546875" style="1" customWidth="1"/>
    <col min="7664" max="7665" width="0" style="1" hidden="1" customWidth="1"/>
    <col min="7666" max="7666" width="14.85546875" style="1" customWidth="1"/>
    <col min="7667" max="7668" width="0" style="1" hidden="1" customWidth="1"/>
    <col min="7669" max="7670" width="14.85546875" style="1" customWidth="1"/>
    <col min="7671" max="7671" width="44.42578125" style="1" customWidth="1"/>
    <col min="7672" max="7676" width="14.85546875" style="1" customWidth="1"/>
    <col min="7677" max="7677" width="63.85546875" style="1" customWidth="1"/>
    <col min="7678" max="7678" width="13.28515625" style="1" customWidth="1"/>
    <col min="7679" max="7864" width="9.140625" style="1"/>
    <col min="7865" max="7866" width="0" style="1" hidden="1" customWidth="1"/>
    <col min="7867" max="7867" width="13.7109375" style="1" customWidth="1"/>
    <col min="7868" max="7868" width="52.85546875" style="1" customWidth="1"/>
    <col min="7869" max="7908" width="0" style="1" hidden="1" customWidth="1"/>
    <col min="7909" max="7910" width="14.85546875" style="1" customWidth="1"/>
    <col min="7911" max="7912" width="0" style="1" hidden="1" customWidth="1"/>
    <col min="7913" max="7913" width="14.85546875" style="1" customWidth="1"/>
    <col min="7914" max="7915" width="0" style="1" hidden="1" customWidth="1"/>
    <col min="7916" max="7916" width="14.85546875" style="1" customWidth="1"/>
    <col min="7917" max="7918" width="0" style="1" hidden="1" customWidth="1"/>
    <col min="7919" max="7919" width="14.85546875" style="1" customWidth="1"/>
    <col min="7920" max="7921" width="0" style="1" hidden="1" customWidth="1"/>
    <col min="7922" max="7922" width="14.85546875" style="1" customWidth="1"/>
    <col min="7923" max="7924" width="0" style="1" hidden="1" customWidth="1"/>
    <col min="7925" max="7926" width="14.85546875" style="1" customWidth="1"/>
    <col min="7927" max="7927" width="44.42578125" style="1" customWidth="1"/>
    <col min="7928" max="7932" width="14.85546875" style="1" customWidth="1"/>
    <col min="7933" max="7933" width="63.85546875" style="1" customWidth="1"/>
    <col min="7934" max="7934" width="13.28515625" style="1" customWidth="1"/>
    <col min="7935" max="8120" width="9.140625" style="1"/>
    <col min="8121" max="8122" width="0" style="1" hidden="1" customWidth="1"/>
    <col min="8123" max="8123" width="13.7109375" style="1" customWidth="1"/>
    <col min="8124" max="8124" width="52.85546875" style="1" customWidth="1"/>
    <col min="8125" max="8164" width="0" style="1" hidden="1" customWidth="1"/>
    <col min="8165" max="8166" width="14.85546875" style="1" customWidth="1"/>
    <col min="8167" max="8168" width="0" style="1" hidden="1" customWidth="1"/>
    <col min="8169" max="8169" width="14.85546875" style="1" customWidth="1"/>
    <col min="8170" max="8171" width="0" style="1" hidden="1" customWidth="1"/>
    <col min="8172" max="8172" width="14.85546875" style="1" customWidth="1"/>
    <col min="8173" max="8174" width="0" style="1" hidden="1" customWidth="1"/>
    <col min="8175" max="8175" width="14.85546875" style="1" customWidth="1"/>
    <col min="8176" max="8177" width="0" style="1" hidden="1" customWidth="1"/>
    <col min="8178" max="8178" width="14.85546875" style="1" customWidth="1"/>
    <col min="8179" max="8180" width="0" style="1" hidden="1" customWidth="1"/>
    <col min="8181" max="8182" width="14.85546875" style="1" customWidth="1"/>
    <col min="8183" max="8183" width="44.42578125" style="1" customWidth="1"/>
    <col min="8184" max="8188" width="14.85546875" style="1" customWidth="1"/>
    <col min="8189" max="8189" width="63.85546875" style="1" customWidth="1"/>
    <col min="8190" max="8190" width="13.28515625" style="1" customWidth="1"/>
    <col min="8191" max="8376" width="9.140625" style="1"/>
    <col min="8377" max="8378" width="0" style="1" hidden="1" customWidth="1"/>
    <col min="8379" max="8379" width="13.7109375" style="1" customWidth="1"/>
    <col min="8380" max="8380" width="52.85546875" style="1" customWidth="1"/>
    <col min="8381" max="8420" width="0" style="1" hidden="1" customWidth="1"/>
    <col min="8421" max="8422" width="14.85546875" style="1" customWidth="1"/>
    <col min="8423" max="8424" width="0" style="1" hidden="1" customWidth="1"/>
    <col min="8425" max="8425" width="14.85546875" style="1" customWidth="1"/>
    <col min="8426" max="8427" width="0" style="1" hidden="1" customWidth="1"/>
    <col min="8428" max="8428" width="14.85546875" style="1" customWidth="1"/>
    <col min="8429" max="8430" width="0" style="1" hidden="1" customWidth="1"/>
    <col min="8431" max="8431" width="14.85546875" style="1" customWidth="1"/>
    <col min="8432" max="8433" width="0" style="1" hidden="1" customWidth="1"/>
    <col min="8434" max="8434" width="14.85546875" style="1" customWidth="1"/>
    <col min="8435" max="8436" width="0" style="1" hidden="1" customWidth="1"/>
    <col min="8437" max="8438" width="14.85546875" style="1" customWidth="1"/>
    <col min="8439" max="8439" width="44.42578125" style="1" customWidth="1"/>
    <col min="8440" max="8444" width="14.85546875" style="1" customWidth="1"/>
    <col min="8445" max="8445" width="63.85546875" style="1" customWidth="1"/>
    <col min="8446" max="8446" width="13.28515625" style="1" customWidth="1"/>
    <col min="8447" max="8632" width="9.140625" style="1"/>
    <col min="8633" max="8634" width="0" style="1" hidden="1" customWidth="1"/>
    <col min="8635" max="8635" width="13.7109375" style="1" customWidth="1"/>
    <col min="8636" max="8636" width="52.85546875" style="1" customWidth="1"/>
    <col min="8637" max="8676" width="0" style="1" hidden="1" customWidth="1"/>
    <col min="8677" max="8678" width="14.85546875" style="1" customWidth="1"/>
    <col min="8679" max="8680" width="0" style="1" hidden="1" customWidth="1"/>
    <col min="8681" max="8681" width="14.85546875" style="1" customWidth="1"/>
    <col min="8682" max="8683" width="0" style="1" hidden="1" customWidth="1"/>
    <col min="8684" max="8684" width="14.85546875" style="1" customWidth="1"/>
    <col min="8685" max="8686" width="0" style="1" hidden="1" customWidth="1"/>
    <col min="8687" max="8687" width="14.85546875" style="1" customWidth="1"/>
    <col min="8688" max="8689" width="0" style="1" hidden="1" customWidth="1"/>
    <col min="8690" max="8690" width="14.85546875" style="1" customWidth="1"/>
    <col min="8691" max="8692" width="0" style="1" hidden="1" customWidth="1"/>
    <col min="8693" max="8694" width="14.85546875" style="1" customWidth="1"/>
    <col min="8695" max="8695" width="44.42578125" style="1" customWidth="1"/>
    <col min="8696" max="8700" width="14.85546875" style="1" customWidth="1"/>
    <col min="8701" max="8701" width="63.85546875" style="1" customWidth="1"/>
    <col min="8702" max="8702" width="13.28515625" style="1" customWidth="1"/>
    <col min="8703" max="8888" width="9.140625" style="1"/>
    <col min="8889" max="8890" width="0" style="1" hidden="1" customWidth="1"/>
    <col min="8891" max="8891" width="13.7109375" style="1" customWidth="1"/>
    <col min="8892" max="8892" width="52.85546875" style="1" customWidth="1"/>
    <col min="8893" max="8932" width="0" style="1" hidden="1" customWidth="1"/>
    <col min="8933" max="8934" width="14.85546875" style="1" customWidth="1"/>
    <col min="8935" max="8936" width="0" style="1" hidden="1" customWidth="1"/>
    <col min="8937" max="8937" width="14.85546875" style="1" customWidth="1"/>
    <col min="8938" max="8939" width="0" style="1" hidden="1" customWidth="1"/>
    <col min="8940" max="8940" width="14.85546875" style="1" customWidth="1"/>
    <col min="8941" max="8942" width="0" style="1" hidden="1" customWidth="1"/>
    <col min="8943" max="8943" width="14.85546875" style="1" customWidth="1"/>
    <col min="8944" max="8945" width="0" style="1" hidden="1" customWidth="1"/>
    <col min="8946" max="8946" width="14.85546875" style="1" customWidth="1"/>
    <col min="8947" max="8948" width="0" style="1" hidden="1" customWidth="1"/>
    <col min="8949" max="8950" width="14.85546875" style="1" customWidth="1"/>
    <col min="8951" max="8951" width="44.42578125" style="1" customWidth="1"/>
    <col min="8952" max="8956" width="14.85546875" style="1" customWidth="1"/>
    <col min="8957" max="8957" width="63.85546875" style="1" customWidth="1"/>
    <col min="8958" max="8958" width="13.28515625" style="1" customWidth="1"/>
    <col min="8959" max="9144" width="9.140625" style="1"/>
    <col min="9145" max="9146" width="0" style="1" hidden="1" customWidth="1"/>
    <col min="9147" max="9147" width="13.7109375" style="1" customWidth="1"/>
    <col min="9148" max="9148" width="52.85546875" style="1" customWidth="1"/>
    <col min="9149" max="9188" width="0" style="1" hidden="1" customWidth="1"/>
    <col min="9189" max="9190" width="14.85546875" style="1" customWidth="1"/>
    <col min="9191" max="9192" width="0" style="1" hidden="1" customWidth="1"/>
    <col min="9193" max="9193" width="14.85546875" style="1" customWidth="1"/>
    <col min="9194" max="9195" width="0" style="1" hidden="1" customWidth="1"/>
    <col min="9196" max="9196" width="14.85546875" style="1" customWidth="1"/>
    <col min="9197" max="9198" width="0" style="1" hidden="1" customWidth="1"/>
    <col min="9199" max="9199" width="14.85546875" style="1" customWidth="1"/>
    <col min="9200" max="9201" width="0" style="1" hidden="1" customWidth="1"/>
    <col min="9202" max="9202" width="14.85546875" style="1" customWidth="1"/>
    <col min="9203" max="9204" width="0" style="1" hidden="1" customWidth="1"/>
    <col min="9205" max="9206" width="14.85546875" style="1" customWidth="1"/>
    <col min="9207" max="9207" width="44.42578125" style="1" customWidth="1"/>
    <col min="9208" max="9212" width="14.85546875" style="1" customWidth="1"/>
    <col min="9213" max="9213" width="63.85546875" style="1" customWidth="1"/>
    <col min="9214" max="9214" width="13.28515625" style="1" customWidth="1"/>
    <col min="9215" max="9400" width="9.140625" style="1"/>
    <col min="9401" max="9402" width="0" style="1" hidden="1" customWidth="1"/>
    <col min="9403" max="9403" width="13.7109375" style="1" customWidth="1"/>
    <col min="9404" max="9404" width="52.85546875" style="1" customWidth="1"/>
    <col min="9405" max="9444" width="0" style="1" hidden="1" customWidth="1"/>
    <col min="9445" max="9446" width="14.85546875" style="1" customWidth="1"/>
    <col min="9447" max="9448" width="0" style="1" hidden="1" customWidth="1"/>
    <col min="9449" max="9449" width="14.85546875" style="1" customWidth="1"/>
    <col min="9450" max="9451" width="0" style="1" hidden="1" customWidth="1"/>
    <col min="9452" max="9452" width="14.85546875" style="1" customWidth="1"/>
    <col min="9453" max="9454" width="0" style="1" hidden="1" customWidth="1"/>
    <col min="9455" max="9455" width="14.85546875" style="1" customWidth="1"/>
    <col min="9456" max="9457" width="0" style="1" hidden="1" customWidth="1"/>
    <col min="9458" max="9458" width="14.85546875" style="1" customWidth="1"/>
    <col min="9459" max="9460" width="0" style="1" hidden="1" customWidth="1"/>
    <col min="9461" max="9462" width="14.85546875" style="1" customWidth="1"/>
    <col min="9463" max="9463" width="44.42578125" style="1" customWidth="1"/>
    <col min="9464" max="9468" width="14.85546875" style="1" customWidth="1"/>
    <col min="9469" max="9469" width="63.85546875" style="1" customWidth="1"/>
    <col min="9470" max="9470" width="13.28515625" style="1" customWidth="1"/>
    <col min="9471" max="9656" width="9.140625" style="1"/>
    <col min="9657" max="9658" width="0" style="1" hidden="1" customWidth="1"/>
    <col min="9659" max="9659" width="13.7109375" style="1" customWidth="1"/>
    <col min="9660" max="9660" width="52.85546875" style="1" customWidth="1"/>
    <col min="9661" max="9700" width="0" style="1" hidden="1" customWidth="1"/>
    <col min="9701" max="9702" width="14.85546875" style="1" customWidth="1"/>
    <col min="9703" max="9704" width="0" style="1" hidden="1" customWidth="1"/>
    <col min="9705" max="9705" width="14.85546875" style="1" customWidth="1"/>
    <col min="9706" max="9707" width="0" style="1" hidden="1" customWidth="1"/>
    <col min="9708" max="9708" width="14.85546875" style="1" customWidth="1"/>
    <col min="9709" max="9710" width="0" style="1" hidden="1" customWidth="1"/>
    <col min="9711" max="9711" width="14.85546875" style="1" customWidth="1"/>
    <col min="9712" max="9713" width="0" style="1" hidden="1" customWidth="1"/>
    <col min="9714" max="9714" width="14.85546875" style="1" customWidth="1"/>
    <col min="9715" max="9716" width="0" style="1" hidden="1" customWidth="1"/>
    <col min="9717" max="9718" width="14.85546875" style="1" customWidth="1"/>
    <col min="9719" max="9719" width="44.42578125" style="1" customWidth="1"/>
    <col min="9720" max="9724" width="14.85546875" style="1" customWidth="1"/>
    <col min="9725" max="9725" width="63.85546875" style="1" customWidth="1"/>
    <col min="9726" max="9726" width="13.28515625" style="1" customWidth="1"/>
    <col min="9727" max="9912" width="9.140625" style="1"/>
    <col min="9913" max="9914" width="0" style="1" hidden="1" customWidth="1"/>
    <col min="9915" max="9915" width="13.7109375" style="1" customWidth="1"/>
    <col min="9916" max="9916" width="52.85546875" style="1" customWidth="1"/>
    <col min="9917" max="9956" width="0" style="1" hidden="1" customWidth="1"/>
    <col min="9957" max="9958" width="14.85546875" style="1" customWidth="1"/>
    <col min="9959" max="9960" width="0" style="1" hidden="1" customWidth="1"/>
    <col min="9961" max="9961" width="14.85546875" style="1" customWidth="1"/>
    <col min="9962" max="9963" width="0" style="1" hidden="1" customWidth="1"/>
    <col min="9964" max="9964" width="14.85546875" style="1" customWidth="1"/>
    <col min="9965" max="9966" width="0" style="1" hidden="1" customWidth="1"/>
    <col min="9967" max="9967" width="14.85546875" style="1" customWidth="1"/>
    <col min="9968" max="9969" width="0" style="1" hidden="1" customWidth="1"/>
    <col min="9970" max="9970" width="14.85546875" style="1" customWidth="1"/>
    <col min="9971" max="9972" width="0" style="1" hidden="1" customWidth="1"/>
    <col min="9973" max="9974" width="14.85546875" style="1" customWidth="1"/>
    <col min="9975" max="9975" width="44.42578125" style="1" customWidth="1"/>
    <col min="9976" max="9980" width="14.85546875" style="1" customWidth="1"/>
    <col min="9981" max="9981" width="63.85546875" style="1" customWidth="1"/>
    <col min="9982" max="9982" width="13.28515625" style="1" customWidth="1"/>
    <col min="9983" max="10168" width="9.140625" style="1"/>
    <col min="10169" max="10170" width="0" style="1" hidden="1" customWidth="1"/>
    <col min="10171" max="10171" width="13.7109375" style="1" customWidth="1"/>
    <col min="10172" max="10172" width="52.85546875" style="1" customWidth="1"/>
    <col min="10173" max="10212" width="0" style="1" hidden="1" customWidth="1"/>
    <col min="10213" max="10214" width="14.85546875" style="1" customWidth="1"/>
    <col min="10215" max="10216" width="0" style="1" hidden="1" customWidth="1"/>
    <col min="10217" max="10217" width="14.85546875" style="1" customWidth="1"/>
    <col min="10218" max="10219" width="0" style="1" hidden="1" customWidth="1"/>
    <col min="10220" max="10220" width="14.85546875" style="1" customWidth="1"/>
    <col min="10221" max="10222" width="0" style="1" hidden="1" customWidth="1"/>
    <col min="10223" max="10223" width="14.85546875" style="1" customWidth="1"/>
    <col min="10224" max="10225" width="0" style="1" hidden="1" customWidth="1"/>
    <col min="10226" max="10226" width="14.85546875" style="1" customWidth="1"/>
    <col min="10227" max="10228" width="0" style="1" hidden="1" customWidth="1"/>
    <col min="10229" max="10230" width="14.85546875" style="1" customWidth="1"/>
    <col min="10231" max="10231" width="44.42578125" style="1" customWidth="1"/>
    <col min="10232" max="10236" width="14.85546875" style="1" customWidth="1"/>
    <col min="10237" max="10237" width="63.85546875" style="1" customWidth="1"/>
    <col min="10238" max="10238" width="13.28515625" style="1" customWidth="1"/>
    <col min="10239" max="10424" width="9.140625" style="1"/>
    <col min="10425" max="10426" width="0" style="1" hidden="1" customWidth="1"/>
    <col min="10427" max="10427" width="13.7109375" style="1" customWidth="1"/>
    <col min="10428" max="10428" width="52.85546875" style="1" customWidth="1"/>
    <col min="10429" max="10468" width="0" style="1" hidden="1" customWidth="1"/>
    <col min="10469" max="10470" width="14.85546875" style="1" customWidth="1"/>
    <col min="10471" max="10472" width="0" style="1" hidden="1" customWidth="1"/>
    <col min="10473" max="10473" width="14.85546875" style="1" customWidth="1"/>
    <col min="10474" max="10475" width="0" style="1" hidden="1" customWidth="1"/>
    <col min="10476" max="10476" width="14.85546875" style="1" customWidth="1"/>
    <col min="10477" max="10478" width="0" style="1" hidden="1" customWidth="1"/>
    <col min="10479" max="10479" width="14.85546875" style="1" customWidth="1"/>
    <col min="10480" max="10481" width="0" style="1" hidden="1" customWidth="1"/>
    <col min="10482" max="10482" width="14.85546875" style="1" customWidth="1"/>
    <col min="10483" max="10484" width="0" style="1" hidden="1" customWidth="1"/>
    <col min="10485" max="10486" width="14.85546875" style="1" customWidth="1"/>
    <col min="10487" max="10487" width="44.42578125" style="1" customWidth="1"/>
    <col min="10488" max="10492" width="14.85546875" style="1" customWidth="1"/>
    <col min="10493" max="10493" width="63.85546875" style="1" customWidth="1"/>
    <col min="10494" max="10494" width="13.28515625" style="1" customWidth="1"/>
    <col min="10495" max="10680" width="9.140625" style="1"/>
    <col min="10681" max="10682" width="0" style="1" hidden="1" customWidth="1"/>
    <col min="10683" max="10683" width="13.7109375" style="1" customWidth="1"/>
    <col min="10684" max="10684" width="52.85546875" style="1" customWidth="1"/>
    <col min="10685" max="10724" width="0" style="1" hidden="1" customWidth="1"/>
    <col min="10725" max="10726" width="14.85546875" style="1" customWidth="1"/>
    <col min="10727" max="10728" width="0" style="1" hidden="1" customWidth="1"/>
    <col min="10729" max="10729" width="14.85546875" style="1" customWidth="1"/>
    <col min="10730" max="10731" width="0" style="1" hidden="1" customWidth="1"/>
    <col min="10732" max="10732" width="14.85546875" style="1" customWidth="1"/>
    <col min="10733" max="10734" width="0" style="1" hidden="1" customWidth="1"/>
    <col min="10735" max="10735" width="14.85546875" style="1" customWidth="1"/>
    <col min="10736" max="10737" width="0" style="1" hidden="1" customWidth="1"/>
    <col min="10738" max="10738" width="14.85546875" style="1" customWidth="1"/>
    <col min="10739" max="10740" width="0" style="1" hidden="1" customWidth="1"/>
    <col min="10741" max="10742" width="14.85546875" style="1" customWidth="1"/>
    <col min="10743" max="10743" width="44.42578125" style="1" customWidth="1"/>
    <col min="10744" max="10748" width="14.85546875" style="1" customWidth="1"/>
    <col min="10749" max="10749" width="63.85546875" style="1" customWidth="1"/>
    <col min="10750" max="10750" width="13.28515625" style="1" customWidth="1"/>
    <col min="10751" max="10936" width="9.140625" style="1"/>
    <col min="10937" max="10938" width="0" style="1" hidden="1" customWidth="1"/>
    <col min="10939" max="10939" width="13.7109375" style="1" customWidth="1"/>
    <col min="10940" max="10940" width="52.85546875" style="1" customWidth="1"/>
    <col min="10941" max="10980" width="0" style="1" hidden="1" customWidth="1"/>
    <col min="10981" max="10982" width="14.85546875" style="1" customWidth="1"/>
    <col min="10983" max="10984" width="0" style="1" hidden="1" customWidth="1"/>
    <col min="10985" max="10985" width="14.85546875" style="1" customWidth="1"/>
    <col min="10986" max="10987" width="0" style="1" hidden="1" customWidth="1"/>
    <col min="10988" max="10988" width="14.85546875" style="1" customWidth="1"/>
    <col min="10989" max="10990" width="0" style="1" hidden="1" customWidth="1"/>
    <col min="10991" max="10991" width="14.85546875" style="1" customWidth="1"/>
    <col min="10992" max="10993" width="0" style="1" hidden="1" customWidth="1"/>
    <col min="10994" max="10994" width="14.85546875" style="1" customWidth="1"/>
    <col min="10995" max="10996" width="0" style="1" hidden="1" customWidth="1"/>
    <col min="10997" max="10998" width="14.85546875" style="1" customWidth="1"/>
    <col min="10999" max="10999" width="44.42578125" style="1" customWidth="1"/>
    <col min="11000" max="11004" width="14.85546875" style="1" customWidth="1"/>
    <col min="11005" max="11005" width="63.85546875" style="1" customWidth="1"/>
    <col min="11006" max="11006" width="13.28515625" style="1" customWidth="1"/>
    <col min="11007" max="11192" width="9.140625" style="1"/>
    <col min="11193" max="11194" width="0" style="1" hidden="1" customWidth="1"/>
    <col min="11195" max="11195" width="13.7109375" style="1" customWidth="1"/>
    <col min="11196" max="11196" width="52.85546875" style="1" customWidth="1"/>
    <col min="11197" max="11236" width="0" style="1" hidden="1" customWidth="1"/>
    <col min="11237" max="11238" width="14.85546875" style="1" customWidth="1"/>
    <col min="11239" max="11240" width="0" style="1" hidden="1" customWidth="1"/>
    <col min="11241" max="11241" width="14.85546875" style="1" customWidth="1"/>
    <col min="11242" max="11243" width="0" style="1" hidden="1" customWidth="1"/>
    <col min="11244" max="11244" width="14.85546875" style="1" customWidth="1"/>
    <col min="11245" max="11246" width="0" style="1" hidden="1" customWidth="1"/>
    <col min="11247" max="11247" width="14.85546875" style="1" customWidth="1"/>
    <col min="11248" max="11249" width="0" style="1" hidden="1" customWidth="1"/>
    <col min="11250" max="11250" width="14.85546875" style="1" customWidth="1"/>
    <col min="11251" max="11252" width="0" style="1" hidden="1" customWidth="1"/>
    <col min="11253" max="11254" width="14.85546875" style="1" customWidth="1"/>
    <col min="11255" max="11255" width="44.42578125" style="1" customWidth="1"/>
    <col min="11256" max="11260" width="14.85546875" style="1" customWidth="1"/>
    <col min="11261" max="11261" width="63.85546875" style="1" customWidth="1"/>
    <col min="11262" max="11262" width="13.28515625" style="1" customWidth="1"/>
    <col min="11263" max="11448" width="9.140625" style="1"/>
    <col min="11449" max="11450" width="0" style="1" hidden="1" customWidth="1"/>
    <col min="11451" max="11451" width="13.7109375" style="1" customWidth="1"/>
    <col min="11452" max="11452" width="52.85546875" style="1" customWidth="1"/>
    <col min="11453" max="11492" width="0" style="1" hidden="1" customWidth="1"/>
    <col min="11493" max="11494" width="14.85546875" style="1" customWidth="1"/>
    <col min="11495" max="11496" width="0" style="1" hidden="1" customWidth="1"/>
    <col min="11497" max="11497" width="14.85546875" style="1" customWidth="1"/>
    <col min="11498" max="11499" width="0" style="1" hidden="1" customWidth="1"/>
    <col min="11500" max="11500" width="14.85546875" style="1" customWidth="1"/>
    <col min="11501" max="11502" width="0" style="1" hidden="1" customWidth="1"/>
    <col min="11503" max="11503" width="14.85546875" style="1" customWidth="1"/>
    <col min="11504" max="11505" width="0" style="1" hidden="1" customWidth="1"/>
    <col min="11506" max="11506" width="14.85546875" style="1" customWidth="1"/>
    <col min="11507" max="11508" width="0" style="1" hidden="1" customWidth="1"/>
    <col min="11509" max="11510" width="14.85546875" style="1" customWidth="1"/>
    <col min="11511" max="11511" width="44.42578125" style="1" customWidth="1"/>
    <col min="11512" max="11516" width="14.85546875" style="1" customWidth="1"/>
    <col min="11517" max="11517" width="63.85546875" style="1" customWidth="1"/>
    <col min="11518" max="11518" width="13.28515625" style="1" customWidth="1"/>
    <col min="11519" max="11704" width="9.140625" style="1"/>
    <col min="11705" max="11706" width="0" style="1" hidden="1" customWidth="1"/>
    <col min="11707" max="11707" width="13.7109375" style="1" customWidth="1"/>
    <col min="11708" max="11708" width="52.85546875" style="1" customWidth="1"/>
    <col min="11709" max="11748" width="0" style="1" hidden="1" customWidth="1"/>
    <col min="11749" max="11750" width="14.85546875" style="1" customWidth="1"/>
    <col min="11751" max="11752" width="0" style="1" hidden="1" customWidth="1"/>
    <col min="11753" max="11753" width="14.85546875" style="1" customWidth="1"/>
    <col min="11754" max="11755" width="0" style="1" hidden="1" customWidth="1"/>
    <col min="11756" max="11756" width="14.85546875" style="1" customWidth="1"/>
    <col min="11757" max="11758" width="0" style="1" hidden="1" customWidth="1"/>
    <col min="11759" max="11759" width="14.85546875" style="1" customWidth="1"/>
    <col min="11760" max="11761" width="0" style="1" hidden="1" customWidth="1"/>
    <col min="11762" max="11762" width="14.85546875" style="1" customWidth="1"/>
    <col min="11763" max="11764" width="0" style="1" hidden="1" customWidth="1"/>
    <col min="11765" max="11766" width="14.85546875" style="1" customWidth="1"/>
    <col min="11767" max="11767" width="44.42578125" style="1" customWidth="1"/>
    <col min="11768" max="11772" width="14.85546875" style="1" customWidth="1"/>
    <col min="11773" max="11773" width="63.85546875" style="1" customWidth="1"/>
    <col min="11774" max="11774" width="13.28515625" style="1" customWidth="1"/>
    <col min="11775" max="11960" width="9.140625" style="1"/>
    <col min="11961" max="11962" width="0" style="1" hidden="1" customWidth="1"/>
    <col min="11963" max="11963" width="13.7109375" style="1" customWidth="1"/>
    <col min="11964" max="11964" width="52.85546875" style="1" customWidth="1"/>
    <col min="11965" max="12004" width="0" style="1" hidden="1" customWidth="1"/>
    <col min="12005" max="12006" width="14.85546875" style="1" customWidth="1"/>
    <col min="12007" max="12008" width="0" style="1" hidden="1" customWidth="1"/>
    <col min="12009" max="12009" width="14.85546875" style="1" customWidth="1"/>
    <col min="12010" max="12011" width="0" style="1" hidden="1" customWidth="1"/>
    <col min="12012" max="12012" width="14.85546875" style="1" customWidth="1"/>
    <col min="12013" max="12014" width="0" style="1" hidden="1" customWidth="1"/>
    <col min="12015" max="12015" width="14.85546875" style="1" customWidth="1"/>
    <col min="12016" max="12017" width="0" style="1" hidden="1" customWidth="1"/>
    <col min="12018" max="12018" width="14.85546875" style="1" customWidth="1"/>
    <col min="12019" max="12020" width="0" style="1" hidden="1" customWidth="1"/>
    <col min="12021" max="12022" width="14.85546875" style="1" customWidth="1"/>
    <col min="12023" max="12023" width="44.42578125" style="1" customWidth="1"/>
    <col min="12024" max="12028" width="14.85546875" style="1" customWidth="1"/>
    <col min="12029" max="12029" width="63.85546875" style="1" customWidth="1"/>
    <col min="12030" max="12030" width="13.28515625" style="1" customWidth="1"/>
    <col min="12031" max="12216" width="9.140625" style="1"/>
    <col min="12217" max="12218" width="0" style="1" hidden="1" customWidth="1"/>
    <col min="12219" max="12219" width="13.7109375" style="1" customWidth="1"/>
    <col min="12220" max="12220" width="52.85546875" style="1" customWidth="1"/>
    <col min="12221" max="12260" width="0" style="1" hidden="1" customWidth="1"/>
    <col min="12261" max="12262" width="14.85546875" style="1" customWidth="1"/>
    <col min="12263" max="12264" width="0" style="1" hidden="1" customWidth="1"/>
    <col min="12265" max="12265" width="14.85546875" style="1" customWidth="1"/>
    <col min="12266" max="12267" width="0" style="1" hidden="1" customWidth="1"/>
    <col min="12268" max="12268" width="14.85546875" style="1" customWidth="1"/>
    <col min="12269" max="12270" width="0" style="1" hidden="1" customWidth="1"/>
    <col min="12271" max="12271" width="14.85546875" style="1" customWidth="1"/>
    <col min="12272" max="12273" width="0" style="1" hidden="1" customWidth="1"/>
    <col min="12274" max="12274" width="14.85546875" style="1" customWidth="1"/>
    <col min="12275" max="12276" width="0" style="1" hidden="1" customWidth="1"/>
    <col min="12277" max="12278" width="14.85546875" style="1" customWidth="1"/>
    <col min="12279" max="12279" width="44.42578125" style="1" customWidth="1"/>
    <col min="12280" max="12284" width="14.85546875" style="1" customWidth="1"/>
    <col min="12285" max="12285" width="63.85546875" style="1" customWidth="1"/>
    <col min="12286" max="12286" width="13.28515625" style="1" customWidth="1"/>
    <col min="12287" max="12472" width="9.140625" style="1"/>
    <col min="12473" max="12474" width="0" style="1" hidden="1" customWidth="1"/>
    <col min="12475" max="12475" width="13.7109375" style="1" customWidth="1"/>
    <col min="12476" max="12476" width="52.85546875" style="1" customWidth="1"/>
    <col min="12477" max="12516" width="0" style="1" hidden="1" customWidth="1"/>
    <col min="12517" max="12518" width="14.85546875" style="1" customWidth="1"/>
    <col min="12519" max="12520" width="0" style="1" hidden="1" customWidth="1"/>
    <col min="12521" max="12521" width="14.85546875" style="1" customWidth="1"/>
    <col min="12522" max="12523" width="0" style="1" hidden="1" customWidth="1"/>
    <col min="12524" max="12524" width="14.85546875" style="1" customWidth="1"/>
    <col min="12525" max="12526" width="0" style="1" hidden="1" customWidth="1"/>
    <col min="12527" max="12527" width="14.85546875" style="1" customWidth="1"/>
    <col min="12528" max="12529" width="0" style="1" hidden="1" customWidth="1"/>
    <col min="12530" max="12530" width="14.85546875" style="1" customWidth="1"/>
    <col min="12531" max="12532" width="0" style="1" hidden="1" customWidth="1"/>
    <col min="12533" max="12534" width="14.85546875" style="1" customWidth="1"/>
    <col min="12535" max="12535" width="44.42578125" style="1" customWidth="1"/>
    <col min="12536" max="12540" width="14.85546875" style="1" customWidth="1"/>
    <col min="12541" max="12541" width="63.85546875" style="1" customWidth="1"/>
    <col min="12542" max="12542" width="13.28515625" style="1" customWidth="1"/>
    <col min="12543" max="12728" width="9.140625" style="1"/>
    <col min="12729" max="12730" width="0" style="1" hidden="1" customWidth="1"/>
    <col min="12731" max="12731" width="13.7109375" style="1" customWidth="1"/>
    <col min="12732" max="12732" width="52.85546875" style="1" customWidth="1"/>
    <col min="12733" max="12772" width="0" style="1" hidden="1" customWidth="1"/>
    <col min="12773" max="12774" width="14.85546875" style="1" customWidth="1"/>
    <col min="12775" max="12776" width="0" style="1" hidden="1" customWidth="1"/>
    <col min="12777" max="12777" width="14.85546875" style="1" customWidth="1"/>
    <col min="12778" max="12779" width="0" style="1" hidden="1" customWidth="1"/>
    <col min="12780" max="12780" width="14.85546875" style="1" customWidth="1"/>
    <col min="12781" max="12782" width="0" style="1" hidden="1" customWidth="1"/>
    <col min="12783" max="12783" width="14.85546875" style="1" customWidth="1"/>
    <col min="12784" max="12785" width="0" style="1" hidden="1" customWidth="1"/>
    <col min="12786" max="12786" width="14.85546875" style="1" customWidth="1"/>
    <col min="12787" max="12788" width="0" style="1" hidden="1" customWidth="1"/>
    <col min="12789" max="12790" width="14.85546875" style="1" customWidth="1"/>
    <col min="12791" max="12791" width="44.42578125" style="1" customWidth="1"/>
    <col min="12792" max="12796" width="14.85546875" style="1" customWidth="1"/>
    <col min="12797" max="12797" width="63.85546875" style="1" customWidth="1"/>
    <col min="12798" max="12798" width="13.28515625" style="1" customWidth="1"/>
    <col min="12799" max="12984" width="9.140625" style="1"/>
    <col min="12985" max="12986" width="0" style="1" hidden="1" customWidth="1"/>
    <col min="12987" max="12987" width="13.7109375" style="1" customWidth="1"/>
    <col min="12988" max="12988" width="52.85546875" style="1" customWidth="1"/>
    <col min="12989" max="13028" width="0" style="1" hidden="1" customWidth="1"/>
    <col min="13029" max="13030" width="14.85546875" style="1" customWidth="1"/>
    <col min="13031" max="13032" width="0" style="1" hidden="1" customWidth="1"/>
    <col min="13033" max="13033" width="14.85546875" style="1" customWidth="1"/>
    <col min="13034" max="13035" width="0" style="1" hidden="1" customWidth="1"/>
    <col min="13036" max="13036" width="14.85546875" style="1" customWidth="1"/>
    <col min="13037" max="13038" width="0" style="1" hidden="1" customWidth="1"/>
    <col min="13039" max="13039" width="14.85546875" style="1" customWidth="1"/>
    <col min="13040" max="13041" width="0" style="1" hidden="1" customWidth="1"/>
    <col min="13042" max="13042" width="14.85546875" style="1" customWidth="1"/>
    <col min="13043" max="13044" width="0" style="1" hidden="1" customWidth="1"/>
    <col min="13045" max="13046" width="14.85546875" style="1" customWidth="1"/>
    <col min="13047" max="13047" width="44.42578125" style="1" customWidth="1"/>
    <col min="13048" max="13052" width="14.85546875" style="1" customWidth="1"/>
    <col min="13053" max="13053" width="63.85546875" style="1" customWidth="1"/>
    <col min="13054" max="13054" width="13.28515625" style="1" customWidth="1"/>
    <col min="13055" max="13240" width="9.140625" style="1"/>
    <col min="13241" max="13242" width="0" style="1" hidden="1" customWidth="1"/>
    <col min="13243" max="13243" width="13.7109375" style="1" customWidth="1"/>
    <col min="13244" max="13244" width="52.85546875" style="1" customWidth="1"/>
    <col min="13245" max="13284" width="0" style="1" hidden="1" customWidth="1"/>
    <col min="13285" max="13286" width="14.85546875" style="1" customWidth="1"/>
    <col min="13287" max="13288" width="0" style="1" hidden="1" customWidth="1"/>
    <col min="13289" max="13289" width="14.85546875" style="1" customWidth="1"/>
    <col min="13290" max="13291" width="0" style="1" hidden="1" customWidth="1"/>
    <col min="13292" max="13292" width="14.85546875" style="1" customWidth="1"/>
    <col min="13293" max="13294" width="0" style="1" hidden="1" customWidth="1"/>
    <col min="13295" max="13295" width="14.85546875" style="1" customWidth="1"/>
    <col min="13296" max="13297" width="0" style="1" hidden="1" customWidth="1"/>
    <col min="13298" max="13298" width="14.85546875" style="1" customWidth="1"/>
    <col min="13299" max="13300" width="0" style="1" hidden="1" customWidth="1"/>
    <col min="13301" max="13302" width="14.85546875" style="1" customWidth="1"/>
    <col min="13303" max="13303" width="44.42578125" style="1" customWidth="1"/>
    <col min="13304" max="13308" width="14.85546875" style="1" customWidth="1"/>
    <col min="13309" max="13309" width="63.85546875" style="1" customWidth="1"/>
    <col min="13310" max="13310" width="13.28515625" style="1" customWidth="1"/>
    <col min="13311" max="13496" width="9.140625" style="1"/>
    <col min="13497" max="13498" width="0" style="1" hidden="1" customWidth="1"/>
    <col min="13499" max="13499" width="13.7109375" style="1" customWidth="1"/>
    <col min="13500" max="13500" width="52.85546875" style="1" customWidth="1"/>
    <col min="13501" max="13540" width="0" style="1" hidden="1" customWidth="1"/>
    <col min="13541" max="13542" width="14.85546875" style="1" customWidth="1"/>
    <col min="13543" max="13544" width="0" style="1" hidden="1" customWidth="1"/>
    <col min="13545" max="13545" width="14.85546875" style="1" customWidth="1"/>
    <col min="13546" max="13547" width="0" style="1" hidden="1" customWidth="1"/>
    <col min="13548" max="13548" width="14.85546875" style="1" customWidth="1"/>
    <col min="13549" max="13550" width="0" style="1" hidden="1" customWidth="1"/>
    <col min="13551" max="13551" width="14.85546875" style="1" customWidth="1"/>
    <col min="13552" max="13553" width="0" style="1" hidden="1" customWidth="1"/>
    <col min="13554" max="13554" width="14.85546875" style="1" customWidth="1"/>
    <col min="13555" max="13556" width="0" style="1" hidden="1" customWidth="1"/>
    <col min="13557" max="13558" width="14.85546875" style="1" customWidth="1"/>
    <col min="13559" max="13559" width="44.42578125" style="1" customWidth="1"/>
    <col min="13560" max="13564" width="14.85546875" style="1" customWidth="1"/>
    <col min="13565" max="13565" width="63.85546875" style="1" customWidth="1"/>
    <col min="13566" max="13566" width="13.28515625" style="1" customWidth="1"/>
    <col min="13567" max="13752" width="9.140625" style="1"/>
    <col min="13753" max="13754" width="0" style="1" hidden="1" customWidth="1"/>
    <col min="13755" max="13755" width="13.7109375" style="1" customWidth="1"/>
    <col min="13756" max="13756" width="52.85546875" style="1" customWidth="1"/>
    <col min="13757" max="13796" width="0" style="1" hidden="1" customWidth="1"/>
    <col min="13797" max="13798" width="14.85546875" style="1" customWidth="1"/>
    <col min="13799" max="13800" width="0" style="1" hidden="1" customWidth="1"/>
    <col min="13801" max="13801" width="14.85546875" style="1" customWidth="1"/>
    <col min="13802" max="13803" width="0" style="1" hidden="1" customWidth="1"/>
    <col min="13804" max="13804" width="14.85546875" style="1" customWidth="1"/>
    <col min="13805" max="13806" width="0" style="1" hidden="1" customWidth="1"/>
    <col min="13807" max="13807" width="14.85546875" style="1" customWidth="1"/>
    <col min="13808" max="13809" width="0" style="1" hidden="1" customWidth="1"/>
    <col min="13810" max="13810" width="14.85546875" style="1" customWidth="1"/>
    <col min="13811" max="13812" width="0" style="1" hidden="1" customWidth="1"/>
    <col min="13813" max="13814" width="14.85546875" style="1" customWidth="1"/>
    <col min="13815" max="13815" width="44.42578125" style="1" customWidth="1"/>
    <col min="13816" max="13820" width="14.85546875" style="1" customWidth="1"/>
    <col min="13821" max="13821" width="63.85546875" style="1" customWidth="1"/>
    <col min="13822" max="13822" width="13.28515625" style="1" customWidth="1"/>
    <col min="13823" max="14008" width="9.140625" style="1"/>
    <col min="14009" max="14010" width="0" style="1" hidden="1" customWidth="1"/>
    <col min="14011" max="14011" width="13.7109375" style="1" customWidth="1"/>
    <col min="14012" max="14012" width="52.85546875" style="1" customWidth="1"/>
    <col min="14013" max="14052" width="0" style="1" hidden="1" customWidth="1"/>
    <col min="14053" max="14054" width="14.85546875" style="1" customWidth="1"/>
    <col min="14055" max="14056" width="0" style="1" hidden="1" customWidth="1"/>
    <col min="14057" max="14057" width="14.85546875" style="1" customWidth="1"/>
    <col min="14058" max="14059" width="0" style="1" hidden="1" customWidth="1"/>
    <col min="14060" max="14060" width="14.85546875" style="1" customWidth="1"/>
    <col min="14061" max="14062" width="0" style="1" hidden="1" customWidth="1"/>
    <col min="14063" max="14063" width="14.85546875" style="1" customWidth="1"/>
    <col min="14064" max="14065" width="0" style="1" hidden="1" customWidth="1"/>
    <col min="14066" max="14066" width="14.85546875" style="1" customWidth="1"/>
    <col min="14067" max="14068" width="0" style="1" hidden="1" customWidth="1"/>
    <col min="14069" max="14070" width="14.85546875" style="1" customWidth="1"/>
    <col min="14071" max="14071" width="44.42578125" style="1" customWidth="1"/>
    <col min="14072" max="14076" width="14.85546875" style="1" customWidth="1"/>
    <col min="14077" max="14077" width="63.85546875" style="1" customWidth="1"/>
    <col min="14078" max="14078" width="13.28515625" style="1" customWidth="1"/>
    <col min="14079" max="14264" width="9.140625" style="1"/>
    <col min="14265" max="14266" width="0" style="1" hidden="1" customWidth="1"/>
    <col min="14267" max="14267" width="13.7109375" style="1" customWidth="1"/>
    <col min="14268" max="14268" width="52.85546875" style="1" customWidth="1"/>
    <col min="14269" max="14308" width="0" style="1" hidden="1" customWidth="1"/>
    <col min="14309" max="14310" width="14.85546875" style="1" customWidth="1"/>
    <col min="14311" max="14312" width="0" style="1" hidden="1" customWidth="1"/>
    <col min="14313" max="14313" width="14.85546875" style="1" customWidth="1"/>
    <col min="14314" max="14315" width="0" style="1" hidden="1" customWidth="1"/>
    <col min="14316" max="14316" width="14.85546875" style="1" customWidth="1"/>
    <col min="14317" max="14318" width="0" style="1" hidden="1" customWidth="1"/>
    <col min="14319" max="14319" width="14.85546875" style="1" customWidth="1"/>
    <col min="14320" max="14321" width="0" style="1" hidden="1" customWidth="1"/>
    <col min="14322" max="14322" width="14.85546875" style="1" customWidth="1"/>
    <col min="14323" max="14324" width="0" style="1" hidden="1" customWidth="1"/>
    <col min="14325" max="14326" width="14.85546875" style="1" customWidth="1"/>
    <col min="14327" max="14327" width="44.42578125" style="1" customWidth="1"/>
    <col min="14328" max="14332" width="14.85546875" style="1" customWidth="1"/>
    <col min="14333" max="14333" width="63.85546875" style="1" customWidth="1"/>
    <col min="14334" max="14334" width="13.28515625" style="1" customWidth="1"/>
    <col min="14335" max="14520" width="9.140625" style="1"/>
    <col min="14521" max="14522" width="0" style="1" hidden="1" customWidth="1"/>
    <col min="14523" max="14523" width="13.7109375" style="1" customWidth="1"/>
    <col min="14524" max="14524" width="52.85546875" style="1" customWidth="1"/>
    <col min="14525" max="14564" width="0" style="1" hidden="1" customWidth="1"/>
    <col min="14565" max="14566" width="14.85546875" style="1" customWidth="1"/>
    <col min="14567" max="14568" width="0" style="1" hidden="1" customWidth="1"/>
    <col min="14569" max="14569" width="14.85546875" style="1" customWidth="1"/>
    <col min="14570" max="14571" width="0" style="1" hidden="1" customWidth="1"/>
    <col min="14572" max="14572" width="14.85546875" style="1" customWidth="1"/>
    <col min="14573" max="14574" width="0" style="1" hidden="1" customWidth="1"/>
    <col min="14575" max="14575" width="14.85546875" style="1" customWidth="1"/>
    <col min="14576" max="14577" width="0" style="1" hidden="1" customWidth="1"/>
    <col min="14578" max="14578" width="14.85546875" style="1" customWidth="1"/>
    <col min="14579" max="14580" width="0" style="1" hidden="1" customWidth="1"/>
    <col min="14581" max="14582" width="14.85546875" style="1" customWidth="1"/>
    <col min="14583" max="14583" width="44.42578125" style="1" customWidth="1"/>
    <col min="14584" max="14588" width="14.85546875" style="1" customWidth="1"/>
    <col min="14589" max="14589" width="63.85546875" style="1" customWidth="1"/>
    <col min="14590" max="14590" width="13.28515625" style="1" customWidth="1"/>
    <col min="14591" max="14776" width="9.140625" style="1"/>
    <col min="14777" max="14778" width="0" style="1" hidden="1" customWidth="1"/>
    <col min="14779" max="14779" width="13.7109375" style="1" customWidth="1"/>
    <col min="14780" max="14780" width="52.85546875" style="1" customWidth="1"/>
    <col min="14781" max="14820" width="0" style="1" hidden="1" customWidth="1"/>
    <col min="14821" max="14822" width="14.85546875" style="1" customWidth="1"/>
    <col min="14823" max="14824" width="0" style="1" hidden="1" customWidth="1"/>
    <col min="14825" max="14825" width="14.85546875" style="1" customWidth="1"/>
    <col min="14826" max="14827" width="0" style="1" hidden="1" customWidth="1"/>
    <col min="14828" max="14828" width="14.85546875" style="1" customWidth="1"/>
    <col min="14829" max="14830" width="0" style="1" hidden="1" customWidth="1"/>
    <col min="14831" max="14831" width="14.85546875" style="1" customWidth="1"/>
    <col min="14832" max="14833" width="0" style="1" hidden="1" customWidth="1"/>
    <col min="14834" max="14834" width="14.85546875" style="1" customWidth="1"/>
    <col min="14835" max="14836" width="0" style="1" hidden="1" customWidth="1"/>
    <col min="14837" max="14838" width="14.85546875" style="1" customWidth="1"/>
    <col min="14839" max="14839" width="44.42578125" style="1" customWidth="1"/>
    <col min="14840" max="14844" width="14.85546875" style="1" customWidth="1"/>
    <col min="14845" max="14845" width="63.85546875" style="1" customWidth="1"/>
    <col min="14846" max="14846" width="13.28515625" style="1" customWidth="1"/>
    <col min="14847" max="15032" width="9.140625" style="1"/>
    <col min="15033" max="15034" width="0" style="1" hidden="1" customWidth="1"/>
    <col min="15035" max="15035" width="13.7109375" style="1" customWidth="1"/>
    <col min="15036" max="15036" width="52.85546875" style="1" customWidth="1"/>
    <col min="15037" max="15076" width="0" style="1" hidden="1" customWidth="1"/>
    <col min="15077" max="15078" width="14.85546875" style="1" customWidth="1"/>
    <col min="15079" max="15080" width="0" style="1" hidden="1" customWidth="1"/>
    <col min="15081" max="15081" width="14.85546875" style="1" customWidth="1"/>
    <col min="15082" max="15083" width="0" style="1" hidden="1" customWidth="1"/>
    <col min="15084" max="15084" width="14.85546875" style="1" customWidth="1"/>
    <col min="15085" max="15086" width="0" style="1" hidden="1" customWidth="1"/>
    <col min="15087" max="15087" width="14.85546875" style="1" customWidth="1"/>
    <col min="15088" max="15089" width="0" style="1" hidden="1" customWidth="1"/>
    <col min="15090" max="15090" width="14.85546875" style="1" customWidth="1"/>
    <col min="15091" max="15092" width="0" style="1" hidden="1" customWidth="1"/>
    <col min="15093" max="15094" width="14.85546875" style="1" customWidth="1"/>
    <col min="15095" max="15095" width="44.42578125" style="1" customWidth="1"/>
    <col min="15096" max="15100" width="14.85546875" style="1" customWidth="1"/>
    <col min="15101" max="15101" width="63.85546875" style="1" customWidth="1"/>
    <col min="15102" max="15102" width="13.28515625" style="1" customWidth="1"/>
    <col min="15103" max="15288" width="9.140625" style="1"/>
    <col min="15289" max="15290" width="0" style="1" hidden="1" customWidth="1"/>
    <col min="15291" max="15291" width="13.7109375" style="1" customWidth="1"/>
    <col min="15292" max="15292" width="52.85546875" style="1" customWidth="1"/>
    <col min="15293" max="15332" width="0" style="1" hidden="1" customWidth="1"/>
    <col min="15333" max="15334" width="14.85546875" style="1" customWidth="1"/>
    <col min="15335" max="15336" width="0" style="1" hidden="1" customWidth="1"/>
    <col min="15337" max="15337" width="14.85546875" style="1" customWidth="1"/>
    <col min="15338" max="15339" width="0" style="1" hidden="1" customWidth="1"/>
    <col min="15340" max="15340" width="14.85546875" style="1" customWidth="1"/>
    <col min="15341" max="15342" width="0" style="1" hidden="1" customWidth="1"/>
    <col min="15343" max="15343" width="14.85546875" style="1" customWidth="1"/>
    <col min="15344" max="15345" width="0" style="1" hidden="1" customWidth="1"/>
    <col min="15346" max="15346" width="14.85546875" style="1" customWidth="1"/>
    <col min="15347" max="15348" width="0" style="1" hidden="1" customWidth="1"/>
    <col min="15349" max="15350" width="14.85546875" style="1" customWidth="1"/>
    <col min="15351" max="15351" width="44.42578125" style="1" customWidth="1"/>
    <col min="15352" max="15356" width="14.85546875" style="1" customWidth="1"/>
    <col min="15357" max="15357" width="63.85546875" style="1" customWidth="1"/>
    <col min="15358" max="15358" width="13.28515625" style="1" customWidth="1"/>
    <col min="15359" max="15544" width="9.140625" style="1"/>
    <col min="15545" max="15546" width="0" style="1" hidden="1" customWidth="1"/>
    <col min="15547" max="15547" width="13.7109375" style="1" customWidth="1"/>
    <col min="15548" max="15548" width="52.85546875" style="1" customWidth="1"/>
    <col min="15549" max="15588" width="0" style="1" hidden="1" customWidth="1"/>
    <col min="15589" max="15590" width="14.85546875" style="1" customWidth="1"/>
    <col min="15591" max="15592" width="0" style="1" hidden="1" customWidth="1"/>
    <col min="15593" max="15593" width="14.85546875" style="1" customWidth="1"/>
    <col min="15594" max="15595" width="0" style="1" hidden="1" customWidth="1"/>
    <col min="15596" max="15596" width="14.85546875" style="1" customWidth="1"/>
    <col min="15597" max="15598" width="0" style="1" hidden="1" customWidth="1"/>
    <col min="15599" max="15599" width="14.85546875" style="1" customWidth="1"/>
    <col min="15600" max="15601" width="0" style="1" hidden="1" customWidth="1"/>
    <col min="15602" max="15602" width="14.85546875" style="1" customWidth="1"/>
    <col min="15603" max="15604" width="0" style="1" hidden="1" customWidth="1"/>
    <col min="15605" max="15606" width="14.85546875" style="1" customWidth="1"/>
    <col min="15607" max="15607" width="44.42578125" style="1" customWidth="1"/>
    <col min="15608" max="15612" width="14.85546875" style="1" customWidth="1"/>
    <col min="15613" max="15613" width="63.85546875" style="1" customWidth="1"/>
    <col min="15614" max="15614" width="13.28515625" style="1" customWidth="1"/>
    <col min="15615" max="15800" width="9.140625" style="1"/>
    <col min="15801" max="15802" width="0" style="1" hidden="1" customWidth="1"/>
    <col min="15803" max="15803" width="13.7109375" style="1" customWidth="1"/>
    <col min="15804" max="15804" width="52.85546875" style="1" customWidth="1"/>
    <col min="15805" max="15844" width="0" style="1" hidden="1" customWidth="1"/>
    <col min="15845" max="15846" width="14.85546875" style="1" customWidth="1"/>
    <col min="15847" max="15848" width="0" style="1" hidden="1" customWidth="1"/>
    <col min="15849" max="15849" width="14.85546875" style="1" customWidth="1"/>
    <col min="15850" max="15851" width="0" style="1" hidden="1" customWidth="1"/>
    <col min="15852" max="15852" width="14.85546875" style="1" customWidth="1"/>
    <col min="15853" max="15854" width="0" style="1" hidden="1" customWidth="1"/>
    <col min="15855" max="15855" width="14.85546875" style="1" customWidth="1"/>
    <col min="15856" max="15857" width="0" style="1" hidden="1" customWidth="1"/>
    <col min="15858" max="15858" width="14.85546875" style="1" customWidth="1"/>
    <col min="15859" max="15860" width="0" style="1" hidden="1" customWidth="1"/>
    <col min="15861" max="15862" width="14.85546875" style="1" customWidth="1"/>
    <col min="15863" max="15863" width="44.42578125" style="1" customWidth="1"/>
    <col min="15864" max="15868" width="14.85546875" style="1" customWidth="1"/>
    <col min="15869" max="15869" width="63.85546875" style="1" customWidth="1"/>
    <col min="15870" max="15870" width="13.28515625" style="1" customWidth="1"/>
    <col min="15871" max="16056" width="9.140625" style="1"/>
    <col min="16057" max="16058" width="0" style="1" hidden="1" customWidth="1"/>
    <col min="16059" max="16059" width="13.7109375" style="1" customWidth="1"/>
    <col min="16060" max="16060" width="52.85546875" style="1" customWidth="1"/>
    <col min="16061" max="16100" width="0" style="1" hidden="1" customWidth="1"/>
    <col min="16101" max="16102" width="14.85546875" style="1" customWidth="1"/>
    <col min="16103" max="16104" width="0" style="1" hidden="1" customWidth="1"/>
    <col min="16105" max="16105" width="14.85546875" style="1" customWidth="1"/>
    <col min="16106" max="16107" width="0" style="1" hidden="1" customWidth="1"/>
    <col min="16108" max="16108" width="14.85546875" style="1" customWidth="1"/>
    <col min="16109" max="16110" width="0" style="1" hidden="1" customWidth="1"/>
    <col min="16111" max="16111" width="14.85546875" style="1" customWidth="1"/>
    <col min="16112" max="16113" width="0" style="1" hidden="1" customWidth="1"/>
    <col min="16114" max="16114" width="14.85546875" style="1" customWidth="1"/>
    <col min="16115" max="16116" width="0" style="1" hidden="1" customWidth="1"/>
    <col min="16117" max="16118" width="14.85546875" style="1" customWidth="1"/>
    <col min="16119" max="16119" width="44.42578125" style="1" customWidth="1"/>
    <col min="16120" max="16124" width="14.85546875" style="1" customWidth="1"/>
    <col min="16125" max="16125" width="63.85546875" style="1" customWidth="1"/>
    <col min="16126" max="16126" width="13.28515625" style="1" customWidth="1"/>
    <col min="16127" max="16325" width="9.140625" style="1"/>
    <col min="16326" max="16358" width="9.140625" style="1" customWidth="1"/>
    <col min="16359" max="16384" width="9.140625" style="1"/>
  </cols>
  <sheetData>
    <row r="1" spans="1:20" ht="25.5" outlineLevel="1" x14ac:dyDescent="0.35">
      <c r="C1" s="2" t="s">
        <v>0</v>
      </c>
      <c r="D1" s="2"/>
      <c r="E1" s="5"/>
      <c r="F1" s="5"/>
      <c r="G1" s="3"/>
      <c r="H1" s="6"/>
      <c r="I1" s="3"/>
      <c r="J1" s="3"/>
      <c r="K1" s="6"/>
      <c r="L1" s="3"/>
      <c r="M1" s="3"/>
      <c r="N1" s="6"/>
      <c r="O1" s="3"/>
      <c r="P1" s="3"/>
      <c r="Q1" s="6"/>
      <c r="R1" s="3"/>
      <c r="S1" s="3"/>
      <c r="T1" s="6"/>
    </row>
    <row r="2" spans="1:20" ht="25.5" outlineLevel="1" x14ac:dyDescent="0.35">
      <c r="C2" s="353" t="s">
        <v>1</v>
      </c>
      <c r="D2" s="353"/>
      <c r="G2" s="4"/>
      <c r="H2" s="8"/>
      <c r="I2" s="4"/>
      <c r="J2" s="4"/>
      <c r="K2" s="8"/>
      <c r="L2" s="4"/>
      <c r="M2" s="4"/>
      <c r="N2" s="8"/>
      <c r="O2" s="9"/>
      <c r="P2" s="4"/>
      <c r="Q2" s="8"/>
      <c r="R2" s="10"/>
      <c r="S2" s="10"/>
      <c r="T2" s="8"/>
    </row>
    <row r="3" spans="1:20" ht="20.25" outlineLevel="1" x14ac:dyDescent="0.3">
      <c r="C3" s="349" t="s">
        <v>2</v>
      </c>
      <c r="D3" s="349"/>
      <c r="E3" s="12"/>
      <c r="F3" s="12"/>
      <c r="G3" s="11"/>
      <c r="I3" s="11"/>
      <c r="J3" s="11"/>
      <c r="L3" s="11"/>
      <c r="M3" s="11"/>
      <c r="O3" s="11"/>
      <c r="P3" s="11"/>
      <c r="R3" s="11"/>
      <c r="S3" s="11"/>
    </row>
    <row r="4" spans="1:20" ht="15.75" outlineLevel="1" thickBot="1" x14ac:dyDescent="0.3">
      <c r="C4" s="14"/>
      <c r="E4" s="12"/>
      <c r="F4" s="12"/>
      <c r="G4" s="13"/>
      <c r="I4" s="12"/>
      <c r="J4" s="13"/>
      <c r="L4" s="12"/>
      <c r="M4" s="13"/>
      <c r="O4" s="12"/>
      <c r="P4" s="13"/>
      <c r="R4" s="12"/>
      <c r="S4" s="13"/>
    </row>
    <row r="5" spans="1:20" ht="55.15" customHeight="1" thickBot="1" x14ac:dyDescent="0.3">
      <c r="C5" s="15" t="s">
        <v>3</v>
      </c>
      <c r="D5" s="16" t="s">
        <v>4</v>
      </c>
      <c r="E5" s="18" t="s">
        <v>6</v>
      </c>
      <c r="F5" s="18" t="s">
        <v>7</v>
      </c>
      <c r="G5" s="17" t="s">
        <v>8</v>
      </c>
      <c r="H5" s="19" t="s">
        <v>9</v>
      </c>
      <c r="I5" s="17" t="s">
        <v>10</v>
      </c>
      <c r="J5" s="17" t="s">
        <v>11</v>
      </c>
      <c r="K5" s="19" t="s">
        <v>9</v>
      </c>
      <c r="L5" s="17" t="s">
        <v>12</v>
      </c>
      <c r="M5" s="17" t="s">
        <v>13</v>
      </c>
      <c r="N5" s="19" t="s">
        <v>9</v>
      </c>
      <c r="O5" s="17" t="s">
        <v>14</v>
      </c>
      <c r="P5" s="17" t="s">
        <v>15</v>
      </c>
      <c r="Q5" s="19" t="s">
        <v>9</v>
      </c>
      <c r="R5" s="17" t="s">
        <v>16</v>
      </c>
      <c r="S5" s="17" t="s">
        <v>17</v>
      </c>
      <c r="T5" s="19" t="s">
        <v>9</v>
      </c>
    </row>
    <row r="6" spans="1:20" x14ac:dyDescent="0.25">
      <c r="C6" s="20" t="s">
        <v>18</v>
      </c>
      <c r="D6" s="21" t="s">
        <v>19</v>
      </c>
      <c r="E6" s="22">
        <v>31414871</v>
      </c>
      <c r="F6" s="22">
        <f t="shared" ref="F6" si="0">ROUND((F7+F11+F14+F17+F20),0)</f>
        <v>31414871</v>
      </c>
      <c r="G6" s="23">
        <f>F6-E6</f>
        <v>0</v>
      </c>
      <c r="H6" s="24"/>
      <c r="I6" s="22">
        <f>ROUND((I7+I11+I14+I17+I20),0)</f>
        <v>31582267</v>
      </c>
      <c r="J6" s="23">
        <f>I6-F6</f>
        <v>167396</v>
      </c>
      <c r="K6" s="24"/>
      <c r="L6" s="22">
        <f>ROUND((L7+L11+L14+L17+L20),0)</f>
        <v>31582267</v>
      </c>
      <c r="M6" s="23">
        <f>L6-I6</f>
        <v>0</v>
      </c>
      <c r="N6" s="24"/>
      <c r="O6" s="22">
        <f>ROUND((O7+O11+O14+O17+O20),0)</f>
        <v>31582267</v>
      </c>
      <c r="P6" s="23">
        <f>O6-L6</f>
        <v>0</v>
      </c>
      <c r="Q6" s="24"/>
      <c r="R6" s="22">
        <f>ROUND((R7+R11+R14+R17+R20),0)</f>
        <v>31732267</v>
      </c>
      <c r="S6" s="23">
        <f>R6-O6</f>
        <v>150000</v>
      </c>
      <c r="T6" s="24"/>
    </row>
    <row r="7" spans="1:20" x14ac:dyDescent="0.25">
      <c r="B7" s="1" t="s">
        <v>20</v>
      </c>
      <c r="C7" s="25" t="s">
        <v>21</v>
      </c>
      <c r="D7" s="26" t="s">
        <v>22</v>
      </c>
      <c r="E7" s="28">
        <v>28441559</v>
      </c>
      <c r="F7" s="28">
        <f>SUM(F8:F9)</f>
        <v>28441559</v>
      </c>
      <c r="G7" s="27">
        <f t="shared" ref="G7:G71" si="1">F7-E7</f>
        <v>0</v>
      </c>
      <c r="H7" s="29"/>
      <c r="I7" s="27">
        <f>SUM(I8:I9)</f>
        <v>28608955</v>
      </c>
      <c r="J7" s="27">
        <f>I7-F7</f>
        <v>167396</v>
      </c>
      <c r="K7" s="29"/>
      <c r="L7" s="27">
        <f>SUM(L8:L9)</f>
        <v>28608955</v>
      </c>
      <c r="M7" s="27">
        <f>L7-I7</f>
        <v>0</v>
      </c>
      <c r="N7" s="29"/>
      <c r="O7" s="27">
        <f>SUM(O8:O9)</f>
        <v>28608955</v>
      </c>
      <c r="P7" s="27">
        <f>O7-L7</f>
        <v>0</v>
      </c>
      <c r="Q7" s="29"/>
      <c r="R7" s="27">
        <f>SUM(R8:R9)</f>
        <v>28758955</v>
      </c>
      <c r="S7" s="27">
        <f>R7-O7</f>
        <v>150000</v>
      </c>
      <c r="T7" s="29"/>
    </row>
    <row r="8" spans="1:20" x14ac:dyDescent="0.25">
      <c r="A8" s="1" t="s">
        <v>23</v>
      </c>
      <c r="B8" s="30" t="s">
        <v>24</v>
      </c>
      <c r="C8" s="31" t="s">
        <v>25</v>
      </c>
      <c r="D8" s="32" t="s">
        <v>26</v>
      </c>
      <c r="E8" s="34">
        <v>28441559</v>
      </c>
      <c r="F8" s="34">
        <f>ROUND(E8,0)</f>
        <v>28441559</v>
      </c>
      <c r="G8" s="33">
        <f t="shared" si="1"/>
        <v>0</v>
      </c>
      <c r="H8" s="35"/>
      <c r="I8" s="33">
        <f>ROUND(F8,0)+167396</f>
        <v>28608955</v>
      </c>
      <c r="J8" s="33">
        <f>I8-F8</f>
        <v>167396</v>
      </c>
      <c r="K8" s="35" t="s">
        <v>27</v>
      </c>
      <c r="L8" s="33">
        <f>ROUND(I8,0)</f>
        <v>28608955</v>
      </c>
      <c r="M8" s="33">
        <f>L8-I8</f>
        <v>0</v>
      </c>
      <c r="N8" s="35"/>
      <c r="O8" s="33">
        <f>ROUND(L8,0)</f>
        <v>28608955</v>
      </c>
      <c r="P8" s="33">
        <f>O8-L8</f>
        <v>0</v>
      </c>
      <c r="Q8" s="35"/>
      <c r="R8" s="33">
        <f>ROUND(O8,0)+150000</f>
        <v>28758955</v>
      </c>
      <c r="S8" s="33">
        <f>R8-O8</f>
        <v>150000</v>
      </c>
      <c r="T8" s="35" t="s">
        <v>28</v>
      </c>
    </row>
    <row r="9" spans="1:20" ht="27.75" hidden="1" customHeight="1" outlineLevel="1" x14ac:dyDescent="0.25">
      <c r="B9" s="30"/>
      <c r="C9" s="31" t="s">
        <v>29</v>
      </c>
      <c r="D9" s="32" t="s">
        <v>30</v>
      </c>
      <c r="E9" s="34">
        <v>0</v>
      </c>
      <c r="F9" s="34">
        <f>ROUND(E9,0)</f>
        <v>0</v>
      </c>
      <c r="G9" s="33">
        <f t="shared" si="1"/>
        <v>0</v>
      </c>
      <c r="H9" s="35"/>
      <c r="I9" s="33">
        <f>ROUND(H9,0)</f>
        <v>0</v>
      </c>
      <c r="J9" s="33">
        <f t="shared" ref="J9:J72" si="2">I9-F9</f>
        <v>0</v>
      </c>
      <c r="K9" s="35"/>
      <c r="L9" s="33">
        <f>ROUND(K9,0)</f>
        <v>0</v>
      </c>
      <c r="M9" s="33">
        <f t="shared" ref="M9:M72" si="3">L9-I9</f>
        <v>0</v>
      </c>
      <c r="N9" s="35"/>
      <c r="O9" s="33">
        <f>ROUND(N9,0)</f>
        <v>0</v>
      </c>
      <c r="P9" s="33">
        <f t="shared" ref="P9:P72" si="4">O9-L9</f>
        <v>0</v>
      </c>
      <c r="Q9" s="35"/>
      <c r="R9" s="33">
        <f>ROUND(Q9,0)</f>
        <v>0</v>
      </c>
      <c r="S9" s="33">
        <f t="shared" ref="S9:S72" si="5">R9-O9</f>
        <v>0</v>
      </c>
      <c r="T9" s="35"/>
    </row>
    <row r="10" spans="1:20" ht="32.450000000000003" customHeight="1" collapsed="1" x14ac:dyDescent="0.25">
      <c r="C10" s="20" t="s">
        <v>31</v>
      </c>
      <c r="D10" s="21" t="s">
        <v>32</v>
      </c>
      <c r="E10" s="22">
        <v>2903312</v>
      </c>
      <c r="F10" s="22">
        <f>F11+F14+F17</f>
        <v>2903312</v>
      </c>
      <c r="G10" s="23">
        <f t="shared" si="1"/>
        <v>0</v>
      </c>
      <c r="H10" s="24"/>
      <c r="I10" s="22">
        <f>I11+I14+I17</f>
        <v>2903312</v>
      </c>
      <c r="J10" s="23">
        <f t="shared" si="2"/>
        <v>0</v>
      </c>
      <c r="K10" s="24"/>
      <c r="L10" s="22">
        <f>L11+L14+L17</f>
        <v>2903312</v>
      </c>
      <c r="M10" s="23">
        <f t="shared" si="3"/>
        <v>0</v>
      </c>
      <c r="N10" s="24"/>
      <c r="O10" s="22">
        <f>O11+O14+O17</f>
        <v>2903312</v>
      </c>
      <c r="P10" s="23">
        <f t="shared" si="4"/>
        <v>0</v>
      </c>
      <c r="Q10" s="24"/>
      <c r="R10" s="22">
        <f>R11+R14+R17</f>
        <v>2903312</v>
      </c>
      <c r="S10" s="23">
        <f t="shared" si="5"/>
        <v>0</v>
      </c>
      <c r="T10" s="24"/>
    </row>
    <row r="11" spans="1:20" x14ac:dyDescent="0.25">
      <c r="B11" s="1" t="s">
        <v>33</v>
      </c>
      <c r="C11" s="37" t="s">
        <v>34</v>
      </c>
      <c r="D11" s="38" t="s">
        <v>35</v>
      </c>
      <c r="E11" s="40">
        <v>1998295</v>
      </c>
      <c r="F11" s="40">
        <f>SUM(F12:F13)</f>
        <v>1998295</v>
      </c>
      <c r="G11" s="39">
        <f t="shared" si="1"/>
        <v>0</v>
      </c>
      <c r="H11" s="41"/>
      <c r="I11" s="39">
        <f>SUM(I12:I13)</f>
        <v>1998295</v>
      </c>
      <c r="J11" s="39">
        <f t="shared" si="2"/>
        <v>0</v>
      </c>
      <c r="K11" s="41"/>
      <c r="L11" s="39">
        <f>SUM(L12:L13)</f>
        <v>1998295</v>
      </c>
      <c r="M11" s="39">
        <f t="shared" si="3"/>
        <v>0</v>
      </c>
      <c r="N11" s="41"/>
      <c r="O11" s="39">
        <f>SUM(O12:O13)</f>
        <v>1998295</v>
      </c>
      <c r="P11" s="39">
        <f t="shared" si="4"/>
        <v>0</v>
      </c>
      <c r="Q11" s="41"/>
      <c r="R11" s="39">
        <f>SUM(R12:R13)</f>
        <v>1998295</v>
      </c>
      <c r="S11" s="39">
        <f t="shared" si="5"/>
        <v>0</v>
      </c>
      <c r="T11" s="41"/>
    </row>
    <row r="12" spans="1:20" x14ac:dyDescent="0.25">
      <c r="A12" s="1" t="s">
        <v>23</v>
      </c>
      <c r="B12" s="30" t="s">
        <v>36</v>
      </c>
      <c r="C12" s="31" t="s">
        <v>37</v>
      </c>
      <c r="D12" s="32" t="s">
        <v>26</v>
      </c>
      <c r="E12" s="34">
        <v>1807872</v>
      </c>
      <c r="F12" s="34">
        <f>ROUND(E12,0)</f>
        <v>1807872</v>
      </c>
      <c r="G12" s="33">
        <f t="shared" si="1"/>
        <v>0</v>
      </c>
      <c r="H12" s="42"/>
      <c r="I12" s="33">
        <f>ROUND(F12,0)</f>
        <v>1807872</v>
      </c>
      <c r="J12" s="33">
        <f t="shared" si="2"/>
        <v>0</v>
      </c>
      <c r="K12" s="42"/>
      <c r="L12" s="33">
        <f>ROUND(I12,0)</f>
        <v>1807872</v>
      </c>
      <c r="M12" s="33">
        <f t="shared" si="3"/>
        <v>0</v>
      </c>
      <c r="N12" s="42"/>
      <c r="O12" s="33">
        <f>ROUND(L12,0)</f>
        <v>1807872</v>
      </c>
      <c r="P12" s="33">
        <f t="shared" si="4"/>
        <v>0</v>
      </c>
      <c r="Q12" s="42"/>
      <c r="R12" s="33">
        <f>ROUND(O12,0)</f>
        <v>1807872</v>
      </c>
      <c r="S12" s="33">
        <f t="shared" si="5"/>
        <v>0</v>
      </c>
      <c r="T12" s="42"/>
    </row>
    <row r="13" spans="1:20" x14ac:dyDescent="0.25">
      <c r="A13" s="1" t="s">
        <v>23</v>
      </c>
      <c r="B13" s="30" t="s">
        <v>38</v>
      </c>
      <c r="C13" s="31" t="s">
        <v>39</v>
      </c>
      <c r="D13" s="32" t="s">
        <v>40</v>
      </c>
      <c r="E13" s="34">
        <v>190423</v>
      </c>
      <c r="F13" s="34">
        <f>ROUND(E13,0)</f>
        <v>190423</v>
      </c>
      <c r="G13" s="33">
        <f t="shared" si="1"/>
        <v>0</v>
      </c>
      <c r="H13" s="35"/>
      <c r="I13" s="33">
        <f>ROUND(F13,0)</f>
        <v>190423</v>
      </c>
      <c r="J13" s="33">
        <f t="shared" si="2"/>
        <v>0</v>
      </c>
      <c r="K13" s="35"/>
      <c r="L13" s="33">
        <f>ROUND(I13,0)</f>
        <v>190423</v>
      </c>
      <c r="M13" s="33">
        <f t="shared" si="3"/>
        <v>0</v>
      </c>
      <c r="N13" s="35"/>
      <c r="O13" s="33">
        <f>ROUND(L13,0)</f>
        <v>190423</v>
      </c>
      <c r="P13" s="33">
        <f t="shared" si="4"/>
        <v>0</v>
      </c>
      <c r="Q13" s="35"/>
      <c r="R13" s="33">
        <f>ROUND(O13,0)</f>
        <v>190423</v>
      </c>
      <c r="S13" s="33">
        <f t="shared" si="5"/>
        <v>0</v>
      </c>
      <c r="T13" s="35"/>
    </row>
    <row r="14" spans="1:20" x14ac:dyDescent="0.25">
      <c r="B14" s="1" t="s">
        <v>41</v>
      </c>
      <c r="C14" s="37" t="s">
        <v>42</v>
      </c>
      <c r="D14" s="38" t="s">
        <v>43</v>
      </c>
      <c r="E14" s="40">
        <v>412472</v>
      </c>
      <c r="F14" s="40">
        <f>SUM(F15:F16)</f>
        <v>412472</v>
      </c>
      <c r="G14" s="39">
        <f t="shared" si="1"/>
        <v>0</v>
      </c>
      <c r="H14" s="41"/>
      <c r="I14" s="39">
        <f>SUM(I15:I16)</f>
        <v>412472</v>
      </c>
      <c r="J14" s="39">
        <f t="shared" si="2"/>
        <v>0</v>
      </c>
      <c r="K14" s="41"/>
      <c r="L14" s="39">
        <f>SUM(L15:L16)</f>
        <v>412472</v>
      </c>
      <c r="M14" s="39">
        <f t="shared" si="3"/>
        <v>0</v>
      </c>
      <c r="N14" s="41"/>
      <c r="O14" s="39">
        <f>SUM(O15:O16)</f>
        <v>412472</v>
      </c>
      <c r="P14" s="39">
        <f t="shared" si="4"/>
        <v>0</v>
      </c>
      <c r="Q14" s="41"/>
      <c r="R14" s="39">
        <f>SUM(R15:R16)</f>
        <v>412472</v>
      </c>
      <c r="S14" s="39">
        <f t="shared" si="5"/>
        <v>0</v>
      </c>
      <c r="T14" s="41"/>
    </row>
    <row r="15" spans="1:20" x14ac:dyDescent="0.25">
      <c r="A15" s="1" t="s">
        <v>23</v>
      </c>
      <c r="B15" s="30" t="s">
        <v>44</v>
      </c>
      <c r="C15" s="31" t="s">
        <v>45</v>
      </c>
      <c r="D15" s="32" t="s">
        <v>46</v>
      </c>
      <c r="E15" s="34">
        <v>326353</v>
      </c>
      <c r="F15" s="34">
        <f>ROUND(E15,0)</f>
        <v>326353</v>
      </c>
      <c r="G15" s="33">
        <f t="shared" si="1"/>
        <v>0</v>
      </c>
      <c r="H15" s="43"/>
      <c r="I15" s="33">
        <f>ROUND(F15,0)</f>
        <v>326353</v>
      </c>
      <c r="J15" s="33">
        <f t="shared" si="2"/>
        <v>0</v>
      </c>
      <c r="K15" s="43"/>
      <c r="L15" s="33">
        <f>ROUND(I15,0)</f>
        <v>326353</v>
      </c>
      <c r="M15" s="33">
        <f t="shared" si="3"/>
        <v>0</v>
      </c>
      <c r="N15" s="43"/>
      <c r="O15" s="33">
        <f>ROUND(L15,0)</f>
        <v>326353</v>
      </c>
      <c r="P15" s="33">
        <f t="shared" si="4"/>
        <v>0</v>
      </c>
      <c r="Q15" s="43"/>
      <c r="R15" s="33">
        <f>ROUND(O15,0)</f>
        <v>326353</v>
      </c>
      <c r="S15" s="33">
        <f t="shared" si="5"/>
        <v>0</v>
      </c>
      <c r="T15" s="43"/>
    </row>
    <row r="16" spans="1:20" x14ac:dyDescent="0.25">
      <c r="A16" s="1" t="s">
        <v>23</v>
      </c>
      <c r="B16" s="30" t="s">
        <v>47</v>
      </c>
      <c r="C16" s="31" t="s">
        <v>48</v>
      </c>
      <c r="D16" s="32" t="s">
        <v>40</v>
      </c>
      <c r="E16" s="34">
        <v>86119</v>
      </c>
      <c r="F16" s="34">
        <f>ROUND(E16,0)</f>
        <v>86119</v>
      </c>
      <c r="G16" s="33">
        <f t="shared" si="1"/>
        <v>0</v>
      </c>
      <c r="H16" s="35"/>
      <c r="I16" s="33">
        <f>ROUND(F16,0)</f>
        <v>86119</v>
      </c>
      <c r="J16" s="33">
        <f t="shared" si="2"/>
        <v>0</v>
      </c>
      <c r="K16" s="35"/>
      <c r="L16" s="33">
        <f>ROUND(I16,0)</f>
        <v>86119</v>
      </c>
      <c r="M16" s="33">
        <f t="shared" si="3"/>
        <v>0</v>
      </c>
      <c r="N16" s="35"/>
      <c r="O16" s="33">
        <f>ROUND(L16,0)</f>
        <v>86119</v>
      </c>
      <c r="P16" s="33">
        <f t="shared" si="4"/>
        <v>0</v>
      </c>
      <c r="Q16" s="35"/>
      <c r="R16" s="33">
        <f>ROUND(O16,0)</f>
        <v>86119</v>
      </c>
      <c r="S16" s="33">
        <f t="shared" si="5"/>
        <v>0</v>
      </c>
      <c r="T16" s="35"/>
    </row>
    <row r="17" spans="1:20" ht="29.25" x14ac:dyDescent="0.25">
      <c r="B17" s="1" t="s">
        <v>49</v>
      </c>
      <c r="C17" s="37" t="s">
        <v>50</v>
      </c>
      <c r="D17" s="38" t="s">
        <v>51</v>
      </c>
      <c r="E17" s="40">
        <v>492545</v>
      </c>
      <c r="F17" s="40">
        <f>SUM(F18:F19)</f>
        <v>492545</v>
      </c>
      <c r="G17" s="39">
        <f t="shared" si="1"/>
        <v>0</v>
      </c>
      <c r="H17" s="41"/>
      <c r="I17" s="39">
        <f>SUM(I18:I19)</f>
        <v>492545</v>
      </c>
      <c r="J17" s="39">
        <f t="shared" si="2"/>
        <v>0</v>
      </c>
      <c r="K17" s="41"/>
      <c r="L17" s="39">
        <f>SUM(L18:L19)</f>
        <v>492545</v>
      </c>
      <c r="M17" s="39">
        <f t="shared" si="3"/>
        <v>0</v>
      </c>
      <c r="N17" s="41"/>
      <c r="O17" s="39">
        <f>SUM(O18:O19)</f>
        <v>492545</v>
      </c>
      <c r="P17" s="39">
        <f t="shared" si="4"/>
        <v>0</v>
      </c>
      <c r="Q17" s="41"/>
      <c r="R17" s="39">
        <f>SUM(R18:R19)</f>
        <v>492545</v>
      </c>
      <c r="S17" s="39">
        <f t="shared" si="5"/>
        <v>0</v>
      </c>
      <c r="T17" s="41"/>
    </row>
    <row r="18" spans="1:20" ht="18.75" customHeight="1" x14ac:dyDescent="0.25">
      <c r="A18" s="1" t="s">
        <v>23</v>
      </c>
      <c r="B18" s="30" t="s">
        <v>52</v>
      </c>
      <c r="C18" s="31" t="s">
        <v>53</v>
      </c>
      <c r="D18" s="32" t="s">
        <v>46</v>
      </c>
      <c r="E18" s="34">
        <v>431787</v>
      </c>
      <c r="F18" s="34">
        <f>ROUND(E18,0)</f>
        <v>431787</v>
      </c>
      <c r="G18" s="33">
        <f t="shared" si="1"/>
        <v>0</v>
      </c>
      <c r="H18" s="43"/>
      <c r="I18" s="33">
        <f>ROUND(F18,0)</f>
        <v>431787</v>
      </c>
      <c r="J18" s="33">
        <f t="shared" si="2"/>
        <v>0</v>
      </c>
      <c r="K18" s="43"/>
      <c r="L18" s="33">
        <f>ROUND(I18,0)</f>
        <v>431787</v>
      </c>
      <c r="M18" s="33">
        <f t="shared" si="3"/>
        <v>0</v>
      </c>
      <c r="N18" s="43"/>
      <c r="O18" s="33">
        <f>ROUND(L18,0)</f>
        <v>431787</v>
      </c>
      <c r="P18" s="33">
        <f t="shared" si="4"/>
        <v>0</v>
      </c>
      <c r="Q18" s="43"/>
      <c r="R18" s="33">
        <f>ROUND(O18,0)</f>
        <v>431787</v>
      </c>
      <c r="S18" s="33">
        <f t="shared" si="5"/>
        <v>0</v>
      </c>
      <c r="T18" s="43"/>
    </row>
    <row r="19" spans="1:20" x14ac:dyDescent="0.25">
      <c r="A19" s="1" t="s">
        <v>23</v>
      </c>
      <c r="B19" s="30" t="s">
        <v>54</v>
      </c>
      <c r="C19" s="31" t="s">
        <v>55</v>
      </c>
      <c r="D19" s="32" t="s">
        <v>40</v>
      </c>
      <c r="E19" s="34">
        <v>60758</v>
      </c>
      <c r="F19" s="34">
        <f>ROUND(E19,0)</f>
        <v>60758</v>
      </c>
      <c r="G19" s="33">
        <f t="shared" si="1"/>
        <v>0</v>
      </c>
      <c r="H19" s="42"/>
      <c r="I19" s="33">
        <f>ROUND(F19,0)</f>
        <v>60758</v>
      </c>
      <c r="J19" s="33">
        <f t="shared" si="2"/>
        <v>0</v>
      </c>
      <c r="K19" s="42"/>
      <c r="L19" s="33">
        <f>ROUND(I19,0)</f>
        <v>60758</v>
      </c>
      <c r="M19" s="33">
        <f t="shared" si="3"/>
        <v>0</v>
      </c>
      <c r="N19" s="42"/>
      <c r="O19" s="33">
        <f>ROUND(L19,0)</f>
        <v>60758</v>
      </c>
      <c r="P19" s="33">
        <f t="shared" si="4"/>
        <v>0</v>
      </c>
      <c r="Q19" s="42"/>
      <c r="R19" s="33">
        <f>ROUND(O19,0)</f>
        <v>60758</v>
      </c>
      <c r="S19" s="33">
        <f t="shared" si="5"/>
        <v>0</v>
      </c>
      <c r="T19" s="42"/>
    </row>
    <row r="20" spans="1:20" ht="29.25" x14ac:dyDescent="0.25">
      <c r="B20" s="44"/>
      <c r="C20" s="37" t="s">
        <v>56</v>
      </c>
      <c r="D20" s="38" t="s">
        <v>57</v>
      </c>
      <c r="E20" s="40">
        <v>70000</v>
      </c>
      <c r="F20" s="40">
        <f t="shared" ref="F20" si="6">SUM(F21:F22)</f>
        <v>70000</v>
      </c>
      <c r="G20" s="39">
        <f t="shared" si="1"/>
        <v>0</v>
      </c>
      <c r="H20" s="41"/>
      <c r="I20" s="39">
        <f>SUM(I21:I22)</f>
        <v>70000</v>
      </c>
      <c r="J20" s="39">
        <f t="shared" si="2"/>
        <v>0</v>
      </c>
      <c r="K20" s="41"/>
      <c r="L20" s="39">
        <f>SUM(L21:L22)</f>
        <v>70000</v>
      </c>
      <c r="M20" s="39">
        <f t="shared" si="3"/>
        <v>0</v>
      </c>
      <c r="N20" s="41"/>
      <c r="O20" s="39">
        <f>SUM(O21:O22)</f>
        <v>70000</v>
      </c>
      <c r="P20" s="39">
        <f t="shared" si="4"/>
        <v>0</v>
      </c>
      <c r="Q20" s="41"/>
      <c r="R20" s="39">
        <f>SUM(R21:R22)</f>
        <v>70000</v>
      </c>
      <c r="S20" s="39">
        <f t="shared" si="5"/>
        <v>0</v>
      </c>
      <c r="T20" s="41"/>
    </row>
    <row r="21" spans="1:20" ht="14.45" customHeight="1" outlineLevel="1" x14ac:dyDescent="0.25">
      <c r="B21" s="30" t="s">
        <v>58</v>
      </c>
      <c r="C21" s="31" t="s">
        <v>59</v>
      </c>
      <c r="D21" s="32" t="s">
        <v>60</v>
      </c>
      <c r="E21" s="34">
        <v>0</v>
      </c>
      <c r="F21" s="34">
        <f>ROUND(E21,0)</f>
        <v>0</v>
      </c>
      <c r="G21" s="33">
        <f t="shared" si="1"/>
        <v>0</v>
      </c>
      <c r="H21" s="43"/>
      <c r="I21" s="33">
        <f>ROUND(F21,0)</f>
        <v>0</v>
      </c>
      <c r="J21" s="33">
        <f t="shared" si="2"/>
        <v>0</v>
      </c>
      <c r="K21" s="43"/>
      <c r="L21" s="33">
        <f>ROUND(I21,0)</f>
        <v>0</v>
      </c>
      <c r="M21" s="33">
        <f t="shared" si="3"/>
        <v>0</v>
      </c>
      <c r="N21" s="43"/>
      <c r="O21" s="33">
        <f>ROUND(L21,0)</f>
        <v>0</v>
      </c>
      <c r="P21" s="33">
        <f t="shared" si="4"/>
        <v>0</v>
      </c>
      <c r="Q21" s="43"/>
      <c r="R21" s="33">
        <f>ROUND(O21,0)</f>
        <v>0</v>
      </c>
      <c r="S21" s="33">
        <f t="shared" si="5"/>
        <v>0</v>
      </c>
      <c r="T21" s="43"/>
    </row>
    <row r="22" spans="1:20" ht="15.6" customHeight="1" x14ac:dyDescent="0.25">
      <c r="B22" s="30" t="s">
        <v>61</v>
      </c>
      <c r="C22" s="31" t="s">
        <v>59</v>
      </c>
      <c r="D22" s="32" t="s">
        <v>62</v>
      </c>
      <c r="E22" s="34">
        <v>70000</v>
      </c>
      <c r="F22" s="34">
        <f>ROUND(E22,0)</f>
        <v>70000</v>
      </c>
      <c r="G22" s="33">
        <f t="shared" si="1"/>
        <v>0</v>
      </c>
      <c r="H22" s="45"/>
      <c r="I22" s="33">
        <f>ROUND(F22,0)</f>
        <v>70000</v>
      </c>
      <c r="J22" s="33">
        <f t="shared" si="2"/>
        <v>0</v>
      </c>
      <c r="K22" s="45"/>
      <c r="L22" s="33">
        <f>ROUND(I22,0)</f>
        <v>70000</v>
      </c>
      <c r="M22" s="33">
        <f t="shared" si="3"/>
        <v>0</v>
      </c>
      <c r="N22" s="45"/>
      <c r="O22" s="33">
        <f>ROUND(L22,0)</f>
        <v>70000</v>
      </c>
      <c r="P22" s="33">
        <f t="shared" si="4"/>
        <v>0</v>
      </c>
      <c r="Q22" s="45"/>
      <c r="R22" s="33">
        <f>ROUND(O22,0)</f>
        <v>70000</v>
      </c>
      <c r="S22" s="33">
        <f t="shared" si="5"/>
        <v>0</v>
      </c>
      <c r="T22" s="45"/>
    </row>
    <row r="23" spans="1:20" ht="15.75" customHeight="1" x14ac:dyDescent="0.25">
      <c r="B23" s="1" t="s">
        <v>63</v>
      </c>
      <c r="C23" s="37" t="s">
        <v>64</v>
      </c>
      <c r="D23" s="38" t="s">
        <v>65</v>
      </c>
      <c r="E23" s="40">
        <v>160000</v>
      </c>
      <c r="F23" s="40">
        <f t="shared" ref="F23" si="7">F24+F28</f>
        <v>160000</v>
      </c>
      <c r="G23" s="39">
        <f t="shared" si="1"/>
        <v>0</v>
      </c>
      <c r="H23" s="41"/>
      <c r="I23" s="39">
        <f>I24+I28</f>
        <v>160000</v>
      </c>
      <c r="J23" s="39">
        <f t="shared" si="2"/>
        <v>0</v>
      </c>
      <c r="K23" s="41"/>
      <c r="L23" s="39">
        <f>L24+L28</f>
        <v>160000</v>
      </c>
      <c r="M23" s="39">
        <f t="shared" si="3"/>
        <v>0</v>
      </c>
      <c r="N23" s="41"/>
      <c r="O23" s="39">
        <f>O24+O28</f>
        <v>160000</v>
      </c>
      <c r="P23" s="39">
        <f t="shared" si="4"/>
        <v>0</v>
      </c>
      <c r="Q23" s="41"/>
      <c r="R23" s="39">
        <f>R24+R28</f>
        <v>160000</v>
      </c>
      <c r="S23" s="39">
        <f t="shared" si="5"/>
        <v>0</v>
      </c>
      <c r="T23" s="41"/>
    </row>
    <row r="24" spans="1:20" x14ac:dyDescent="0.25">
      <c r="A24" s="1" t="s">
        <v>23</v>
      </c>
      <c r="B24" s="1" t="s">
        <v>66</v>
      </c>
      <c r="C24" s="31" t="s">
        <v>67</v>
      </c>
      <c r="D24" s="32" t="s">
        <v>68</v>
      </c>
      <c r="E24" s="34">
        <v>6700</v>
      </c>
      <c r="F24" s="34">
        <f>F25+F26+F27</f>
        <v>6700</v>
      </c>
      <c r="G24" s="33">
        <f t="shared" si="1"/>
        <v>0</v>
      </c>
      <c r="H24" s="42"/>
      <c r="I24" s="33">
        <f>I25+I26+I27</f>
        <v>6700</v>
      </c>
      <c r="J24" s="33">
        <f t="shared" si="2"/>
        <v>0</v>
      </c>
      <c r="K24" s="42"/>
      <c r="L24" s="33">
        <f>L25+L26+L27</f>
        <v>6700</v>
      </c>
      <c r="M24" s="33">
        <f t="shared" si="3"/>
        <v>0</v>
      </c>
      <c r="N24" s="42"/>
      <c r="O24" s="33">
        <f>O25+O26+O27</f>
        <v>6700</v>
      </c>
      <c r="P24" s="33">
        <f t="shared" si="4"/>
        <v>0</v>
      </c>
      <c r="Q24" s="42"/>
      <c r="R24" s="33">
        <f>R25+R26+R27</f>
        <v>6700</v>
      </c>
      <c r="S24" s="33">
        <f t="shared" si="5"/>
        <v>0</v>
      </c>
      <c r="T24" s="42"/>
    </row>
    <row r="25" spans="1:20" ht="26.25" x14ac:dyDescent="0.25">
      <c r="B25" s="30" t="s">
        <v>69</v>
      </c>
      <c r="C25" s="46" t="s">
        <v>70</v>
      </c>
      <c r="D25" s="47" t="s">
        <v>71</v>
      </c>
      <c r="E25" s="34">
        <v>1700</v>
      </c>
      <c r="F25" s="34">
        <f>ROUND(E25,0)</f>
        <v>1700</v>
      </c>
      <c r="G25" s="33">
        <f t="shared" si="1"/>
        <v>0</v>
      </c>
      <c r="H25" s="42"/>
      <c r="I25" s="33">
        <f>ROUND(F25,0)</f>
        <v>1700</v>
      </c>
      <c r="J25" s="33">
        <f t="shared" si="2"/>
        <v>0</v>
      </c>
      <c r="K25" s="42"/>
      <c r="L25" s="33">
        <f>ROUND(I25,0)</f>
        <v>1700</v>
      </c>
      <c r="M25" s="33">
        <f t="shared" si="3"/>
        <v>0</v>
      </c>
      <c r="N25" s="42"/>
      <c r="O25" s="33">
        <f>ROUND(L25,0)</f>
        <v>1700</v>
      </c>
      <c r="P25" s="33">
        <f t="shared" si="4"/>
        <v>0</v>
      </c>
      <c r="Q25" s="42"/>
      <c r="R25" s="33">
        <f>ROUND(O25,0)</f>
        <v>1700</v>
      </c>
      <c r="S25" s="33">
        <f t="shared" si="5"/>
        <v>0</v>
      </c>
      <c r="T25" s="42"/>
    </row>
    <row r="26" spans="1:20" ht="26.25" x14ac:dyDescent="0.25">
      <c r="B26" s="30" t="s">
        <v>72</v>
      </c>
      <c r="C26" s="46" t="s">
        <v>73</v>
      </c>
      <c r="D26" s="47" t="s">
        <v>74</v>
      </c>
      <c r="E26" s="34">
        <v>4500</v>
      </c>
      <c r="F26" s="34">
        <f>ROUND(E26,0)</f>
        <v>4500</v>
      </c>
      <c r="G26" s="33">
        <f t="shared" si="1"/>
        <v>0</v>
      </c>
      <c r="H26" s="42"/>
      <c r="I26" s="33">
        <f>ROUND(F26,0)</f>
        <v>4500</v>
      </c>
      <c r="J26" s="33">
        <f t="shared" si="2"/>
        <v>0</v>
      </c>
      <c r="K26" s="42"/>
      <c r="L26" s="33">
        <f>ROUND(I26,0)</f>
        <v>4500</v>
      </c>
      <c r="M26" s="33">
        <f t="shared" si="3"/>
        <v>0</v>
      </c>
      <c r="N26" s="42"/>
      <c r="O26" s="33">
        <f>ROUND(L26,0)</f>
        <v>4500</v>
      </c>
      <c r="P26" s="33">
        <f t="shared" si="4"/>
        <v>0</v>
      </c>
      <c r="Q26" s="42"/>
      <c r="R26" s="33">
        <f>ROUND(O26,0)</f>
        <v>4500</v>
      </c>
      <c r="S26" s="33">
        <f t="shared" si="5"/>
        <v>0</v>
      </c>
      <c r="T26" s="42"/>
    </row>
    <row r="27" spans="1:20" ht="26.25" x14ac:dyDescent="0.25">
      <c r="B27" s="30" t="s">
        <v>75</v>
      </c>
      <c r="C27" s="46" t="s">
        <v>76</v>
      </c>
      <c r="D27" s="47" t="s">
        <v>77</v>
      </c>
      <c r="E27" s="34">
        <v>500</v>
      </c>
      <c r="F27" s="34">
        <f>ROUND(E27,0)</f>
        <v>500</v>
      </c>
      <c r="G27" s="33">
        <f t="shared" si="1"/>
        <v>0</v>
      </c>
      <c r="H27" s="42"/>
      <c r="I27" s="33">
        <f>ROUND(F27,0)</f>
        <v>500</v>
      </c>
      <c r="J27" s="33">
        <f t="shared" si="2"/>
        <v>0</v>
      </c>
      <c r="K27" s="42"/>
      <c r="L27" s="33">
        <f>ROUND(I27,0)</f>
        <v>500</v>
      </c>
      <c r="M27" s="33">
        <f t="shared" si="3"/>
        <v>0</v>
      </c>
      <c r="N27" s="42"/>
      <c r="O27" s="33">
        <f>ROUND(L27,0)</f>
        <v>500</v>
      </c>
      <c r="P27" s="33">
        <f t="shared" si="4"/>
        <v>0</v>
      </c>
      <c r="Q27" s="42"/>
      <c r="R27" s="33">
        <f>ROUND(O27,0)</f>
        <v>500</v>
      </c>
      <c r="S27" s="33">
        <f t="shared" si="5"/>
        <v>0</v>
      </c>
      <c r="T27" s="42"/>
    </row>
    <row r="28" spans="1:20" x14ac:dyDescent="0.25">
      <c r="A28" s="1" t="s">
        <v>23</v>
      </c>
      <c r="B28" s="1" t="s">
        <v>78</v>
      </c>
      <c r="C28" s="31" t="s">
        <v>79</v>
      </c>
      <c r="D28" s="32" t="s">
        <v>80</v>
      </c>
      <c r="E28" s="34">
        <v>153300</v>
      </c>
      <c r="F28" s="34">
        <f>SUM(F29:F35)</f>
        <v>153300</v>
      </c>
      <c r="G28" s="33">
        <f t="shared" si="1"/>
        <v>0</v>
      </c>
      <c r="H28" s="42"/>
      <c r="I28" s="33">
        <f>SUM(I29:I35)</f>
        <v>153300</v>
      </c>
      <c r="J28" s="33">
        <f t="shared" si="2"/>
        <v>0</v>
      </c>
      <c r="K28" s="42"/>
      <c r="L28" s="33">
        <f>SUM(L29:L35)</f>
        <v>153300</v>
      </c>
      <c r="M28" s="33">
        <f t="shared" si="3"/>
        <v>0</v>
      </c>
      <c r="N28" s="42"/>
      <c r="O28" s="33">
        <f>SUM(O29:O35)</f>
        <v>153300</v>
      </c>
      <c r="P28" s="33">
        <f t="shared" si="4"/>
        <v>0</v>
      </c>
      <c r="Q28" s="42"/>
      <c r="R28" s="33">
        <f>SUM(R29:R35)</f>
        <v>153300</v>
      </c>
      <c r="S28" s="33">
        <f t="shared" si="5"/>
        <v>0</v>
      </c>
      <c r="T28" s="42"/>
    </row>
    <row r="29" spans="1:20" ht="26.25" x14ac:dyDescent="0.25">
      <c r="B29" s="30" t="s">
        <v>81</v>
      </c>
      <c r="C29" s="46" t="s">
        <v>82</v>
      </c>
      <c r="D29" s="47" t="s">
        <v>83</v>
      </c>
      <c r="E29" s="34">
        <v>350</v>
      </c>
      <c r="F29" s="34">
        <f t="shared" ref="F29:F35" si="8">ROUND(E29,0)</f>
        <v>350</v>
      </c>
      <c r="G29" s="33">
        <f t="shared" si="1"/>
        <v>0</v>
      </c>
      <c r="H29" s="42"/>
      <c r="I29" s="33">
        <f t="shared" ref="I29:I35" si="9">ROUND(F29,0)</f>
        <v>350</v>
      </c>
      <c r="J29" s="33">
        <f t="shared" si="2"/>
        <v>0</v>
      </c>
      <c r="K29" s="42"/>
      <c r="L29" s="33">
        <f t="shared" ref="L29:L35" si="10">ROUND(I29,0)</f>
        <v>350</v>
      </c>
      <c r="M29" s="33">
        <f t="shared" si="3"/>
        <v>0</v>
      </c>
      <c r="N29" s="42"/>
      <c r="O29" s="33">
        <f t="shared" ref="O29:O35" si="11">ROUND(L29,0)</f>
        <v>350</v>
      </c>
      <c r="P29" s="33">
        <f t="shared" si="4"/>
        <v>0</v>
      </c>
      <c r="Q29" s="42"/>
      <c r="R29" s="33">
        <f t="shared" ref="R29:R35" si="12">ROUND(O29,0)</f>
        <v>350</v>
      </c>
      <c r="S29" s="33">
        <f t="shared" si="5"/>
        <v>0</v>
      </c>
      <c r="T29" s="42"/>
    </row>
    <row r="30" spans="1:20" ht="26.25" x14ac:dyDescent="0.25">
      <c r="B30" s="48" t="s">
        <v>84</v>
      </c>
      <c r="C30" s="46" t="s">
        <v>85</v>
      </c>
      <c r="D30" s="47" t="s">
        <v>86</v>
      </c>
      <c r="E30" s="34">
        <v>1100</v>
      </c>
      <c r="F30" s="34">
        <f t="shared" si="8"/>
        <v>1100</v>
      </c>
      <c r="G30" s="33">
        <f t="shared" si="1"/>
        <v>0</v>
      </c>
      <c r="H30" s="42"/>
      <c r="I30" s="33">
        <f t="shared" si="9"/>
        <v>1100</v>
      </c>
      <c r="J30" s="33">
        <f t="shared" si="2"/>
        <v>0</v>
      </c>
      <c r="K30" s="42"/>
      <c r="L30" s="33">
        <f t="shared" si="10"/>
        <v>1100</v>
      </c>
      <c r="M30" s="33">
        <f t="shared" si="3"/>
        <v>0</v>
      </c>
      <c r="N30" s="42"/>
      <c r="O30" s="33">
        <f t="shared" si="11"/>
        <v>1100</v>
      </c>
      <c r="P30" s="33">
        <f t="shared" si="4"/>
        <v>0</v>
      </c>
      <c r="Q30" s="42"/>
      <c r="R30" s="33">
        <f t="shared" si="12"/>
        <v>1100</v>
      </c>
      <c r="S30" s="33">
        <f t="shared" si="5"/>
        <v>0</v>
      </c>
      <c r="T30" s="42"/>
    </row>
    <row r="31" spans="1:20" x14ac:dyDescent="0.25">
      <c r="B31" s="30" t="s">
        <v>87</v>
      </c>
      <c r="C31" s="46" t="s">
        <v>88</v>
      </c>
      <c r="D31" s="47" t="s">
        <v>89</v>
      </c>
      <c r="E31" s="34">
        <v>27000</v>
      </c>
      <c r="F31" s="34">
        <f t="shared" si="8"/>
        <v>27000</v>
      </c>
      <c r="G31" s="33">
        <f t="shared" si="1"/>
        <v>0</v>
      </c>
      <c r="H31" s="42"/>
      <c r="I31" s="33">
        <f t="shared" si="9"/>
        <v>27000</v>
      </c>
      <c r="J31" s="33">
        <f t="shared" si="2"/>
        <v>0</v>
      </c>
      <c r="K31" s="42"/>
      <c r="L31" s="33">
        <f t="shared" si="10"/>
        <v>27000</v>
      </c>
      <c r="M31" s="33">
        <f t="shared" si="3"/>
        <v>0</v>
      </c>
      <c r="N31" s="42"/>
      <c r="O31" s="33">
        <f t="shared" si="11"/>
        <v>27000</v>
      </c>
      <c r="P31" s="33">
        <f t="shared" si="4"/>
        <v>0</v>
      </c>
      <c r="Q31" s="42"/>
      <c r="R31" s="33">
        <f t="shared" si="12"/>
        <v>27000</v>
      </c>
      <c r="S31" s="33">
        <f t="shared" si="5"/>
        <v>0</v>
      </c>
      <c r="T31" s="42"/>
    </row>
    <row r="32" spans="1:20" x14ac:dyDescent="0.25">
      <c r="B32" s="30" t="s">
        <v>90</v>
      </c>
      <c r="C32" s="46" t="s">
        <v>91</v>
      </c>
      <c r="D32" s="47" t="s">
        <v>92</v>
      </c>
      <c r="E32" s="34">
        <v>0</v>
      </c>
      <c r="F32" s="34">
        <f t="shared" si="8"/>
        <v>0</v>
      </c>
      <c r="G32" s="33">
        <f t="shared" si="1"/>
        <v>0</v>
      </c>
      <c r="H32" s="42"/>
      <c r="I32" s="33">
        <f t="shared" si="9"/>
        <v>0</v>
      </c>
      <c r="J32" s="33">
        <f t="shared" si="2"/>
        <v>0</v>
      </c>
      <c r="K32" s="42"/>
      <c r="L32" s="33">
        <f t="shared" si="10"/>
        <v>0</v>
      </c>
      <c r="M32" s="33">
        <f t="shared" si="3"/>
        <v>0</v>
      </c>
      <c r="N32" s="42"/>
      <c r="O32" s="33">
        <f t="shared" si="11"/>
        <v>0</v>
      </c>
      <c r="P32" s="33">
        <f t="shared" si="4"/>
        <v>0</v>
      </c>
      <c r="Q32" s="42"/>
      <c r="R32" s="33">
        <f t="shared" si="12"/>
        <v>0</v>
      </c>
      <c r="S32" s="33">
        <f t="shared" si="5"/>
        <v>0</v>
      </c>
      <c r="T32" s="42"/>
    </row>
    <row r="33" spans="1:20" ht="26.25" x14ac:dyDescent="0.25">
      <c r="B33" s="30" t="s">
        <v>93</v>
      </c>
      <c r="C33" s="46" t="s">
        <v>94</v>
      </c>
      <c r="D33" s="47" t="s">
        <v>95</v>
      </c>
      <c r="E33" s="34">
        <v>11500</v>
      </c>
      <c r="F33" s="34">
        <f t="shared" si="8"/>
        <v>11500</v>
      </c>
      <c r="G33" s="33">
        <f t="shared" si="1"/>
        <v>0</v>
      </c>
      <c r="H33" s="42"/>
      <c r="I33" s="33">
        <f t="shared" si="9"/>
        <v>11500</v>
      </c>
      <c r="J33" s="33">
        <f t="shared" si="2"/>
        <v>0</v>
      </c>
      <c r="K33" s="42"/>
      <c r="L33" s="33">
        <f t="shared" si="10"/>
        <v>11500</v>
      </c>
      <c r="M33" s="33">
        <f t="shared" si="3"/>
        <v>0</v>
      </c>
      <c r="N33" s="42"/>
      <c r="O33" s="33">
        <f t="shared" si="11"/>
        <v>11500</v>
      </c>
      <c r="P33" s="33">
        <f t="shared" si="4"/>
        <v>0</v>
      </c>
      <c r="Q33" s="42"/>
      <c r="R33" s="33">
        <f t="shared" si="12"/>
        <v>11500</v>
      </c>
      <c r="S33" s="33">
        <f t="shared" si="5"/>
        <v>0</v>
      </c>
      <c r="T33" s="42"/>
    </row>
    <row r="34" spans="1:20" x14ac:dyDescent="0.25">
      <c r="B34" s="30" t="s">
        <v>96</v>
      </c>
      <c r="C34" s="46" t="s">
        <v>97</v>
      </c>
      <c r="D34" s="47" t="s">
        <v>98</v>
      </c>
      <c r="E34" s="34">
        <v>106350</v>
      </c>
      <c r="F34" s="34">
        <f t="shared" si="8"/>
        <v>106350</v>
      </c>
      <c r="G34" s="33">
        <f t="shared" si="1"/>
        <v>0</v>
      </c>
      <c r="H34" s="42"/>
      <c r="I34" s="33">
        <f t="shared" si="9"/>
        <v>106350</v>
      </c>
      <c r="J34" s="33">
        <f t="shared" si="2"/>
        <v>0</v>
      </c>
      <c r="K34" s="42"/>
      <c r="L34" s="33">
        <f t="shared" si="10"/>
        <v>106350</v>
      </c>
      <c r="M34" s="33">
        <f t="shared" si="3"/>
        <v>0</v>
      </c>
      <c r="N34" s="42"/>
      <c r="O34" s="33">
        <f t="shared" si="11"/>
        <v>106350</v>
      </c>
      <c r="P34" s="33">
        <f t="shared" si="4"/>
        <v>0</v>
      </c>
      <c r="Q34" s="42"/>
      <c r="R34" s="33">
        <f t="shared" si="12"/>
        <v>106350</v>
      </c>
      <c r="S34" s="33">
        <f t="shared" si="5"/>
        <v>0</v>
      </c>
      <c r="T34" s="42"/>
    </row>
    <row r="35" spans="1:20" x14ac:dyDescent="0.25">
      <c r="B35" s="30" t="s">
        <v>99</v>
      </c>
      <c r="C35" s="46" t="s">
        <v>100</v>
      </c>
      <c r="D35" s="47" t="s">
        <v>101</v>
      </c>
      <c r="E35" s="34">
        <v>7000</v>
      </c>
      <c r="F35" s="34">
        <f t="shared" si="8"/>
        <v>7000</v>
      </c>
      <c r="G35" s="33">
        <f t="shared" si="1"/>
        <v>0</v>
      </c>
      <c r="H35" s="42"/>
      <c r="I35" s="33">
        <f t="shared" si="9"/>
        <v>7000</v>
      </c>
      <c r="J35" s="33">
        <f t="shared" si="2"/>
        <v>0</v>
      </c>
      <c r="K35" s="42"/>
      <c r="L35" s="33">
        <f t="shared" si="10"/>
        <v>7000</v>
      </c>
      <c r="M35" s="33">
        <f t="shared" si="3"/>
        <v>0</v>
      </c>
      <c r="N35" s="42"/>
      <c r="O35" s="33">
        <f t="shared" si="11"/>
        <v>7000</v>
      </c>
      <c r="P35" s="33">
        <f t="shared" si="4"/>
        <v>0</v>
      </c>
      <c r="Q35" s="42"/>
      <c r="R35" s="33">
        <f t="shared" si="12"/>
        <v>7000</v>
      </c>
      <c r="S35" s="33">
        <f t="shared" si="5"/>
        <v>0</v>
      </c>
      <c r="T35" s="42"/>
    </row>
    <row r="36" spans="1:20" ht="18" customHeight="1" x14ac:dyDescent="0.25">
      <c r="B36" s="1" t="s">
        <v>102</v>
      </c>
      <c r="C36" s="37" t="s">
        <v>103</v>
      </c>
      <c r="D36" s="38" t="s">
        <v>104</v>
      </c>
      <c r="E36" s="40">
        <v>65000</v>
      </c>
      <c r="F36" s="40">
        <f>F37+F38</f>
        <v>65000</v>
      </c>
      <c r="G36" s="39">
        <f t="shared" si="1"/>
        <v>0</v>
      </c>
      <c r="H36" s="49"/>
      <c r="I36" s="39">
        <f>I37+I38</f>
        <v>65000</v>
      </c>
      <c r="J36" s="39">
        <f t="shared" si="2"/>
        <v>0</v>
      </c>
      <c r="K36" s="49"/>
      <c r="L36" s="39">
        <f>L37+L38</f>
        <v>65000</v>
      </c>
      <c r="M36" s="39">
        <f t="shared" si="3"/>
        <v>0</v>
      </c>
      <c r="N36" s="49"/>
      <c r="O36" s="39">
        <f>O37+O38</f>
        <v>65000</v>
      </c>
      <c r="P36" s="39">
        <f t="shared" si="4"/>
        <v>0</v>
      </c>
      <c r="Q36" s="49"/>
      <c r="R36" s="39">
        <f>R37+R38</f>
        <v>65000</v>
      </c>
      <c r="S36" s="39">
        <f t="shared" si="5"/>
        <v>0</v>
      </c>
      <c r="T36" s="49"/>
    </row>
    <row r="37" spans="1:20" ht="16.5" customHeight="1" x14ac:dyDescent="0.25">
      <c r="B37" s="44" t="s">
        <v>105</v>
      </c>
      <c r="C37" s="31" t="s">
        <v>106</v>
      </c>
      <c r="D37" s="32" t="s">
        <v>104</v>
      </c>
      <c r="E37" s="34">
        <v>31000</v>
      </c>
      <c r="F37" s="34">
        <f>ROUND(E37,0)</f>
        <v>31000</v>
      </c>
      <c r="G37" s="33">
        <f t="shared" si="1"/>
        <v>0</v>
      </c>
      <c r="H37" s="35"/>
      <c r="I37" s="33">
        <f>ROUND(F37,0)</f>
        <v>31000</v>
      </c>
      <c r="J37" s="33">
        <f t="shared" si="2"/>
        <v>0</v>
      </c>
      <c r="K37" s="35"/>
      <c r="L37" s="33">
        <f>ROUND(I37,0)</f>
        <v>31000</v>
      </c>
      <c r="M37" s="33">
        <f t="shared" si="3"/>
        <v>0</v>
      </c>
      <c r="N37" s="35"/>
      <c r="O37" s="33">
        <f>ROUND(L37,0)</f>
        <v>31000</v>
      </c>
      <c r="P37" s="33">
        <f t="shared" si="4"/>
        <v>0</v>
      </c>
      <c r="Q37" s="35"/>
      <c r="R37" s="33">
        <f>ROUND(O37,0)</f>
        <v>31000</v>
      </c>
      <c r="S37" s="33">
        <f t="shared" si="5"/>
        <v>0</v>
      </c>
      <c r="T37" s="35"/>
    </row>
    <row r="38" spans="1:20" ht="30" x14ac:dyDescent="0.25">
      <c r="B38" s="44" t="s">
        <v>107</v>
      </c>
      <c r="C38" s="31" t="s">
        <v>108</v>
      </c>
      <c r="D38" s="32" t="s">
        <v>109</v>
      </c>
      <c r="E38" s="34">
        <v>34000</v>
      </c>
      <c r="F38" s="34">
        <f>ROUND(E38,0)</f>
        <v>34000</v>
      </c>
      <c r="G38" s="33">
        <f t="shared" si="1"/>
        <v>0</v>
      </c>
      <c r="H38" s="35"/>
      <c r="I38" s="33">
        <f>ROUND(F38,0)</f>
        <v>34000</v>
      </c>
      <c r="J38" s="33">
        <f t="shared" si="2"/>
        <v>0</v>
      </c>
      <c r="K38" s="35"/>
      <c r="L38" s="33">
        <f>ROUND(I38,0)</f>
        <v>34000</v>
      </c>
      <c r="M38" s="33">
        <f t="shared" si="3"/>
        <v>0</v>
      </c>
      <c r="N38" s="35"/>
      <c r="O38" s="33">
        <f>ROUND(L38,0)</f>
        <v>34000</v>
      </c>
      <c r="P38" s="33">
        <f t="shared" si="4"/>
        <v>0</v>
      </c>
      <c r="Q38" s="35"/>
      <c r="R38" s="33">
        <f>ROUND(O38,0)</f>
        <v>34000</v>
      </c>
      <c r="S38" s="33">
        <f t="shared" si="5"/>
        <v>0</v>
      </c>
      <c r="T38" s="35"/>
    </row>
    <row r="39" spans="1:20" x14ac:dyDescent="0.25">
      <c r="B39" s="1" t="s">
        <v>110</v>
      </c>
      <c r="C39" s="37" t="s">
        <v>111</v>
      </c>
      <c r="D39" s="38" t="s">
        <v>112</v>
      </c>
      <c r="E39" s="40">
        <v>22453</v>
      </c>
      <c r="F39" s="40">
        <f>F40+F41+F42</f>
        <v>33317</v>
      </c>
      <c r="G39" s="39">
        <f t="shared" si="1"/>
        <v>10864</v>
      </c>
      <c r="H39" s="41"/>
      <c r="I39" s="39">
        <f>I40+I41+I42</f>
        <v>176317</v>
      </c>
      <c r="J39" s="39">
        <f t="shared" si="2"/>
        <v>143000</v>
      </c>
      <c r="K39" s="41"/>
      <c r="L39" s="39">
        <f>L40+L41+L42</f>
        <v>176317</v>
      </c>
      <c r="M39" s="39">
        <f t="shared" si="3"/>
        <v>0</v>
      </c>
      <c r="N39" s="41"/>
      <c r="O39" s="39">
        <f>O40+O41+O42</f>
        <v>176317</v>
      </c>
      <c r="P39" s="39">
        <f t="shared" si="4"/>
        <v>0</v>
      </c>
      <c r="Q39" s="41"/>
      <c r="R39" s="39">
        <f>R40+R41+R42</f>
        <v>176317</v>
      </c>
      <c r="S39" s="39">
        <f t="shared" si="5"/>
        <v>0</v>
      </c>
      <c r="T39" s="41"/>
    </row>
    <row r="40" spans="1:20" ht="29.45" customHeight="1" x14ac:dyDescent="0.25">
      <c r="A40" s="1" t="s">
        <v>23</v>
      </c>
      <c r="B40" s="3" t="s">
        <v>113</v>
      </c>
      <c r="C40" s="31" t="s">
        <v>114</v>
      </c>
      <c r="D40" s="50" t="s">
        <v>115</v>
      </c>
      <c r="E40" s="34">
        <v>16000</v>
      </c>
      <c r="F40" s="34">
        <f>ROUND(E40,0)+10864</f>
        <v>26864</v>
      </c>
      <c r="G40" s="33">
        <f t="shared" si="1"/>
        <v>10864</v>
      </c>
      <c r="H40" s="51" t="s">
        <v>116</v>
      </c>
      <c r="I40" s="33">
        <f>ROUND(F40,0)+143000</f>
        <v>169864</v>
      </c>
      <c r="J40" s="36">
        <f t="shared" si="2"/>
        <v>143000</v>
      </c>
      <c r="K40" s="52" t="s">
        <v>117</v>
      </c>
      <c r="L40" s="33">
        <f>ROUND(I40,0)</f>
        <v>169864</v>
      </c>
      <c r="M40" s="33">
        <f t="shared" si="3"/>
        <v>0</v>
      </c>
      <c r="N40" s="51"/>
      <c r="O40" s="33">
        <f>ROUND(L40,0)</f>
        <v>169864</v>
      </c>
      <c r="P40" s="33">
        <f t="shared" si="4"/>
        <v>0</v>
      </c>
      <c r="Q40" s="51"/>
      <c r="R40" s="33">
        <f>ROUND(O40,0)</f>
        <v>169864</v>
      </c>
      <c r="S40" s="33">
        <f t="shared" si="5"/>
        <v>0</v>
      </c>
      <c r="T40" s="51"/>
    </row>
    <row r="41" spans="1:20" ht="30" x14ac:dyDescent="0.25">
      <c r="B41" s="1" t="s">
        <v>118</v>
      </c>
      <c r="C41" s="31" t="s">
        <v>119</v>
      </c>
      <c r="D41" s="32" t="s">
        <v>120</v>
      </c>
      <c r="E41" s="34">
        <v>500</v>
      </c>
      <c r="F41" s="34">
        <f>ROUND(E41,0)</f>
        <v>500</v>
      </c>
      <c r="G41" s="33">
        <f t="shared" si="1"/>
        <v>0</v>
      </c>
      <c r="H41" s="51"/>
      <c r="I41" s="33">
        <f>ROUND(F41,0)</f>
        <v>500</v>
      </c>
      <c r="J41" s="33">
        <f t="shared" si="2"/>
        <v>0</v>
      </c>
      <c r="K41" s="51"/>
      <c r="L41" s="33">
        <f>ROUND(I41,0)</f>
        <v>500</v>
      </c>
      <c r="M41" s="33">
        <f t="shared" si="3"/>
        <v>0</v>
      </c>
      <c r="N41" s="51"/>
      <c r="O41" s="33">
        <f>ROUND(L41,0)</f>
        <v>500</v>
      </c>
      <c r="P41" s="33">
        <f t="shared" si="4"/>
        <v>0</v>
      </c>
      <c r="Q41" s="51"/>
      <c r="R41" s="33">
        <f>ROUND(O41,0)</f>
        <v>500</v>
      </c>
      <c r="S41" s="33">
        <f t="shared" si="5"/>
        <v>0</v>
      </c>
      <c r="T41" s="51"/>
    </row>
    <row r="42" spans="1:20" x14ac:dyDescent="0.25">
      <c r="C42" s="31" t="s">
        <v>121</v>
      </c>
      <c r="D42" s="32" t="s">
        <v>122</v>
      </c>
      <c r="E42" s="34">
        <v>5953</v>
      </c>
      <c r="F42" s="34">
        <f>ROUND(E42,0)</f>
        <v>5953</v>
      </c>
      <c r="G42" s="33">
        <f t="shared" si="1"/>
        <v>0</v>
      </c>
      <c r="H42" s="35"/>
      <c r="I42" s="33">
        <f>ROUND(F42,0)</f>
        <v>5953</v>
      </c>
      <c r="J42" s="33">
        <f t="shared" si="2"/>
        <v>0</v>
      </c>
      <c r="K42" s="35"/>
      <c r="L42" s="33">
        <f>ROUND(I42,0)</f>
        <v>5953</v>
      </c>
      <c r="M42" s="33">
        <f t="shared" si="3"/>
        <v>0</v>
      </c>
      <c r="N42" s="35"/>
      <c r="O42" s="33">
        <f>ROUND(L42,0)</f>
        <v>5953</v>
      </c>
      <c r="P42" s="33">
        <f t="shared" si="4"/>
        <v>0</v>
      </c>
      <c r="Q42" s="35"/>
      <c r="R42" s="33">
        <f>ROUND(O42,0)</f>
        <v>5953</v>
      </c>
      <c r="S42" s="33">
        <f t="shared" si="5"/>
        <v>0</v>
      </c>
      <c r="T42" s="35"/>
    </row>
    <row r="43" spans="1:20" ht="15" customHeight="1" x14ac:dyDescent="0.25">
      <c r="B43" s="1" t="s">
        <v>123</v>
      </c>
      <c r="C43" s="53" t="s">
        <v>124</v>
      </c>
      <c r="D43" s="38" t="s">
        <v>125</v>
      </c>
      <c r="E43" s="40">
        <v>433856</v>
      </c>
      <c r="F43" s="40">
        <f>ROUND(E43,0)</f>
        <v>433856</v>
      </c>
      <c r="G43" s="39">
        <f t="shared" si="1"/>
        <v>0</v>
      </c>
      <c r="H43" s="49"/>
      <c r="I43" s="39">
        <f>ROUND(F43,0)</f>
        <v>433856</v>
      </c>
      <c r="J43" s="39">
        <f t="shared" si="2"/>
        <v>0</v>
      </c>
      <c r="K43" s="49"/>
      <c r="L43" s="39">
        <f>ROUND(I43,0)</f>
        <v>433856</v>
      </c>
      <c r="M43" s="39">
        <f t="shared" si="3"/>
        <v>0</v>
      </c>
      <c r="N43" s="49"/>
      <c r="O43" s="39">
        <f>ROUND(L43,0)</f>
        <v>433856</v>
      </c>
      <c r="P43" s="39">
        <f t="shared" si="4"/>
        <v>0</v>
      </c>
      <c r="Q43" s="49"/>
      <c r="R43" s="39">
        <f>ROUND(O43,0)</f>
        <v>433856</v>
      </c>
      <c r="S43" s="39">
        <f t="shared" si="5"/>
        <v>0</v>
      </c>
      <c r="T43" s="49"/>
    </row>
    <row r="44" spans="1:20" x14ac:dyDescent="0.25">
      <c r="C44" s="53" t="s">
        <v>126</v>
      </c>
      <c r="D44" s="38" t="s">
        <v>127</v>
      </c>
      <c r="E44" s="40">
        <v>9528140.4900000002</v>
      </c>
      <c r="F44" s="40">
        <f t="shared" ref="F44" si="13">F45+F67+F88</f>
        <v>9575632</v>
      </c>
      <c r="G44" s="39">
        <f t="shared" si="1"/>
        <v>47491.509999999776</v>
      </c>
      <c r="H44" s="39"/>
      <c r="I44" s="39">
        <f>I45+I67+I88</f>
        <v>9633217</v>
      </c>
      <c r="J44" s="39">
        <f t="shared" si="2"/>
        <v>57585</v>
      </c>
      <c r="K44" s="39"/>
      <c r="L44" s="39">
        <f>L45+L67+L88</f>
        <v>9973168</v>
      </c>
      <c r="M44" s="39">
        <f t="shared" si="3"/>
        <v>339951</v>
      </c>
      <c r="N44" s="39"/>
      <c r="O44" s="39">
        <f>O45+O67+O88</f>
        <v>10023168</v>
      </c>
      <c r="P44" s="39">
        <f t="shared" si="4"/>
        <v>50000</v>
      </c>
      <c r="Q44" s="39"/>
      <c r="R44" s="39">
        <f>R45+R67+R88</f>
        <v>10063514</v>
      </c>
      <c r="S44" s="39">
        <f t="shared" si="5"/>
        <v>40346</v>
      </c>
      <c r="T44" s="39"/>
    </row>
    <row r="45" spans="1:20" ht="17.45" customHeight="1" x14ac:dyDescent="0.25">
      <c r="B45" s="30"/>
      <c r="C45" s="54" t="s">
        <v>128</v>
      </c>
      <c r="D45" s="55" t="s">
        <v>129</v>
      </c>
      <c r="E45" s="34">
        <v>7875899</v>
      </c>
      <c r="F45" s="34">
        <f t="shared" ref="F45" si="14">SUM(F46:F49)+F52+SUM(F56:F66)</f>
        <v>7923391</v>
      </c>
      <c r="G45" s="33">
        <f t="shared" si="1"/>
        <v>47492</v>
      </c>
      <c r="H45" s="33"/>
      <c r="I45" s="33">
        <f>SUM(I46:I49)+I52+SUM(I56:I66)</f>
        <v>7975976</v>
      </c>
      <c r="J45" s="33">
        <f t="shared" si="2"/>
        <v>52585</v>
      </c>
      <c r="K45" s="33"/>
      <c r="L45" s="33">
        <f>SUM(L46:L49)+L52+SUM(L56:L66)</f>
        <v>8315927</v>
      </c>
      <c r="M45" s="33">
        <f t="shared" si="3"/>
        <v>339951</v>
      </c>
      <c r="N45" s="33"/>
      <c r="O45" s="33">
        <f>SUM(O46:O49)+O52+SUM(O56:O66)</f>
        <v>8365927</v>
      </c>
      <c r="P45" s="33">
        <f t="shared" si="4"/>
        <v>50000</v>
      </c>
      <c r="Q45" s="33"/>
      <c r="R45" s="33">
        <f>SUM(R46:R49)+R52+SUM(R56:R66)</f>
        <v>8577592</v>
      </c>
      <c r="S45" s="33">
        <f t="shared" si="5"/>
        <v>211665</v>
      </c>
      <c r="T45" s="33"/>
    </row>
    <row r="46" spans="1:20" ht="16.899999999999999" customHeight="1" x14ac:dyDescent="0.25">
      <c r="A46" s="1" t="s">
        <v>130</v>
      </c>
      <c r="B46" s="1" t="s">
        <v>131</v>
      </c>
      <c r="C46" s="46" t="s">
        <v>132</v>
      </c>
      <c r="D46" s="32" t="s">
        <v>133</v>
      </c>
      <c r="E46" s="34">
        <v>593640</v>
      </c>
      <c r="F46" s="34">
        <f>ROUND(E46,0)+52289</f>
        <v>645929</v>
      </c>
      <c r="G46" s="33">
        <f t="shared" si="1"/>
        <v>52289</v>
      </c>
      <c r="H46" s="51" t="s">
        <v>134</v>
      </c>
      <c r="I46" s="33">
        <f>ROUND(F46,0)</f>
        <v>645929</v>
      </c>
      <c r="J46" s="33">
        <f t="shared" si="2"/>
        <v>0</v>
      </c>
      <c r="K46" s="51"/>
      <c r="L46" s="33">
        <f>ROUND(I46,0)</f>
        <v>645929</v>
      </c>
      <c r="M46" s="33">
        <f t="shared" si="3"/>
        <v>0</v>
      </c>
      <c r="N46" s="51"/>
      <c r="O46" s="33">
        <f>ROUND(L46,0)</f>
        <v>645929</v>
      </c>
      <c r="P46" s="33">
        <f t="shared" si="4"/>
        <v>0</v>
      </c>
      <c r="Q46" s="51"/>
      <c r="R46" s="33">
        <f>ROUND(O46,0)+29578</f>
        <v>675507</v>
      </c>
      <c r="S46" s="33">
        <f t="shared" si="5"/>
        <v>29578</v>
      </c>
      <c r="T46" s="51" t="s">
        <v>135</v>
      </c>
    </row>
    <row r="47" spans="1:20" ht="27" customHeight="1" x14ac:dyDescent="0.25">
      <c r="A47" s="1" t="s">
        <v>130</v>
      </c>
      <c r="B47" s="44" t="s">
        <v>136</v>
      </c>
      <c r="C47" s="46" t="s">
        <v>137</v>
      </c>
      <c r="D47" s="32" t="s">
        <v>138</v>
      </c>
      <c r="E47" s="34">
        <v>299288</v>
      </c>
      <c r="F47" s="34">
        <f>ROUND(E47,0)</f>
        <v>299288</v>
      </c>
      <c r="G47" s="33">
        <f t="shared" si="1"/>
        <v>0</v>
      </c>
      <c r="H47" s="35"/>
      <c r="I47" s="33">
        <f>ROUND(F47,0)</f>
        <v>299288</v>
      </c>
      <c r="J47" s="33">
        <f t="shared" si="2"/>
        <v>0</v>
      </c>
      <c r="K47" s="35"/>
      <c r="L47" s="33">
        <f>ROUND(I47,0)</f>
        <v>299288</v>
      </c>
      <c r="M47" s="33">
        <f t="shared" si="3"/>
        <v>0</v>
      </c>
      <c r="N47" s="35"/>
      <c r="O47" s="33">
        <f>ROUND(L47,0)</f>
        <v>299288</v>
      </c>
      <c r="P47" s="33">
        <f t="shared" si="4"/>
        <v>0</v>
      </c>
      <c r="Q47" s="35"/>
      <c r="R47" s="33">
        <f>ROUND(O47,0)+13302</f>
        <v>312590</v>
      </c>
      <c r="S47" s="33">
        <f t="shared" si="5"/>
        <v>13302</v>
      </c>
      <c r="T47" s="51" t="s">
        <v>139</v>
      </c>
    </row>
    <row r="48" spans="1:20" x14ac:dyDescent="0.25">
      <c r="B48" s="44" t="s">
        <v>140</v>
      </c>
      <c r="C48" s="46" t="s">
        <v>141</v>
      </c>
      <c r="D48" s="32" t="s">
        <v>142</v>
      </c>
      <c r="E48" s="34">
        <v>249276</v>
      </c>
      <c r="F48" s="34">
        <f>ROUND(E48,0)</f>
        <v>249276</v>
      </c>
      <c r="G48" s="33">
        <f t="shared" si="1"/>
        <v>0</v>
      </c>
      <c r="H48" s="51"/>
      <c r="I48" s="33">
        <f>ROUND(F48,0)</f>
        <v>249276</v>
      </c>
      <c r="J48" s="33">
        <f t="shared" si="2"/>
        <v>0</v>
      </c>
      <c r="K48" s="51"/>
      <c r="L48" s="33">
        <f>ROUND(I48,0)</f>
        <v>249276</v>
      </c>
      <c r="M48" s="33">
        <f t="shared" si="3"/>
        <v>0</v>
      </c>
      <c r="N48" s="51"/>
      <c r="O48" s="33">
        <f>ROUND(L48,0)</f>
        <v>249276</v>
      </c>
      <c r="P48" s="33">
        <f t="shared" si="4"/>
        <v>0</v>
      </c>
      <c r="Q48" s="51"/>
      <c r="R48" s="33">
        <f>ROUND(O48,0)</f>
        <v>249276</v>
      </c>
      <c r="S48" s="33">
        <f t="shared" si="5"/>
        <v>0</v>
      </c>
      <c r="T48" s="51"/>
    </row>
    <row r="49" spans="1:20" ht="14.25" customHeight="1" x14ac:dyDescent="0.25">
      <c r="A49" s="1" t="s">
        <v>130</v>
      </c>
      <c r="B49" s="44" t="s">
        <v>143</v>
      </c>
      <c r="C49" s="46" t="s">
        <v>144</v>
      </c>
      <c r="D49" s="32" t="s">
        <v>145</v>
      </c>
      <c r="E49" s="34">
        <v>0</v>
      </c>
      <c r="F49" s="34">
        <f t="shared" ref="F49" si="15">F50+F51</f>
        <v>0</v>
      </c>
      <c r="G49" s="33">
        <f t="shared" si="1"/>
        <v>0</v>
      </c>
      <c r="H49" s="33"/>
      <c r="I49" s="33">
        <f>I50+I51</f>
        <v>0</v>
      </c>
      <c r="J49" s="33">
        <f t="shared" si="2"/>
        <v>0</v>
      </c>
      <c r="K49" s="33"/>
      <c r="L49" s="33">
        <f>L50+L51</f>
        <v>63466</v>
      </c>
      <c r="M49" s="33">
        <f t="shared" si="3"/>
        <v>63466</v>
      </c>
      <c r="N49" s="33"/>
      <c r="O49" s="33">
        <f>O50+O51</f>
        <v>63466</v>
      </c>
      <c r="P49" s="33">
        <f t="shared" si="4"/>
        <v>0</v>
      </c>
      <c r="Q49" s="33"/>
      <c r="R49" s="33">
        <f>R50+R51</f>
        <v>63466</v>
      </c>
      <c r="S49" s="33">
        <f t="shared" si="5"/>
        <v>0</v>
      </c>
      <c r="T49" s="33"/>
    </row>
    <row r="50" spans="1:20" ht="14.25" customHeight="1" x14ac:dyDescent="0.25">
      <c r="B50" s="44"/>
      <c r="C50" s="46" t="s">
        <v>146</v>
      </c>
      <c r="D50" s="47" t="s">
        <v>147</v>
      </c>
      <c r="E50" s="34"/>
      <c r="F50" s="34"/>
      <c r="G50" s="33">
        <f t="shared" si="1"/>
        <v>0</v>
      </c>
      <c r="H50" s="51"/>
      <c r="I50" s="33"/>
      <c r="J50" s="33">
        <f t="shared" si="2"/>
        <v>0</v>
      </c>
      <c r="K50" s="51"/>
      <c r="L50" s="33">
        <f>41084+1240+10652+4493+1870+2968+1159</f>
        <v>63466</v>
      </c>
      <c r="M50" s="33">
        <f t="shared" si="3"/>
        <v>63466</v>
      </c>
      <c r="N50" s="51" t="s">
        <v>148</v>
      </c>
      <c r="O50" s="33">
        <f>41084+1240+10652+4493+1870+2968+1159</f>
        <v>63466</v>
      </c>
      <c r="P50" s="33">
        <f t="shared" si="4"/>
        <v>0</v>
      </c>
      <c r="Q50" s="51"/>
      <c r="R50" s="33">
        <f>41084+1240+10652+4493+1870+2968+1159</f>
        <v>63466</v>
      </c>
      <c r="S50" s="33">
        <f t="shared" si="5"/>
        <v>0</v>
      </c>
      <c r="T50" s="51"/>
    </row>
    <row r="51" spans="1:20" ht="17.45" customHeight="1" x14ac:dyDescent="0.25">
      <c r="B51" s="44"/>
      <c r="C51" s="46" t="s">
        <v>149</v>
      </c>
      <c r="D51" s="47" t="s">
        <v>150</v>
      </c>
      <c r="E51" s="34"/>
      <c r="F51" s="34"/>
      <c r="G51" s="33">
        <f t="shared" si="1"/>
        <v>0</v>
      </c>
      <c r="H51" s="51"/>
      <c r="I51" s="33"/>
      <c r="J51" s="33">
        <f t="shared" si="2"/>
        <v>0</v>
      </c>
      <c r="K51" s="51"/>
      <c r="L51" s="33"/>
      <c r="M51" s="33">
        <f t="shared" si="3"/>
        <v>0</v>
      </c>
      <c r="N51" s="51"/>
      <c r="O51" s="33"/>
      <c r="P51" s="33">
        <f t="shared" si="4"/>
        <v>0</v>
      </c>
      <c r="Q51" s="51"/>
      <c r="R51" s="33"/>
      <c r="S51" s="33">
        <f t="shared" si="5"/>
        <v>0</v>
      </c>
      <c r="T51" s="51"/>
    </row>
    <row r="52" spans="1:20" ht="13.9" customHeight="1" x14ac:dyDescent="0.25">
      <c r="B52" s="1" t="s">
        <v>151</v>
      </c>
      <c r="C52" s="46" t="s">
        <v>152</v>
      </c>
      <c r="D52" s="32" t="s">
        <v>153</v>
      </c>
      <c r="E52" s="58">
        <v>5320740</v>
      </c>
      <c r="F52" s="58">
        <f>F53+F54+F55</f>
        <v>5320740</v>
      </c>
      <c r="G52" s="57">
        <f t="shared" si="1"/>
        <v>0</v>
      </c>
      <c r="H52" s="59"/>
      <c r="I52" s="57">
        <f>I53+I54+I55</f>
        <v>5320740</v>
      </c>
      <c r="J52" s="57">
        <f t="shared" si="2"/>
        <v>0</v>
      </c>
      <c r="K52" s="59"/>
      <c r="L52" s="57">
        <f>L53+L54+L55</f>
        <v>5320740</v>
      </c>
      <c r="M52" s="57">
        <f t="shared" si="3"/>
        <v>0</v>
      </c>
      <c r="N52" s="59"/>
      <c r="O52" s="57">
        <f>O53+O54+O55</f>
        <v>5320740</v>
      </c>
      <c r="P52" s="57">
        <f t="shared" si="4"/>
        <v>0</v>
      </c>
      <c r="Q52" s="59"/>
      <c r="R52" s="57">
        <f>R53+R54+R55</f>
        <v>5441043</v>
      </c>
      <c r="S52" s="57">
        <f t="shared" si="5"/>
        <v>120303</v>
      </c>
      <c r="T52" s="59"/>
    </row>
    <row r="53" spans="1:20" s="63" customFormat="1" x14ac:dyDescent="0.25">
      <c r="A53" s="1" t="s">
        <v>130</v>
      </c>
      <c r="B53" s="44" t="s">
        <v>154</v>
      </c>
      <c r="C53" s="46" t="s">
        <v>155</v>
      </c>
      <c r="D53" s="47" t="s">
        <v>156</v>
      </c>
      <c r="E53" s="61">
        <v>723948</v>
      </c>
      <c r="F53" s="61">
        <f t="shared" ref="F53:F65" si="16">ROUND(E53,0)</f>
        <v>723948</v>
      </c>
      <c r="G53" s="60">
        <f t="shared" si="1"/>
        <v>0</v>
      </c>
      <c r="H53" s="62"/>
      <c r="I53" s="60">
        <f t="shared" ref="I53:I60" si="17">ROUND(F53,0)</f>
        <v>723948</v>
      </c>
      <c r="J53" s="60">
        <f t="shared" si="2"/>
        <v>0</v>
      </c>
      <c r="K53" s="62"/>
      <c r="L53" s="60">
        <f t="shared" ref="L53:L60" si="18">ROUND(I53,0)</f>
        <v>723948</v>
      </c>
      <c r="M53" s="60">
        <f t="shared" si="3"/>
        <v>0</v>
      </c>
      <c r="N53" s="62"/>
      <c r="O53" s="60">
        <f t="shared" ref="O53:O60" si="19">ROUND(L53,0)</f>
        <v>723948</v>
      </c>
      <c r="P53" s="60">
        <f t="shared" si="4"/>
        <v>0</v>
      </c>
      <c r="Q53" s="62"/>
      <c r="R53" s="60">
        <f>ROUND(O53,0)+52259+1840</f>
        <v>778047</v>
      </c>
      <c r="S53" s="60">
        <f t="shared" si="5"/>
        <v>54099</v>
      </c>
      <c r="T53" s="62" t="s">
        <v>135</v>
      </c>
    </row>
    <row r="54" spans="1:20" s="63" customFormat="1" x14ac:dyDescent="0.25">
      <c r="A54" s="1" t="s">
        <v>130</v>
      </c>
      <c r="B54" s="44" t="s">
        <v>157</v>
      </c>
      <c r="C54" s="46" t="s">
        <v>158</v>
      </c>
      <c r="D54" s="47" t="s">
        <v>159</v>
      </c>
      <c r="E54" s="61">
        <v>4279428</v>
      </c>
      <c r="F54" s="61">
        <f>ROUND(E54,0)</f>
        <v>4279428</v>
      </c>
      <c r="G54" s="60">
        <f t="shared" si="1"/>
        <v>0</v>
      </c>
      <c r="H54" s="62"/>
      <c r="I54" s="60">
        <f t="shared" si="17"/>
        <v>4279428</v>
      </c>
      <c r="J54" s="60">
        <f t="shared" si="2"/>
        <v>0</v>
      </c>
      <c r="K54" s="62"/>
      <c r="L54" s="60">
        <f t="shared" si="18"/>
        <v>4279428</v>
      </c>
      <c r="M54" s="60">
        <f t="shared" si="3"/>
        <v>0</v>
      </c>
      <c r="N54" s="62"/>
      <c r="O54" s="60">
        <f t="shared" si="19"/>
        <v>4279428</v>
      </c>
      <c r="P54" s="60">
        <f t="shared" si="4"/>
        <v>0</v>
      </c>
      <c r="Q54" s="62"/>
      <c r="R54" s="60">
        <f>ROUND(O54,0)+67540+5175</f>
        <v>4352143</v>
      </c>
      <c r="S54" s="60">
        <f t="shared" si="5"/>
        <v>72715</v>
      </c>
      <c r="T54" s="62" t="s">
        <v>135</v>
      </c>
    </row>
    <row r="55" spans="1:20" s="63" customFormat="1" x14ac:dyDescent="0.25">
      <c r="A55" s="1" t="s">
        <v>130</v>
      </c>
      <c r="B55" s="1"/>
      <c r="C55" s="46" t="s">
        <v>160</v>
      </c>
      <c r="D55" s="47" t="s">
        <v>161</v>
      </c>
      <c r="E55" s="61">
        <v>317364</v>
      </c>
      <c r="F55" s="61">
        <f t="shared" si="16"/>
        <v>317364</v>
      </c>
      <c r="G55" s="64">
        <f t="shared" si="1"/>
        <v>0</v>
      </c>
      <c r="H55" s="65"/>
      <c r="I55" s="60">
        <f t="shared" si="17"/>
        <v>317364</v>
      </c>
      <c r="J55" s="64">
        <f t="shared" si="2"/>
        <v>0</v>
      </c>
      <c r="K55" s="65"/>
      <c r="L55" s="60">
        <f t="shared" si="18"/>
        <v>317364</v>
      </c>
      <c r="M55" s="64">
        <f t="shared" si="3"/>
        <v>0</v>
      </c>
      <c r="N55" s="65"/>
      <c r="O55" s="60">
        <f t="shared" si="19"/>
        <v>317364</v>
      </c>
      <c r="P55" s="64">
        <f t="shared" si="4"/>
        <v>0</v>
      </c>
      <c r="Q55" s="65"/>
      <c r="R55" s="60">
        <f>ROUND(O55,0)-6511</f>
        <v>310853</v>
      </c>
      <c r="S55" s="64">
        <f t="shared" si="5"/>
        <v>-6511</v>
      </c>
      <c r="T55" s="65" t="s">
        <v>135</v>
      </c>
    </row>
    <row r="56" spans="1:20" ht="31.5" customHeight="1" x14ac:dyDescent="0.25">
      <c r="A56" s="1" t="s">
        <v>130</v>
      </c>
      <c r="B56" s="1" t="s">
        <v>162</v>
      </c>
      <c r="C56" s="46" t="s">
        <v>163</v>
      </c>
      <c r="D56" s="32" t="s">
        <v>164</v>
      </c>
      <c r="E56" s="34">
        <v>13088</v>
      </c>
      <c r="F56" s="34">
        <f t="shared" si="16"/>
        <v>13088</v>
      </c>
      <c r="G56" s="33">
        <f t="shared" si="1"/>
        <v>0</v>
      </c>
      <c r="H56" s="42"/>
      <c r="I56" s="33">
        <f t="shared" si="17"/>
        <v>13088</v>
      </c>
      <c r="J56" s="33">
        <f t="shared" si="2"/>
        <v>0</v>
      </c>
      <c r="K56" s="42"/>
      <c r="L56" s="33">
        <f t="shared" si="18"/>
        <v>13088</v>
      </c>
      <c r="M56" s="33">
        <f t="shared" si="3"/>
        <v>0</v>
      </c>
      <c r="N56" s="42"/>
      <c r="O56" s="33">
        <f t="shared" si="19"/>
        <v>13088</v>
      </c>
      <c r="P56" s="33">
        <f t="shared" si="4"/>
        <v>0</v>
      </c>
      <c r="Q56" s="42"/>
      <c r="R56" s="33">
        <f t="shared" ref="R56:R60" si="20">ROUND(O56,0)</f>
        <v>13088</v>
      </c>
      <c r="S56" s="33">
        <f t="shared" si="5"/>
        <v>0</v>
      </c>
      <c r="T56" s="42"/>
    </row>
    <row r="57" spans="1:20" ht="19.149999999999999" customHeight="1" x14ac:dyDescent="0.25">
      <c r="A57" s="1" t="s">
        <v>130</v>
      </c>
      <c r="B57" s="44" t="s">
        <v>165</v>
      </c>
      <c r="C57" s="46" t="s">
        <v>166</v>
      </c>
      <c r="D57" s="32" t="s">
        <v>167</v>
      </c>
      <c r="E57" s="34">
        <v>16104</v>
      </c>
      <c r="F57" s="34">
        <f>ROUND(E57,0)-2011</f>
        <v>14093</v>
      </c>
      <c r="G57" s="33">
        <f t="shared" si="1"/>
        <v>-2011</v>
      </c>
      <c r="H57" s="35" t="s">
        <v>168</v>
      </c>
      <c r="I57" s="33">
        <f t="shared" si="17"/>
        <v>14093</v>
      </c>
      <c r="J57" s="33">
        <f t="shared" si="2"/>
        <v>0</v>
      </c>
      <c r="K57" s="35"/>
      <c r="L57" s="33">
        <f t="shared" si="18"/>
        <v>14093</v>
      </c>
      <c r="M57" s="33">
        <f t="shared" si="3"/>
        <v>0</v>
      </c>
      <c r="N57" s="35"/>
      <c r="O57" s="33">
        <f t="shared" si="19"/>
        <v>14093</v>
      </c>
      <c r="P57" s="33">
        <f t="shared" si="4"/>
        <v>0</v>
      </c>
      <c r="Q57" s="35"/>
      <c r="R57" s="33">
        <f>ROUND(O57,0)+14485</f>
        <v>28578</v>
      </c>
      <c r="S57" s="33">
        <f t="shared" si="5"/>
        <v>14485</v>
      </c>
      <c r="T57" s="347" t="s">
        <v>169</v>
      </c>
    </row>
    <row r="58" spans="1:20" ht="19.149999999999999" customHeight="1" x14ac:dyDescent="0.25">
      <c r="B58" s="44"/>
      <c r="C58" s="46" t="s">
        <v>170</v>
      </c>
      <c r="D58" s="32" t="s">
        <v>171</v>
      </c>
      <c r="E58" s="34">
        <v>6454</v>
      </c>
      <c r="F58" s="34">
        <f>ROUND(E58,0)-2786</f>
        <v>3668</v>
      </c>
      <c r="G58" s="33">
        <f t="shared" si="1"/>
        <v>-2786</v>
      </c>
      <c r="H58" s="35" t="s">
        <v>168</v>
      </c>
      <c r="I58" s="33">
        <f t="shared" si="17"/>
        <v>3668</v>
      </c>
      <c r="J58" s="33">
        <f t="shared" si="2"/>
        <v>0</v>
      </c>
      <c r="K58" s="35"/>
      <c r="L58" s="33">
        <f t="shared" si="18"/>
        <v>3668</v>
      </c>
      <c r="M58" s="33">
        <f t="shared" si="3"/>
        <v>0</v>
      </c>
      <c r="N58" s="35"/>
      <c r="O58" s="33">
        <f t="shared" si="19"/>
        <v>3668</v>
      </c>
      <c r="P58" s="33">
        <f t="shared" si="4"/>
        <v>0</v>
      </c>
      <c r="Q58" s="35"/>
      <c r="R58" s="33">
        <f>ROUND(O58,0)+3997</f>
        <v>7665</v>
      </c>
      <c r="S58" s="33">
        <f t="shared" si="5"/>
        <v>3997</v>
      </c>
      <c r="T58" s="348"/>
    </row>
    <row r="59" spans="1:20" ht="18.600000000000001" customHeight="1" x14ac:dyDescent="0.25">
      <c r="B59" s="1" t="s">
        <v>172</v>
      </c>
      <c r="C59" s="46" t="s">
        <v>173</v>
      </c>
      <c r="D59" s="32" t="s">
        <v>174</v>
      </c>
      <c r="E59" s="34">
        <v>421092</v>
      </c>
      <c r="F59" s="34">
        <f t="shared" si="16"/>
        <v>421092</v>
      </c>
      <c r="G59" s="33">
        <f t="shared" si="1"/>
        <v>0</v>
      </c>
      <c r="H59" s="51"/>
      <c r="I59" s="33">
        <f t="shared" si="17"/>
        <v>421092</v>
      </c>
      <c r="J59" s="33">
        <f t="shared" si="2"/>
        <v>0</v>
      </c>
      <c r="K59" s="51"/>
      <c r="L59" s="33">
        <f t="shared" si="18"/>
        <v>421092</v>
      </c>
      <c r="M59" s="33">
        <f t="shared" si="3"/>
        <v>0</v>
      </c>
      <c r="N59" s="51"/>
      <c r="O59" s="33">
        <f t="shared" si="19"/>
        <v>421092</v>
      </c>
      <c r="P59" s="33">
        <f t="shared" si="4"/>
        <v>0</v>
      </c>
      <c r="Q59" s="51"/>
      <c r="R59" s="33">
        <f t="shared" si="20"/>
        <v>421092</v>
      </c>
      <c r="S59" s="33">
        <f t="shared" si="5"/>
        <v>0</v>
      </c>
      <c r="T59" s="51"/>
    </row>
    <row r="60" spans="1:20" ht="31.5" customHeight="1" x14ac:dyDescent="0.25">
      <c r="C60" s="46" t="s">
        <v>175</v>
      </c>
      <c r="D60" s="66" t="s">
        <v>176</v>
      </c>
      <c r="E60" s="34">
        <v>25954</v>
      </c>
      <c r="F60" s="34">
        <f t="shared" si="16"/>
        <v>25954</v>
      </c>
      <c r="G60" s="33">
        <f t="shared" si="1"/>
        <v>0</v>
      </c>
      <c r="H60" s="35"/>
      <c r="I60" s="33">
        <f t="shared" si="17"/>
        <v>25954</v>
      </c>
      <c r="J60" s="33">
        <f t="shared" si="2"/>
        <v>0</v>
      </c>
      <c r="K60" s="35"/>
      <c r="L60" s="33">
        <f t="shared" si="18"/>
        <v>25954</v>
      </c>
      <c r="M60" s="33">
        <f t="shared" si="3"/>
        <v>0</v>
      </c>
      <c r="N60" s="35"/>
      <c r="O60" s="33">
        <f t="shared" si="19"/>
        <v>25954</v>
      </c>
      <c r="P60" s="33">
        <f t="shared" si="4"/>
        <v>0</v>
      </c>
      <c r="Q60" s="35"/>
      <c r="R60" s="33">
        <f t="shared" si="20"/>
        <v>25954</v>
      </c>
      <c r="S60" s="33">
        <f t="shared" si="5"/>
        <v>0</v>
      </c>
      <c r="T60" s="35"/>
    </row>
    <row r="61" spans="1:20" ht="31.5" hidden="1" customHeight="1" outlineLevel="1" x14ac:dyDescent="0.25">
      <c r="C61" s="46"/>
      <c r="D61" s="32" t="s">
        <v>177</v>
      </c>
      <c r="E61" s="34"/>
      <c r="F61" s="34"/>
      <c r="G61" s="33"/>
      <c r="H61" s="35"/>
      <c r="I61" s="33"/>
      <c r="J61" s="33">
        <f t="shared" si="2"/>
        <v>0</v>
      </c>
      <c r="K61" s="35"/>
      <c r="L61" s="33"/>
      <c r="M61" s="33">
        <f t="shared" si="3"/>
        <v>0</v>
      </c>
      <c r="N61" s="35"/>
      <c r="O61" s="33"/>
      <c r="P61" s="33">
        <f t="shared" si="4"/>
        <v>0</v>
      </c>
      <c r="Q61" s="35"/>
      <c r="R61" s="33"/>
      <c r="S61" s="33">
        <f t="shared" si="5"/>
        <v>0</v>
      </c>
      <c r="T61" s="35"/>
    </row>
    <row r="62" spans="1:20" ht="16.5" customHeight="1" collapsed="1" x14ac:dyDescent="0.25">
      <c r="B62" s="67" t="s">
        <v>178</v>
      </c>
      <c r="C62" s="46" t="s">
        <v>179</v>
      </c>
      <c r="D62" s="68" t="s">
        <v>180</v>
      </c>
      <c r="E62" s="34">
        <v>342263</v>
      </c>
      <c r="F62" s="34">
        <f t="shared" si="16"/>
        <v>342263</v>
      </c>
      <c r="G62" s="33">
        <f t="shared" si="1"/>
        <v>0</v>
      </c>
      <c r="H62" s="35"/>
      <c r="I62" s="33">
        <f>ROUND(F62,0)+32585</f>
        <v>374848</v>
      </c>
      <c r="J62" s="33">
        <f t="shared" si="2"/>
        <v>32585</v>
      </c>
      <c r="K62" s="35" t="s">
        <v>181</v>
      </c>
      <c r="L62" s="33">
        <f>ROUND(I62,0)</f>
        <v>374848</v>
      </c>
      <c r="M62" s="33">
        <f t="shared" si="3"/>
        <v>0</v>
      </c>
      <c r="N62" s="35"/>
      <c r="O62" s="33">
        <f>ROUND(L62,0)</f>
        <v>374848</v>
      </c>
      <c r="P62" s="33">
        <f t="shared" si="4"/>
        <v>0</v>
      </c>
      <c r="Q62" s="35"/>
      <c r="R62" s="33">
        <f>ROUND(O62,0)</f>
        <v>374848</v>
      </c>
      <c r="S62" s="33">
        <f t="shared" si="5"/>
        <v>0</v>
      </c>
      <c r="T62" s="35"/>
    </row>
    <row r="63" spans="1:20" ht="45" customHeight="1" x14ac:dyDescent="0.25">
      <c r="C63" s="46"/>
      <c r="D63" s="32" t="s">
        <v>182</v>
      </c>
      <c r="E63" s="34">
        <v>0</v>
      </c>
      <c r="F63" s="34">
        <f t="shared" si="16"/>
        <v>0</v>
      </c>
      <c r="G63" s="33">
        <f t="shared" si="1"/>
        <v>0</v>
      </c>
      <c r="H63" s="51"/>
      <c r="I63" s="33">
        <f>ROUND(F63,0)</f>
        <v>0</v>
      </c>
      <c r="J63" s="33">
        <f t="shared" si="2"/>
        <v>0</v>
      </c>
      <c r="K63" s="51"/>
      <c r="L63" s="33">
        <f>ROUND(I63,0)</f>
        <v>0</v>
      </c>
      <c r="M63" s="33">
        <f t="shared" si="3"/>
        <v>0</v>
      </c>
      <c r="N63" s="51"/>
      <c r="O63" s="33">
        <f>ROUND(L63,0)</f>
        <v>0</v>
      </c>
      <c r="P63" s="33">
        <f t="shared" si="4"/>
        <v>0</v>
      </c>
      <c r="Q63" s="51"/>
      <c r="R63" s="33">
        <f>ROUND(O63,0)</f>
        <v>0</v>
      </c>
      <c r="S63" s="33">
        <f t="shared" si="5"/>
        <v>0</v>
      </c>
      <c r="T63" s="51"/>
    </row>
    <row r="64" spans="1:20" ht="15.6" customHeight="1" x14ac:dyDescent="0.25">
      <c r="C64" s="46" t="s">
        <v>183</v>
      </c>
      <c r="D64" s="32" t="s">
        <v>184</v>
      </c>
      <c r="E64" s="34">
        <v>50000</v>
      </c>
      <c r="F64" s="34">
        <f t="shared" si="16"/>
        <v>50000</v>
      </c>
      <c r="G64" s="33">
        <f t="shared" si="1"/>
        <v>0</v>
      </c>
      <c r="H64" s="51"/>
      <c r="I64" s="33">
        <f>ROUND(F64,0)+20000</f>
        <v>70000</v>
      </c>
      <c r="J64" s="33">
        <f t="shared" si="2"/>
        <v>20000</v>
      </c>
      <c r="K64" s="51" t="s">
        <v>185</v>
      </c>
      <c r="L64" s="33">
        <f>ROUND(I64,0)</f>
        <v>70000</v>
      </c>
      <c r="M64" s="33">
        <f t="shared" si="3"/>
        <v>0</v>
      </c>
      <c r="N64" s="51"/>
      <c r="O64" s="33">
        <f>ROUND(L64,0)+50000</f>
        <v>120000</v>
      </c>
      <c r="P64" s="33">
        <f t="shared" si="4"/>
        <v>50000</v>
      </c>
      <c r="Q64" s="69" t="s">
        <v>185</v>
      </c>
      <c r="R64" s="33">
        <f>ROUND(O64,0)+30000</f>
        <v>150000</v>
      </c>
      <c r="S64" s="33">
        <f t="shared" si="5"/>
        <v>30000</v>
      </c>
      <c r="T64" s="51" t="s">
        <v>185</v>
      </c>
    </row>
    <row r="65" spans="1:20" ht="17.45" customHeight="1" x14ac:dyDescent="0.25">
      <c r="B65" s="1" t="s">
        <v>151</v>
      </c>
      <c r="C65" s="46" t="s">
        <v>186</v>
      </c>
      <c r="D65" s="32" t="s">
        <v>187</v>
      </c>
      <c r="E65" s="34">
        <v>400000</v>
      </c>
      <c r="F65" s="34">
        <f t="shared" si="16"/>
        <v>400000</v>
      </c>
      <c r="G65" s="33">
        <f t="shared" si="1"/>
        <v>0</v>
      </c>
      <c r="H65" s="51"/>
      <c r="I65" s="33">
        <f>ROUND(F65,0)</f>
        <v>400000</v>
      </c>
      <c r="J65" s="33">
        <f t="shared" si="2"/>
        <v>0</v>
      </c>
      <c r="K65" s="51"/>
      <c r="L65" s="33">
        <f>ROUND(I65,0)+263500</f>
        <v>663500</v>
      </c>
      <c r="M65" s="33">
        <f t="shared" si="3"/>
        <v>263500</v>
      </c>
      <c r="N65" s="51" t="s">
        <v>188</v>
      </c>
      <c r="O65" s="33">
        <f>ROUND(L65,0)</f>
        <v>663500</v>
      </c>
      <c r="P65" s="33">
        <f t="shared" si="4"/>
        <v>0</v>
      </c>
      <c r="Q65" s="51"/>
      <c r="R65" s="33">
        <f>ROUND(O65,0)</f>
        <v>663500</v>
      </c>
      <c r="S65" s="33">
        <f t="shared" si="5"/>
        <v>0</v>
      </c>
      <c r="T65" s="51"/>
    </row>
    <row r="66" spans="1:20" ht="43.9" customHeight="1" x14ac:dyDescent="0.25">
      <c r="A66" s="67" t="s">
        <v>189</v>
      </c>
      <c r="B66" s="1" t="s">
        <v>190</v>
      </c>
      <c r="C66" s="46" t="s">
        <v>191</v>
      </c>
      <c r="D66" s="32" t="s">
        <v>192</v>
      </c>
      <c r="E66" s="34">
        <v>138000</v>
      </c>
      <c r="F66" s="34">
        <f>ROUND(E66,0)</f>
        <v>138000</v>
      </c>
      <c r="G66" s="33">
        <f t="shared" si="1"/>
        <v>0</v>
      </c>
      <c r="H66" s="51"/>
      <c r="I66" s="33">
        <f>ROUND(F66,0)</f>
        <v>138000</v>
      </c>
      <c r="J66" s="33">
        <f t="shared" si="2"/>
        <v>0</v>
      </c>
      <c r="K66" s="51"/>
      <c r="L66" s="33">
        <f>ROUND(I66,0)+5841+7144</f>
        <v>150985</v>
      </c>
      <c r="M66" s="33">
        <f t="shared" si="3"/>
        <v>12985</v>
      </c>
      <c r="N66" s="51" t="s">
        <v>193</v>
      </c>
      <c r="O66" s="33">
        <f>ROUND(L66,0)</f>
        <v>150985</v>
      </c>
      <c r="P66" s="33">
        <f t="shared" si="4"/>
        <v>0</v>
      </c>
      <c r="Q66" s="51"/>
      <c r="R66" s="33">
        <f>ROUND(O66,0)</f>
        <v>150985</v>
      </c>
      <c r="S66" s="33">
        <f t="shared" si="5"/>
        <v>0</v>
      </c>
      <c r="T66" s="51"/>
    </row>
    <row r="67" spans="1:20" ht="32.25" customHeight="1" x14ac:dyDescent="0.25">
      <c r="C67" s="54" t="s">
        <v>194</v>
      </c>
      <c r="D67" s="55" t="s">
        <v>195</v>
      </c>
      <c r="E67" s="70">
        <v>1652241.49</v>
      </c>
      <c r="F67" s="70">
        <f>SUM(F68:F87)</f>
        <v>1652241</v>
      </c>
      <c r="G67" s="56">
        <f t="shared" si="1"/>
        <v>-0.48999999999068677</v>
      </c>
      <c r="H67" s="71"/>
      <c r="I67" s="56">
        <f>SUM(I68:I87)</f>
        <v>1657241</v>
      </c>
      <c r="J67" s="56">
        <f t="shared" si="2"/>
        <v>5000</v>
      </c>
      <c r="K67" s="71"/>
      <c r="L67" s="56">
        <f>SUM(L68:L87)</f>
        <v>1657241</v>
      </c>
      <c r="M67" s="56">
        <f t="shared" si="3"/>
        <v>0</v>
      </c>
      <c r="N67" s="71"/>
      <c r="O67" s="56">
        <f>SUM(O68:O87)</f>
        <v>1657241</v>
      </c>
      <c r="P67" s="56">
        <f t="shared" si="4"/>
        <v>0</v>
      </c>
      <c r="Q67" s="71"/>
      <c r="R67" s="56">
        <f>SUM(R68:R87)</f>
        <v>1485922</v>
      </c>
      <c r="S67" s="56">
        <f t="shared" si="5"/>
        <v>-171319</v>
      </c>
      <c r="T67" s="71"/>
    </row>
    <row r="68" spans="1:20" x14ac:dyDescent="0.25">
      <c r="A68" s="1" t="s">
        <v>130</v>
      </c>
      <c r="B68" s="44" t="s">
        <v>196</v>
      </c>
      <c r="C68" s="46" t="s">
        <v>197</v>
      </c>
      <c r="D68" s="72" t="s">
        <v>198</v>
      </c>
      <c r="E68" s="34">
        <v>7417</v>
      </c>
      <c r="F68" s="34">
        <f t="shared" ref="F68:F88" si="21">ROUND(E68,0)</f>
        <v>7417</v>
      </c>
      <c r="G68" s="33">
        <f t="shared" si="1"/>
        <v>0</v>
      </c>
      <c r="H68" s="73"/>
      <c r="I68" s="33">
        <f t="shared" ref="I68:I81" si="22">ROUND(F68,0)</f>
        <v>7417</v>
      </c>
      <c r="J68" s="33">
        <f t="shared" si="2"/>
        <v>0</v>
      </c>
      <c r="K68" s="73"/>
      <c r="L68" s="33">
        <f t="shared" ref="L68:L81" si="23">ROUND(I68,0)</f>
        <v>7417</v>
      </c>
      <c r="M68" s="33">
        <f t="shared" si="3"/>
        <v>0</v>
      </c>
      <c r="N68" s="73"/>
      <c r="O68" s="33">
        <f t="shared" ref="O68:O81" si="24">ROUND(L68,0)</f>
        <v>7417</v>
      </c>
      <c r="P68" s="33">
        <f t="shared" si="4"/>
        <v>0</v>
      </c>
      <c r="Q68" s="73"/>
      <c r="R68" s="33">
        <f t="shared" ref="R68:R81" si="25">ROUND(O68,0)</f>
        <v>7417</v>
      </c>
      <c r="S68" s="33">
        <f t="shared" si="5"/>
        <v>0</v>
      </c>
      <c r="T68" s="73"/>
    </row>
    <row r="69" spans="1:20" x14ac:dyDescent="0.25">
      <c r="A69" s="1" t="s">
        <v>199</v>
      </c>
      <c r="B69" s="1" t="s">
        <v>200</v>
      </c>
      <c r="C69" s="46" t="s">
        <v>201</v>
      </c>
      <c r="D69" s="72" t="s">
        <v>202</v>
      </c>
      <c r="E69" s="34">
        <v>109839.1</v>
      </c>
      <c r="F69" s="34">
        <f t="shared" si="21"/>
        <v>109839</v>
      </c>
      <c r="G69" s="33">
        <f t="shared" si="1"/>
        <v>-0.10000000000582077</v>
      </c>
      <c r="H69" s="43"/>
      <c r="I69" s="33">
        <f t="shared" si="22"/>
        <v>109839</v>
      </c>
      <c r="J69" s="33">
        <f t="shared" si="2"/>
        <v>0</v>
      </c>
      <c r="K69" s="43"/>
      <c r="L69" s="33">
        <f t="shared" si="23"/>
        <v>109839</v>
      </c>
      <c r="M69" s="33">
        <f t="shared" si="3"/>
        <v>0</v>
      </c>
      <c r="N69" s="43"/>
      <c r="O69" s="33">
        <f t="shared" si="24"/>
        <v>109839</v>
      </c>
      <c r="P69" s="33">
        <f t="shared" si="4"/>
        <v>0</v>
      </c>
      <c r="Q69" s="43"/>
      <c r="R69" s="33">
        <f t="shared" si="25"/>
        <v>109839</v>
      </c>
      <c r="S69" s="33">
        <f t="shared" si="5"/>
        <v>0</v>
      </c>
      <c r="T69" s="43"/>
    </row>
    <row r="70" spans="1:20" ht="30" hidden="1" outlineLevel="1" x14ac:dyDescent="0.25">
      <c r="C70" s="46" t="s">
        <v>203</v>
      </c>
      <c r="D70" s="72" t="s">
        <v>204</v>
      </c>
      <c r="E70" s="34">
        <v>0</v>
      </c>
      <c r="F70" s="34">
        <f t="shared" si="21"/>
        <v>0</v>
      </c>
      <c r="G70" s="33">
        <f t="shared" si="1"/>
        <v>0</v>
      </c>
      <c r="H70" s="51"/>
      <c r="I70" s="33">
        <f t="shared" si="22"/>
        <v>0</v>
      </c>
      <c r="J70" s="33">
        <f t="shared" si="2"/>
        <v>0</v>
      </c>
      <c r="K70" s="51"/>
      <c r="L70" s="33">
        <f t="shared" si="23"/>
        <v>0</v>
      </c>
      <c r="M70" s="33">
        <f t="shared" si="3"/>
        <v>0</v>
      </c>
      <c r="N70" s="51"/>
      <c r="O70" s="33">
        <f t="shared" si="24"/>
        <v>0</v>
      </c>
      <c r="P70" s="33">
        <f t="shared" si="4"/>
        <v>0</v>
      </c>
      <c r="Q70" s="51"/>
      <c r="R70" s="33">
        <f t="shared" si="25"/>
        <v>0</v>
      </c>
      <c r="S70" s="33">
        <f t="shared" si="5"/>
        <v>0</v>
      </c>
      <c r="T70" s="51"/>
    </row>
    <row r="71" spans="1:20" ht="30" collapsed="1" x14ac:dyDescent="0.25">
      <c r="B71" s="75" t="s">
        <v>205</v>
      </c>
      <c r="C71" s="46" t="s">
        <v>206</v>
      </c>
      <c r="D71" s="72" t="s">
        <v>207</v>
      </c>
      <c r="E71" s="34">
        <v>0</v>
      </c>
      <c r="F71" s="34">
        <f t="shared" si="21"/>
        <v>0</v>
      </c>
      <c r="G71" s="33">
        <f t="shared" si="1"/>
        <v>0</v>
      </c>
      <c r="H71" s="43"/>
      <c r="I71" s="33">
        <f t="shared" si="22"/>
        <v>0</v>
      </c>
      <c r="J71" s="33">
        <f t="shared" si="2"/>
        <v>0</v>
      </c>
      <c r="K71" s="43"/>
      <c r="L71" s="33">
        <f t="shared" si="23"/>
        <v>0</v>
      </c>
      <c r="M71" s="33">
        <f t="shared" si="3"/>
        <v>0</v>
      </c>
      <c r="N71" s="43"/>
      <c r="O71" s="33">
        <f t="shared" si="24"/>
        <v>0</v>
      </c>
      <c r="P71" s="33">
        <f t="shared" si="4"/>
        <v>0</v>
      </c>
      <c r="Q71" s="43"/>
      <c r="R71" s="33">
        <f>ROUND(O71,0)+125926</f>
        <v>125926</v>
      </c>
      <c r="S71" s="33">
        <f t="shared" si="5"/>
        <v>125926</v>
      </c>
      <c r="T71" s="43" t="s">
        <v>208</v>
      </c>
    </row>
    <row r="72" spans="1:20" ht="30" x14ac:dyDescent="0.25">
      <c r="B72" s="1" t="s">
        <v>209</v>
      </c>
      <c r="C72" s="46" t="s">
        <v>210</v>
      </c>
      <c r="D72" s="72" t="s">
        <v>211</v>
      </c>
      <c r="E72" s="34">
        <v>0</v>
      </c>
      <c r="F72" s="34">
        <f t="shared" si="21"/>
        <v>0</v>
      </c>
      <c r="G72" s="33">
        <f t="shared" ref="G72:G127" si="26">F72-E72</f>
        <v>0</v>
      </c>
      <c r="H72" s="45"/>
      <c r="I72" s="33">
        <f t="shared" si="22"/>
        <v>0</v>
      </c>
      <c r="J72" s="33">
        <f t="shared" si="2"/>
        <v>0</v>
      </c>
      <c r="K72" s="45"/>
      <c r="L72" s="33">
        <f t="shared" si="23"/>
        <v>0</v>
      </c>
      <c r="M72" s="33">
        <f t="shared" si="3"/>
        <v>0</v>
      </c>
      <c r="N72" s="45"/>
      <c r="O72" s="33">
        <f t="shared" si="24"/>
        <v>0</v>
      </c>
      <c r="P72" s="33">
        <f t="shared" si="4"/>
        <v>0</v>
      </c>
      <c r="Q72" s="45"/>
      <c r="R72" s="33">
        <f t="shared" si="25"/>
        <v>0</v>
      </c>
      <c r="S72" s="33">
        <f t="shared" si="5"/>
        <v>0</v>
      </c>
      <c r="T72" s="45"/>
    </row>
    <row r="73" spans="1:20" ht="30" x14ac:dyDescent="0.25">
      <c r="B73" s="44" t="s">
        <v>212</v>
      </c>
      <c r="C73" s="46" t="s">
        <v>213</v>
      </c>
      <c r="D73" s="72" t="s">
        <v>214</v>
      </c>
      <c r="E73" s="34">
        <v>81714</v>
      </c>
      <c r="F73" s="34">
        <f t="shared" si="21"/>
        <v>81714</v>
      </c>
      <c r="G73" s="33">
        <f t="shared" si="26"/>
        <v>0</v>
      </c>
      <c r="H73" s="76"/>
      <c r="I73" s="33">
        <f t="shared" si="22"/>
        <v>81714</v>
      </c>
      <c r="J73" s="33">
        <f t="shared" ref="J73:J127" si="27">I73-F73</f>
        <v>0</v>
      </c>
      <c r="K73" s="76"/>
      <c r="L73" s="33">
        <f t="shared" si="23"/>
        <v>81714</v>
      </c>
      <c r="M73" s="33">
        <f t="shared" ref="M73:M127" si="28">L73-I73</f>
        <v>0</v>
      </c>
      <c r="N73" s="76"/>
      <c r="O73" s="33">
        <f t="shared" si="24"/>
        <v>81714</v>
      </c>
      <c r="P73" s="33">
        <f t="shared" ref="P73:P127" si="29">O73-L73</f>
        <v>0</v>
      </c>
      <c r="Q73" s="76"/>
      <c r="R73" s="33">
        <f t="shared" si="25"/>
        <v>81714</v>
      </c>
      <c r="S73" s="33">
        <f t="shared" ref="S73:S127" si="30">R73-O73</f>
        <v>0</v>
      </c>
      <c r="T73" s="76"/>
    </row>
    <row r="74" spans="1:20" ht="30" x14ac:dyDescent="0.25">
      <c r="B74" s="44"/>
      <c r="C74" s="46" t="s">
        <v>215</v>
      </c>
      <c r="D74" s="72" t="s">
        <v>216</v>
      </c>
      <c r="E74" s="34">
        <v>117147</v>
      </c>
      <c r="F74" s="34">
        <f t="shared" si="21"/>
        <v>117147</v>
      </c>
      <c r="G74" s="33">
        <f t="shared" si="26"/>
        <v>0</v>
      </c>
      <c r="H74" s="76"/>
      <c r="I74" s="33">
        <f t="shared" si="22"/>
        <v>117147</v>
      </c>
      <c r="J74" s="33">
        <f t="shared" si="27"/>
        <v>0</v>
      </c>
      <c r="K74" s="76"/>
      <c r="L74" s="33">
        <f t="shared" si="23"/>
        <v>117147</v>
      </c>
      <c r="M74" s="33">
        <f t="shared" si="28"/>
        <v>0</v>
      </c>
      <c r="N74" s="76"/>
      <c r="O74" s="33">
        <f t="shared" si="24"/>
        <v>117147</v>
      </c>
      <c r="P74" s="33">
        <f t="shared" si="29"/>
        <v>0</v>
      </c>
      <c r="Q74" s="76"/>
      <c r="R74" s="33">
        <f t="shared" si="25"/>
        <v>117147</v>
      </c>
      <c r="S74" s="33">
        <f t="shared" si="30"/>
        <v>0</v>
      </c>
      <c r="T74" s="76"/>
    </row>
    <row r="75" spans="1:20" x14ac:dyDescent="0.25">
      <c r="B75" s="44"/>
      <c r="C75" s="46" t="s">
        <v>217</v>
      </c>
      <c r="D75" s="72" t="s">
        <v>218</v>
      </c>
      <c r="E75" s="34">
        <v>291947</v>
      </c>
      <c r="F75" s="34">
        <f t="shared" si="21"/>
        <v>291947</v>
      </c>
      <c r="G75" s="33">
        <f t="shared" si="26"/>
        <v>0</v>
      </c>
      <c r="H75" s="76"/>
      <c r="I75" s="33">
        <f t="shared" si="22"/>
        <v>291947</v>
      </c>
      <c r="J75" s="33">
        <f t="shared" si="27"/>
        <v>0</v>
      </c>
      <c r="K75" s="76"/>
      <c r="L75" s="33">
        <f t="shared" si="23"/>
        <v>291947</v>
      </c>
      <c r="M75" s="33">
        <f t="shared" si="28"/>
        <v>0</v>
      </c>
      <c r="N75" s="76"/>
      <c r="O75" s="33">
        <f t="shared" si="24"/>
        <v>291947</v>
      </c>
      <c r="P75" s="33">
        <f t="shared" si="29"/>
        <v>0</v>
      </c>
      <c r="Q75" s="76"/>
      <c r="R75" s="33">
        <f t="shared" si="25"/>
        <v>291947</v>
      </c>
      <c r="S75" s="33">
        <f t="shared" si="30"/>
        <v>0</v>
      </c>
      <c r="T75" s="76"/>
    </row>
    <row r="76" spans="1:20" ht="30" x14ac:dyDescent="0.25">
      <c r="A76" s="1" t="s">
        <v>219</v>
      </c>
      <c r="B76" s="77" t="s">
        <v>220</v>
      </c>
      <c r="C76" s="46" t="s">
        <v>221</v>
      </c>
      <c r="D76" s="72" t="s">
        <v>222</v>
      </c>
      <c r="E76" s="34">
        <v>104321.39</v>
      </c>
      <c r="F76" s="34">
        <f t="shared" si="21"/>
        <v>104321</v>
      </c>
      <c r="G76" s="33">
        <f t="shared" si="26"/>
        <v>-0.38999999999941792</v>
      </c>
      <c r="H76" s="76"/>
      <c r="I76" s="33">
        <f t="shared" si="22"/>
        <v>104321</v>
      </c>
      <c r="J76" s="33">
        <f t="shared" si="27"/>
        <v>0</v>
      </c>
      <c r="K76" s="76"/>
      <c r="L76" s="33">
        <f t="shared" si="23"/>
        <v>104321</v>
      </c>
      <c r="M76" s="33">
        <f t="shared" si="28"/>
        <v>0</v>
      </c>
      <c r="N76" s="76"/>
      <c r="O76" s="33">
        <f t="shared" si="24"/>
        <v>104321</v>
      </c>
      <c r="P76" s="33">
        <f t="shared" si="29"/>
        <v>0</v>
      </c>
      <c r="Q76" s="76"/>
      <c r="R76" s="33">
        <f t="shared" si="25"/>
        <v>104321</v>
      </c>
      <c r="S76" s="33">
        <f t="shared" si="30"/>
        <v>0</v>
      </c>
      <c r="T76" s="76"/>
    </row>
    <row r="77" spans="1:20" x14ac:dyDescent="0.25">
      <c r="B77" s="67" t="s">
        <v>5</v>
      </c>
      <c r="C77" s="46" t="s">
        <v>223</v>
      </c>
      <c r="D77" s="78" t="s">
        <v>224</v>
      </c>
      <c r="E77" s="34">
        <v>40898</v>
      </c>
      <c r="F77" s="34">
        <f t="shared" si="21"/>
        <v>40898</v>
      </c>
      <c r="G77" s="33">
        <f t="shared" si="26"/>
        <v>0</v>
      </c>
      <c r="H77" s="76"/>
      <c r="I77" s="33">
        <f t="shared" si="22"/>
        <v>40898</v>
      </c>
      <c r="J77" s="33">
        <f t="shared" si="27"/>
        <v>0</v>
      </c>
      <c r="K77" s="76"/>
      <c r="L77" s="33">
        <f t="shared" si="23"/>
        <v>40898</v>
      </c>
      <c r="M77" s="33">
        <f t="shared" si="28"/>
        <v>0</v>
      </c>
      <c r="N77" s="76"/>
      <c r="O77" s="33">
        <f t="shared" si="24"/>
        <v>40898</v>
      </c>
      <c r="P77" s="33">
        <f t="shared" si="29"/>
        <v>0</v>
      </c>
      <c r="Q77" s="76"/>
      <c r="R77" s="33">
        <f t="shared" si="25"/>
        <v>40898</v>
      </c>
      <c r="S77" s="33">
        <f t="shared" si="30"/>
        <v>0</v>
      </c>
      <c r="T77" s="76"/>
    </row>
    <row r="78" spans="1:20" ht="30" hidden="1" outlineLevel="1" x14ac:dyDescent="0.25">
      <c r="B78" s="44"/>
      <c r="C78" s="46" t="s">
        <v>225</v>
      </c>
      <c r="D78" s="72" t="s">
        <v>226</v>
      </c>
      <c r="E78" s="34">
        <v>0</v>
      </c>
      <c r="F78" s="34">
        <f t="shared" si="21"/>
        <v>0</v>
      </c>
      <c r="G78" s="33">
        <f t="shared" si="26"/>
        <v>0</v>
      </c>
      <c r="H78" s="76"/>
      <c r="I78" s="33">
        <f t="shared" si="22"/>
        <v>0</v>
      </c>
      <c r="J78" s="33">
        <f t="shared" si="27"/>
        <v>0</v>
      </c>
      <c r="K78" s="76"/>
      <c r="L78" s="33">
        <f t="shared" si="23"/>
        <v>0</v>
      </c>
      <c r="M78" s="33">
        <f t="shared" si="28"/>
        <v>0</v>
      </c>
      <c r="N78" s="76"/>
      <c r="O78" s="33">
        <f t="shared" si="24"/>
        <v>0</v>
      </c>
      <c r="P78" s="33">
        <f t="shared" si="29"/>
        <v>0</v>
      </c>
      <c r="Q78" s="76"/>
      <c r="R78" s="33">
        <f t="shared" si="25"/>
        <v>0</v>
      </c>
      <c r="S78" s="33">
        <f t="shared" si="30"/>
        <v>0</v>
      </c>
      <c r="T78" s="76"/>
    </row>
    <row r="79" spans="1:20" ht="30" hidden="1" outlineLevel="1" x14ac:dyDescent="0.25">
      <c r="B79" s="44"/>
      <c r="C79" s="46" t="s">
        <v>227</v>
      </c>
      <c r="D79" s="72" t="s">
        <v>228</v>
      </c>
      <c r="E79" s="34">
        <v>0</v>
      </c>
      <c r="F79" s="34">
        <f t="shared" si="21"/>
        <v>0</v>
      </c>
      <c r="G79" s="33">
        <f t="shared" si="26"/>
        <v>0</v>
      </c>
      <c r="H79" s="76"/>
      <c r="I79" s="33">
        <f t="shared" si="22"/>
        <v>0</v>
      </c>
      <c r="J79" s="33">
        <f t="shared" si="27"/>
        <v>0</v>
      </c>
      <c r="K79" s="76"/>
      <c r="L79" s="33">
        <f t="shared" si="23"/>
        <v>0</v>
      </c>
      <c r="M79" s="33">
        <f t="shared" si="28"/>
        <v>0</v>
      </c>
      <c r="N79" s="76"/>
      <c r="O79" s="33">
        <f t="shared" si="24"/>
        <v>0</v>
      </c>
      <c r="P79" s="33">
        <f t="shared" si="29"/>
        <v>0</v>
      </c>
      <c r="Q79" s="76"/>
      <c r="R79" s="33">
        <f t="shared" si="25"/>
        <v>0</v>
      </c>
      <c r="S79" s="33">
        <f t="shared" si="30"/>
        <v>0</v>
      </c>
      <c r="T79" s="76"/>
    </row>
    <row r="80" spans="1:20" collapsed="1" x14ac:dyDescent="0.25">
      <c r="B80" s="79" t="s">
        <v>229</v>
      </c>
      <c r="C80" s="46" t="s">
        <v>230</v>
      </c>
      <c r="D80" s="72" t="s">
        <v>231</v>
      </c>
      <c r="E80" s="34">
        <v>202410</v>
      </c>
      <c r="F80" s="34">
        <f t="shared" si="21"/>
        <v>202410</v>
      </c>
      <c r="G80" s="33">
        <f t="shared" si="26"/>
        <v>0</v>
      </c>
      <c r="H80" s="76"/>
      <c r="I80" s="33">
        <f t="shared" si="22"/>
        <v>202410</v>
      </c>
      <c r="J80" s="33">
        <f t="shared" si="27"/>
        <v>0</v>
      </c>
      <c r="K80" s="76"/>
      <c r="L80" s="33">
        <f t="shared" si="23"/>
        <v>202410</v>
      </c>
      <c r="M80" s="33">
        <f t="shared" si="28"/>
        <v>0</v>
      </c>
      <c r="N80" s="76"/>
      <c r="O80" s="33">
        <f t="shared" si="24"/>
        <v>202410</v>
      </c>
      <c r="P80" s="33">
        <f t="shared" si="29"/>
        <v>0</v>
      </c>
      <c r="Q80" s="76"/>
      <c r="R80" s="33">
        <f t="shared" si="25"/>
        <v>202410</v>
      </c>
      <c r="S80" s="33">
        <f t="shared" si="30"/>
        <v>0</v>
      </c>
      <c r="T80" s="76"/>
    </row>
    <row r="81" spans="1:20" ht="30" hidden="1" outlineLevel="1" x14ac:dyDescent="0.25">
      <c r="B81" s="44"/>
      <c r="C81" s="46" t="s">
        <v>232</v>
      </c>
      <c r="D81" s="72" t="s">
        <v>233</v>
      </c>
      <c r="E81" s="34">
        <v>0</v>
      </c>
      <c r="F81" s="34">
        <f t="shared" si="21"/>
        <v>0</v>
      </c>
      <c r="G81" s="33">
        <f t="shared" si="26"/>
        <v>0</v>
      </c>
      <c r="H81" s="76"/>
      <c r="I81" s="33">
        <f t="shared" si="22"/>
        <v>0</v>
      </c>
      <c r="J81" s="33">
        <f t="shared" si="27"/>
        <v>0</v>
      </c>
      <c r="K81" s="76"/>
      <c r="L81" s="33">
        <f t="shared" si="23"/>
        <v>0</v>
      </c>
      <c r="M81" s="33">
        <f t="shared" si="28"/>
        <v>0</v>
      </c>
      <c r="N81" s="76"/>
      <c r="O81" s="33">
        <f t="shared" si="24"/>
        <v>0</v>
      </c>
      <c r="P81" s="33">
        <f t="shared" si="29"/>
        <v>0</v>
      </c>
      <c r="Q81" s="76"/>
      <c r="R81" s="33">
        <f t="shared" si="25"/>
        <v>0</v>
      </c>
      <c r="S81" s="33">
        <f t="shared" si="30"/>
        <v>0</v>
      </c>
      <c r="T81" s="76"/>
    </row>
    <row r="82" spans="1:20" collapsed="1" x14ac:dyDescent="0.25">
      <c r="B82" s="44"/>
      <c r="C82" s="46" t="s">
        <v>234</v>
      </c>
      <c r="D82" s="72" t="s">
        <v>235</v>
      </c>
      <c r="E82" s="34">
        <v>2464</v>
      </c>
      <c r="F82" s="34">
        <f t="shared" si="21"/>
        <v>2464</v>
      </c>
      <c r="G82" s="33">
        <f t="shared" si="26"/>
        <v>0</v>
      </c>
      <c r="H82" s="76"/>
      <c r="I82" s="33">
        <f>ROUND(F82,0)+5000</f>
        <v>7464</v>
      </c>
      <c r="J82" s="33">
        <f t="shared" si="27"/>
        <v>5000</v>
      </c>
      <c r="K82" s="76" t="s">
        <v>236</v>
      </c>
      <c r="L82" s="33">
        <f>ROUND(I82,0)</f>
        <v>7464</v>
      </c>
      <c r="M82" s="33">
        <f t="shared" si="28"/>
        <v>0</v>
      </c>
      <c r="N82" s="76"/>
      <c r="O82" s="33">
        <f>ROUND(L82,0)</f>
        <v>7464</v>
      </c>
      <c r="P82" s="33">
        <f t="shared" si="29"/>
        <v>0</v>
      </c>
      <c r="Q82" s="76"/>
      <c r="R82" s="33">
        <f>ROUND(O82,0)</f>
        <v>7464</v>
      </c>
      <c r="S82" s="33">
        <f t="shared" si="30"/>
        <v>0</v>
      </c>
      <c r="T82" s="76"/>
    </row>
    <row r="83" spans="1:20" ht="28.9" hidden="1" customHeight="1" outlineLevel="1" x14ac:dyDescent="0.25">
      <c r="B83" s="44"/>
      <c r="C83" s="46" t="s">
        <v>237</v>
      </c>
      <c r="D83" s="72" t="s">
        <v>238</v>
      </c>
      <c r="E83" s="34">
        <v>0</v>
      </c>
      <c r="F83" s="34">
        <f t="shared" si="21"/>
        <v>0</v>
      </c>
      <c r="G83" s="33">
        <f t="shared" si="26"/>
        <v>0</v>
      </c>
      <c r="H83" s="76"/>
      <c r="I83" s="33">
        <f t="shared" ref="I83:I88" si="31">ROUND(F83,0)</f>
        <v>0</v>
      </c>
      <c r="J83" s="33">
        <f t="shared" si="27"/>
        <v>0</v>
      </c>
      <c r="K83" s="76"/>
      <c r="L83" s="33">
        <f t="shared" ref="L83:L88" si="32">ROUND(I83,0)</f>
        <v>0</v>
      </c>
      <c r="M83" s="33">
        <f t="shared" si="28"/>
        <v>0</v>
      </c>
      <c r="N83" s="76"/>
      <c r="O83" s="33">
        <f t="shared" ref="O83:O88" si="33">ROUND(L83,0)</f>
        <v>0</v>
      </c>
      <c r="P83" s="33">
        <f t="shared" si="29"/>
        <v>0</v>
      </c>
      <c r="Q83" s="76"/>
      <c r="R83" s="33">
        <f t="shared" ref="R83:R88" si="34">ROUND(O83,0)</f>
        <v>0</v>
      </c>
      <c r="S83" s="33">
        <f t="shared" si="30"/>
        <v>0</v>
      </c>
      <c r="T83" s="76"/>
    </row>
    <row r="84" spans="1:20" hidden="1" outlineLevel="1" x14ac:dyDescent="0.25">
      <c r="B84" s="44"/>
      <c r="C84" s="46" t="s">
        <v>239</v>
      </c>
      <c r="D84" s="72" t="s">
        <v>240</v>
      </c>
      <c r="E84" s="34">
        <v>0</v>
      </c>
      <c r="F84" s="34">
        <f t="shared" si="21"/>
        <v>0</v>
      </c>
      <c r="G84" s="33">
        <f t="shared" si="26"/>
        <v>0</v>
      </c>
      <c r="H84" s="76"/>
      <c r="I84" s="33">
        <f t="shared" si="31"/>
        <v>0</v>
      </c>
      <c r="J84" s="33">
        <f t="shared" si="27"/>
        <v>0</v>
      </c>
      <c r="K84" s="76"/>
      <c r="L84" s="33">
        <f t="shared" si="32"/>
        <v>0</v>
      </c>
      <c r="M84" s="33">
        <f t="shared" si="28"/>
        <v>0</v>
      </c>
      <c r="N84" s="76"/>
      <c r="O84" s="33">
        <f t="shared" si="33"/>
        <v>0</v>
      </c>
      <c r="P84" s="33">
        <f t="shared" si="29"/>
        <v>0</v>
      </c>
      <c r="Q84" s="76"/>
      <c r="R84" s="33">
        <f t="shared" si="34"/>
        <v>0</v>
      </c>
      <c r="S84" s="33">
        <f t="shared" si="30"/>
        <v>0</v>
      </c>
      <c r="T84" s="76"/>
    </row>
    <row r="85" spans="1:20" ht="30" collapsed="1" x14ac:dyDescent="0.25">
      <c r="B85" s="79" t="s">
        <v>229</v>
      </c>
      <c r="C85" s="46" t="s">
        <v>241</v>
      </c>
      <c r="D85" s="72" t="s">
        <v>242</v>
      </c>
      <c r="E85" s="34">
        <v>14100</v>
      </c>
      <c r="F85" s="34">
        <f t="shared" si="21"/>
        <v>14100</v>
      </c>
      <c r="G85" s="33">
        <f t="shared" si="26"/>
        <v>0</v>
      </c>
      <c r="H85" s="76"/>
      <c r="I85" s="33">
        <f t="shared" si="31"/>
        <v>14100</v>
      </c>
      <c r="J85" s="33">
        <f t="shared" si="27"/>
        <v>0</v>
      </c>
      <c r="K85" s="76"/>
      <c r="L85" s="33">
        <f t="shared" si="32"/>
        <v>14100</v>
      </c>
      <c r="M85" s="33">
        <f t="shared" si="28"/>
        <v>0</v>
      </c>
      <c r="N85" s="76"/>
      <c r="O85" s="33">
        <f t="shared" si="33"/>
        <v>14100</v>
      </c>
      <c r="P85" s="33">
        <f t="shared" si="29"/>
        <v>0</v>
      </c>
      <c r="Q85" s="76"/>
      <c r="R85" s="33">
        <f t="shared" si="34"/>
        <v>14100</v>
      </c>
      <c r="S85" s="33">
        <f t="shared" si="30"/>
        <v>0</v>
      </c>
      <c r="T85" s="76"/>
    </row>
    <row r="86" spans="1:20" x14ac:dyDescent="0.25">
      <c r="B86" s="67" t="s">
        <v>243</v>
      </c>
      <c r="C86" s="46" t="s">
        <v>244</v>
      </c>
      <c r="D86" s="78" t="s">
        <v>245</v>
      </c>
      <c r="E86" s="34">
        <v>382739</v>
      </c>
      <c r="F86" s="34">
        <f t="shared" si="21"/>
        <v>382739</v>
      </c>
      <c r="G86" s="33">
        <f t="shared" si="26"/>
        <v>0</v>
      </c>
      <c r="H86" s="76"/>
      <c r="I86" s="33">
        <f t="shared" si="31"/>
        <v>382739</v>
      </c>
      <c r="J86" s="33">
        <f t="shared" si="27"/>
        <v>0</v>
      </c>
      <c r="K86" s="76"/>
      <c r="L86" s="33">
        <f t="shared" si="32"/>
        <v>382739</v>
      </c>
      <c r="M86" s="33">
        <f t="shared" si="28"/>
        <v>0</v>
      </c>
      <c r="N86" s="76"/>
      <c r="O86" s="33">
        <f t="shared" si="33"/>
        <v>382739</v>
      </c>
      <c r="P86" s="33">
        <f t="shared" si="29"/>
        <v>0</v>
      </c>
      <c r="Q86" s="76"/>
      <c r="R86" s="33">
        <f t="shared" si="34"/>
        <v>382739</v>
      </c>
      <c r="S86" s="33">
        <f t="shared" si="30"/>
        <v>0</v>
      </c>
      <c r="T86" s="76"/>
    </row>
    <row r="87" spans="1:20" ht="27.75" customHeight="1" x14ac:dyDescent="0.25">
      <c r="B87" s="44"/>
      <c r="C87" s="46" t="s">
        <v>246</v>
      </c>
      <c r="D87" s="78" t="s">
        <v>247</v>
      </c>
      <c r="E87" s="34">
        <v>297245</v>
      </c>
      <c r="F87" s="34">
        <f t="shared" si="21"/>
        <v>297245</v>
      </c>
      <c r="G87" s="33">
        <f t="shared" si="26"/>
        <v>0</v>
      </c>
      <c r="H87" s="76"/>
      <c r="I87" s="33">
        <f t="shared" si="31"/>
        <v>297245</v>
      </c>
      <c r="J87" s="33">
        <f t="shared" si="27"/>
        <v>0</v>
      </c>
      <c r="K87" s="76"/>
      <c r="L87" s="33">
        <f t="shared" si="32"/>
        <v>297245</v>
      </c>
      <c r="M87" s="33">
        <f t="shared" si="28"/>
        <v>0</v>
      </c>
      <c r="N87" s="76"/>
      <c r="O87" s="33">
        <f t="shared" si="33"/>
        <v>297245</v>
      </c>
      <c r="P87" s="33">
        <f t="shared" si="29"/>
        <v>0</v>
      </c>
      <c r="Q87" s="76"/>
      <c r="R87" s="33">
        <f>ROUND(O87,0)-297245</f>
        <v>0</v>
      </c>
      <c r="S87" s="33">
        <f t="shared" si="30"/>
        <v>-297245</v>
      </c>
      <c r="T87" s="45" t="s">
        <v>248</v>
      </c>
    </row>
    <row r="88" spans="1:20" hidden="1" outlineLevel="1" x14ac:dyDescent="0.25">
      <c r="B88" s="30" t="s">
        <v>249</v>
      </c>
      <c r="C88" s="31" t="s">
        <v>250</v>
      </c>
      <c r="D88" s="80" t="s">
        <v>251</v>
      </c>
      <c r="E88" s="34">
        <v>0</v>
      </c>
      <c r="F88" s="34">
        <f t="shared" si="21"/>
        <v>0</v>
      </c>
      <c r="G88" s="33">
        <f t="shared" si="26"/>
        <v>0</v>
      </c>
      <c r="H88" s="35"/>
      <c r="I88" s="33">
        <f t="shared" si="31"/>
        <v>0</v>
      </c>
      <c r="J88" s="33">
        <f t="shared" si="27"/>
        <v>0</v>
      </c>
      <c r="K88" s="35"/>
      <c r="L88" s="33">
        <f t="shared" si="32"/>
        <v>0</v>
      </c>
      <c r="M88" s="33">
        <f t="shared" si="28"/>
        <v>0</v>
      </c>
      <c r="N88" s="35"/>
      <c r="O88" s="33">
        <f t="shared" si="33"/>
        <v>0</v>
      </c>
      <c r="P88" s="33">
        <f t="shared" si="29"/>
        <v>0</v>
      </c>
      <c r="Q88" s="35"/>
      <c r="R88" s="33">
        <f t="shared" si="34"/>
        <v>0</v>
      </c>
      <c r="S88" s="33">
        <f t="shared" si="30"/>
        <v>0</v>
      </c>
      <c r="T88" s="35"/>
    </row>
    <row r="89" spans="1:20" collapsed="1" x14ac:dyDescent="0.25">
      <c r="C89" s="53" t="s">
        <v>252</v>
      </c>
      <c r="D89" s="38" t="s">
        <v>253</v>
      </c>
      <c r="E89" s="40">
        <v>295000</v>
      </c>
      <c r="F89" s="40">
        <f>F90+F91</f>
        <v>295000</v>
      </c>
      <c r="G89" s="39">
        <f t="shared" si="26"/>
        <v>0</v>
      </c>
      <c r="H89" s="41"/>
      <c r="I89" s="39">
        <f>I90+I91</f>
        <v>295000</v>
      </c>
      <c r="J89" s="39">
        <f t="shared" si="27"/>
        <v>0</v>
      </c>
      <c r="K89" s="41"/>
      <c r="L89" s="39">
        <f>L90+L91</f>
        <v>295000</v>
      </c>
      <c r="M89" s="39">
        <f t="shared" si="28"/>
        <v>0</v>
      </c>
      <c r="N89" s="41"/>
      <c r="O89" s="39">
        <f>O90+O91</f>
        <v>295000</v>
      </c>
      <c r="P89" s="39">
        <f t="shared" si="29"/>
        <v>0</v>
      </c>
      <c r="Q89" s="41"/>
      <c r="R89" s="39">
        <f>R90+R91</f>
        <v>342100</v>
      </c>
      <c r="S89" s="39">
        <f t="shared" si="30"/>
        <v>47100</v>
      </c>
      <c r="T89" s="41"/>
    </row>
    <row r="90" spans="1:20" ht="27.6" customHeight="1" x14ac:dyDescent="0.25">
      <c r="B90" s="1" t="s">
        <v>254</v>
      </c>
      <c r="C90" s="31" t="s">
        <v>255</v>
      </c>
      <c r="D90" s="32" t="s">
        <v>256</v>
      </c>
      <c r="E90" s="34">
        <v>295000</v>
      </c>
      <c r="F90" s="34">
        <f>ROUND(E90,0)</f>
        <v>295000</v>
      </c>
      <c r="G90" s="33">
        <f t="shared" si="26"/>
        <v>0</v>
      </c>
      <c r="H90" s="51"/>
      <c r="I90" s="33">
        <f>ROUND(F90,0)</f>
        <v>295000</v>
      </c>
      <c r="J90" s="33">
        <f t="shared" si="27"/>
        <v>0</v>
      </c>
      <c r="K90" s="51"/>
      <c r="L90" s="33">
        <f>ROUND(I90,0)</f>
        <v>295000</v>
      </c>
      <c r="M90" s="33">
        <f t="shared" si="28"/>
        <v>0</v>
      </c>
      <c r="N90" s="51"/>
      <c r="O90" s="33">
        <f>ROUND(L90,0)</f>
        <v>295000</v>
      </c>
      <c r="P90" s="33">
        <f t="shared" si="29"/>
        <v>0</v>
      </c>
      <c r="Q90" s="51"/>
      <c r="R90" s="33">
        <f>ROUND(O90,0)+47100</f>
        <v>342100</v>
      </c>
      <c r="S90" s="33">
        <f t="shared" si="30"/>
        <v>47100</v>
      </c>
      <c r="T90" s="51" t="s">
        <v>257</v>
      </c>
    </row>
    <row r="91" spans="1:20" ht="16.149999999999999" customHeight="1" x14ac:dyDescent="0.25">
      <c r="B91" s="1" t="s">
        <v>258</v>
      </c>
      <c r="C91" s="31" t="s">
        <v>259</v>
      </c>
      <c r="D91" s="32" t="s">
        <v>260</v>
      </c>
      <c r="E91" s="34">
        <v>0</v>
      </c>
      <c r="F91" s="34">
        <f>ROUND(E91,0)</f>
        <v>0</v>
      </c>
      <c r="G91" s="33">
        <f t="shared" si="26"/>
        <v>0</v>
      </c>
      <c r="H91" s="35"/>
      <c r="I91" s="33">
        <f>ROUND(F91,0)</f>
        <v>0</v>
      </c>
      <c r="J91" s="33">
        <f t="shared" si="27"/>
        <v>0</v>
      </c>
      <c r="K91" s="35"/>
      <c r="L91" s="33">
        <f>ROUND(I91,0)</f>
        <v>0</v>
      </c>
      <c r="M91" s="33">
        <f t="shared" si="28"/>
        <v>0</v>
      </c>
      <c r="N91" s="35"/>
      <c r="O91" s="33">
        <f>ROUND(L91,0)</f>
        <v>0</v>
      </c>
      <c r="P91" s="33">
        <f t="shared" si="29"/>
        <v>0</v>
      </c>
      <c r="Q91" s="35"/>
      <c r="R91" s="33">
        <f>ROUND(O91,0)</f>
        <v>0</v>
      </c>
      <c r="S91" s="33">
        <f t="shared" si="30"/>
        <v>0</v>
      </c>
      <c r="T91" s="35"/>
    </row>
    <row r="92" spans="1:20" ht="35.450000000000003" customHeight="1" x14ac:dyDescent="0.25">
      <c r="C92" s="53" t="s">
        <v>261</v>
      </c>
      <c r="D92" s="38" t="s">
        <v>262</v>
      </c>
      <c r="E92" s="40">
        <v>4234051</v>
      </c>
      <c r="F92" s="40">
        <f t="shared" ref="F92" si="35">F93+F96+F99+F103+F107</f>
        <v>4234051</v>
      </c>
      <c r="G92" s="39">
        <f t="shared" si="26"/>
        <v>0</v>
      </c>
      <c r="H92" s="41"/>
      <c r="I92" s="39">
        <f>I93+I96+I99+I103+I107</f>
        <v>4234051</v>
      </c>
      <c r="J92" s="39">
        <f t="shared" si="27"/>
        <v>0</v>
      </c>
      <c r="K92" s="41"/>
      <c r="L92" s="39">
        <f>L93+L96+L99+L103+L107</f>
        <v>3970551</v>
      </c>
      <c r="M92" s="39">
        <f t="shared" si="28"/>
        <v>-263500</v>
      </c>
      <c r="N92" s="41"/>
      <c r="O92" s="39">
        <f>O93+O96+O99+O103+O107</f>
        <v>3970551</v>
      </c>
      <c r="P92" s="39">
        <f t="shared" si="29"/>
        <v>0</v>
      </c>
      <c r="Q92" s="41"/>
      <c r="R92" s="39">
        <f>R93+R96+R99+R103+R107</f>
        <v>3975551</v>
      </c>
      <c r="S92" s="39">
        <f t="shared" si="30"/>
        <v>5000</v>
      </c>
      <c r="T92" s="41"/>
    </row>
    <row r="93" spans="1:20" x14ac:dyDescent="0.25">
      <c r="A93" s="1" t="s">
        <v>23</v>
      </c>
      <c r="B93" s="1" t="s">
        <v>263</v>
      </c>
      <c r="C93" s="31" t="s">
        <v>264</v>
      </c>
      <c r="D93" s="32" t="s">
        <v>265</v>
      </c>
      <c r="E93" s="34">
        <v>149000</v>
      </c>
      <c r="F93" s="34">
        <f>SUM(F94:F95)</f>
        <v>149000</v>
      </c>
      <c r="G93" s="33">
        <f t="shared" si="26"/>
        <v>0</v>
      </c>
      <c r="H93" s="35"/>
      <c r="I93" s="33">
        <f>SUM(I94:I95)</f>
        <v>149000</v>
      </c>
      <c r="J93" s="33">
        <f t="shared" si="27"/>
        <v>0</v>
      </c>
      <c r="K93" s="35"/>
      <c r="L93" s="33">
        <f>SUM(L94:L95)</f>
        <v>149000</v>
      </c>
      <c r="M93" s="33">
        <f t="shared" si="28"/>
        <v>0</v>
      </c>
      <c r="N93" s="35"/>
      <c r="O93" s="33">
        <f>SUM(O94:O95)</f>
        <v>149000</v>
      </c>
      <c r="P93" s="33">
        <f t="shared" si="29"/>
        <v>0</v>
      </c>
      <c r="Q93" s="35"/>
      <c r="R93" s="33">
        <f>SUM(R94:R95)</f>
        <v>149000</v>
      </c>
      <c r="S93" s="33">
        <f t="shared" si="30"/>
        <v>0</v>
      </c>
      <c r="T93" s="35"/>
    </row>
    <row r="94" spans="1:20" ht="14.25" customHeight="1" x14ac:dyDescent="0.25">
      <c r="B94" s="1" t="s">
        <v>266</v>
      </c>
      <c r="C94" s="81" t="s">
        <v>267</v>
      </c>
      <c r="D94" s="82" t="s">
        <v>268</v>
      </c>
      <c r="E94" s="34">
        <v>24000</v>
      </c>
      <c r="F94" s="34">
        <f>ROUND(E94,0)</f>
        <v>24000</v>
      </c>
      <c r="G94" s="33">
        <f t="shared" si="26"/>
        <v>0</v>
      </c>
      <c r="H94" s="42"/>
      <c r="I94" s="33">
        <f>ROUND(F94,0)</f>
        <v>24000</v>
      </c>
      <c r="J94" s="33">
        <f t="shared" si="27"/>
        <v>0</v>
      </c>
      <c r="K94" s="42"/>
      <c r="L94" s="33">
        <f>ROUND(I94,0)</f>
        <v>24000</v>
      </c>
      <c r="M94" s="33">
        <f t="shared" si="28"/>
        <v>0</v>
      </c>
      <c r="N94" s="42"/>
      <c r="O94" s="33">
        <f>ROUND(L94,0)</f>
        <v>24000</v>
      </c>
      <c r="P94" s="33">
        <f t="shared" si="29"/>
        <v>0</v>
      </c>
      <c r="Q94" s="42"/>
      <c r="R94" s="33">
        <f>ROUND(O94,0)</f>
        <v>24000</v>
      </c>
      <c r="S94" s="33">
        <f t="shared" si="30"/>
        <v>0</v>
      </c>
      <c r="T94" s="42"/>
    </row>
    <row r="95" spans="1:20" ht="15.6" customHeight="1" x14ac:dyDescent="0.25">
      <c r="B95" s="1" t="s">
        <v>269</v>
      </c>
      <c r="C95" s="81" t="s">
        <v>270</v>
      </c>
      <c r="D95" s="82" t="s">
        <v>271</v>
      </c>
      <c r="E95" s="34">
        <v>125000</v>
      </c>
      <c r="F95" s="34">
        <f>ROUND(E95,0)</f>
        <v>125000</v>
      </c>
      <c r="G95" s="33">
        <f t="shared" si="26"/>
        <v>0</v>
      </c>
      <c r="H95" s="42"/>
      <c r="I95" s="33">
        <f>ROUND(F95,0)</f>
        <v>125000</v>
      </c>
      <c r="J95" s="33">
        <f t="shared" si="27"/>
        <v>0</v>
      </c>
      <c r="K95" s="42"/>
      <c r="L95" s="33">
        <f>ROUND(I95,0)</f>
        <v>125000</v>
      </c>
      <c r="M95" s="33">
        <f t="shared" si="28"/>
        <v>0</v>
      </c>
      <c r="N95" s="42"/>
      <c r="O95" s="33">
        <f>ROUND(L95,0)</f>
        <v>125000</v>
      </c>
      <c r="P95" s="33">
        <f t="shared" si="29"/>
        <v>0</v>
      </c>
      <c r="Q95" s="42"/>
      <c r="R95" s="33">
        <f>ROUND(O95,0)</f>
        <v>125000</v>
      </c>
      <c r="S95" s="33">
        <f t="shared" si="30"/>
        <v>0</v>
      </c>
      <c r="T95" s="42"/>
    </row>
    <row r="96" spans="1:20" ht="13.9" customHeight="1" x14ac:dyDescent="0.25">
      <c r="C96" s="31" t="s">
        <v>272</v>
      </c>
      <c r="D96" s="32" t="s">
        <v>273</v>
      </c>
      <c r="E96" s="34">
        <v>0</v>
      </c>
      <c r="F96" s="34">
        <f>F97+F98</f>
        <v>0</v>
      </c>
      <c r="G96" s="33">
        <f t="shared" si="26"/>
        <v>0</v>
      </c>
      <c r="H96" s="83"/>
      <c r="I96" s="33">
        <f>I97+I98</f>
        <v>0</v>
      </c>
      <c r="J96" s="33">
        <f t="shared" si="27"/>
        <v>0</v>
      </c>
      <c r="K96" s="83"/>
      <c r="L96" s="33">
        <f>L97+L98</f>
        <v>0</v>
      </c>
      <c r="M96" s="33">
        <f t="shared" si="28"/>
        <v>0</v>
      </c>
      <c r="N96" s="83"/>
      <c r="O96" s="33">
        <f>O97+O98</f>
        <v>0</v>
      </c>
      <c r="P96" s="33">
        <f t="shared" si="29"/>
        <v>0</v>
      </c>
      <c r="Q96" s="83"/>
      <c r="R96" s="33">
        <f>R97+R98</f>
        <v>0</v>
      </c>
      <c r="S96" s="33">
        <f t="shared" si="30"/>
        <v>0</v>
      </c>
      <c r="T96" s="83"/>
    </row>
    <row r="97" spans="1:20" x14ac:dyDescent="0.25">
      <c r="C97" s="81" t="s">
        <v>274</v>
      </c>
      <c r="D97" s="82" t="s">
        <v>275</v>
      </c>
      <c r="E97" s="34">
        <v>0</v>
      </c>
      <c r="F97" s="34"/>
      <c r="G97" s="33">
        <f t="shared" si="26"/>
        <v>0</v>
      </c>
      <c r="H97" s="42"/>
      <c r="I97" s="33"/>
      <c r="J97" s="33">
        <f t="shared" si="27"/>
        <v>0</v>
      </c>
      <c r="K97" s="42"/>
      <c r="L97" s="33"/>
      <c r="M97" s="33">
        <f t="shared" si="28"/>
        <v>0</v>
      </c>
      <c r="N97" s="42"/>
      <c r="O97" s="33"/>
      <c r="P97" s="33">
        <f t="shared" si="29"/>
        <v>0</v>
      </c>
      <c r="Q97" s="42"/>
      <c r="R97" s="33"/>
      <c r="S97" s="33">
        <f t="shared" si="30"/>
        <v>0</v>
      </c>
      <c r="T97" s="42"/>
    </row>
    <row r="98" spans="1:20" ht="30" customHeight="1" x14ac:dyDescent="0.25">
      <c r="B98" s="67" t="s">
        <v>276</v>
      </c>
      <c r="C98" s="81" t="s">
        <v>277</v>
      </c>
      <c r="D98" s="72" t="s">
        <v>278</v>
      </c>
      <c r="E98" s="34">
        <v>0</v>
      </c>
      <c r="F98" s="34">
        <f>ROUND(E98,0)</f>
        <v>0</v>
      </c>
      <c r="G98" s="33">
        <f t="shared" si="26"/>
        <v>0</v>
      </c>
      <c r="H98" s="42"/>
      <c r="I98" s="33">
        <f>ROUND(F98,0)</f>
        <v>0</v>
      </c>
      <c r="J98" s="33">
        <f t="shared" si="27"/>
        <v>0</v>
      </c>
      <c r="K98" s="42"/>
      <c r="L98" s="33">
        <f>ROUND(I98,0)</f>
        <v>0</v>
      </c>
      <c r="M98" s="33">
        <f t="shared" si="28"/>
        <v>0</v>
      </c>
      <c r="N98" s="42"/>
      <c r="O98" s="33">
        <f>ROUND(L98,0)</f>
        <v>0</v>
      </c>
      <c r="P98" s="33">
        <f t="shared" si="29"/>
        <v>0</v>
      </c>
      <c r="Q98" s="42"/>
      <c r="R98" s="33">
        <f>ROUND(O98,0)</f>
        <v>0</v>
      </c>
      <c r="S98" s="33">
        <f t="shared" si="30"/>
        <v>0</v>
      </c>
      <c r="T98" s="42"/>
    </row>
    <row r="99" spans="1:20" x14ac:dyDescent="0.25">
      <c r="A99" s="1" t="s">
        <v>23</v>
      </c>
      <c r="B99" s="1" t="s">
        <v>279</v>
      </c>
      <c r="C99" s="31" t="s">
        <v>280</v>
      </c>
      <c r="D99" s="32" t="s">
        <v>281</v>
      </c>
      <c r="E99" s="34">
        <v>157000</v>
      </c>
      <c r="F99" s="34">
        <f>SUM(F100:F102)</f>
        <v>157000</v>
      </c>
      <c r="G99" s="33">
        <f t="shared" si="26"/>
        <v>0</v>
      </c>
      <c r="H99" s="35"/>
      <c r="I99" s="33">
        <f>SUM(I100:I102)</f>
        <v>157000</v>
      </c>
      <c r="J99" s="33">
        <f t="shared" si="27"/>
        <v>0</v>
      </c>
      <c r="K99" s="35"/>
      <c r="L99" s="33">
        <f>SUM(L100:L102)</f>
        <v>157000</v>
      </c>
      <c r="M99" s="33">
        <f t="shared" si="28"/>
        <v>0</v>
      </c>
      <c r="N99" s="35"/>
      <c r="O99" s="33">
        <f>SUM(O100:O102)</f>
        <v>157000</v>
      </c>
      <c r="P99" s="33">
        <f t="shared" si="29"/>
        <v>0</v>
      </c>
      <c r="Q99" s="35"/>
      <c r="R99" s="33">
        <f>SUM(R100:R102)</f>
        <v>157000</v>
      </c>
      <c r="S99" s="33">
        <f t="shared" si="30"/>
        <v>0</v>
      </c>
      <c r="T99" s="35"/>
    </row>
    <row r="100" spans="1:20" ht="15.75" customHeight="1" x14ac:dyDescent="0.25">
      <c r="B100" s="1" t="s">
        <v>282</v>
      </c>
      <c r="C100" s="81" t="s">
        <v>283</v>
      </c>
      <c r="D100" s="82" t="s">
        <v>284</v>
      </c>
      <c r="E100" s="34">
        <v>120000</v>
      </c>
      <c r="F100" s="34">
        <f>ROUND(E100,0)</f>
        <v>120000</v>
      </c>
      <c r="G100" s="33">
        <f t="shared" si="26"/>
        <v>0</v>
      </c>
      <c r="H100" s="51"/>
      <c r="I100" s="33">
        <f>ROUND(F100,0)</f>
        <v>120000</v>
      </c>
      <c r="J100" s="33">
        <f t="shared" si="27"/>
        <v>0</v>
      </c>
      <c r="K100" s="51"/>
      <c r="L100" s="33">
        <f>ROUND(I100,0)</f>
        <v>120000</v>
      </c>
      <c r="M100" s="33">
        <f t="shared" si="28"/>
        <v>0</v>
      </c>
      <c r="N100" s="51"/>
      <c r="O100" s="33">
        <f>ROUND(L100,0)</f>
        <v>120000</v>
      </c>
      <c r="P100" s="33">
        <f t="shared" si="29"/>
        <v>0</v>
      </c>
      <c r="Q100" s="51"/>
      <c r="R100" s="33">
        <f>ROUND(O100,0)</f>
        <v>120000</v>
      </c>
      <c r="S100" s="33">
        <f t="shared" si="30"/>
        <v>0</v>
      </c>
      <c r="T100" s="51"/>
    </row>
    <row r="101" spans="1:20" x14ac:dyDescent="0.25">
      <c r="B101" s="1" t="s">
        <v>285</v>
      </c>
      <c r="C101" s="81" t="s">
        <v>286</v>
      </c>
      <c r="D101" s="82" t="s">
        <v>287</v>
      </c>
      <c r="E101" s="34">
        <v>36000</v>
      </c>
      <c r="F101" s="34">
        <f>ROUND(E101,0)</f>
        <v>36000</v>
      </c>
      <c r="G101" s="33">
        <f t="shared" si="26"/>
        <v>0</v>
      </c>
      <c r="H101" s="35"/>
      <c r="I101" s="33">
        <f>ROUND(F101,0)</f>
        <v>36000</v>
      </c>
      <c r="J101" s="33">
        <f t="shared" si="27"/>
        <v>0</v>
      </c>
      <c r="K101" s="35"/>
      <c r="L101" s="33">
        <f>ROUND(I101,0)</f>
        <v>36000</v>
      </c>
      <c r="M101" s="33">
        <f t="shared" si="28"/>
        <v>0</v>
      </c>
      <c r="N101" s="35"/>
      <c r="O101" s="33">
        <f>ROUND(L101,0)</f>
        <v>36000</v>
      </c>
      <c r="P101" s="33">
        <f t="shared" si="29"/>
        <v>0</v>
      </c>
      <c r="Q101" s="35"/>
      <c r="R101" s="33">
        <f>ROUND(O101,0)</f>
        <v>36000</v>
      </c>
      <c r="S101" s="33">
        <f t="shared" si="30"/>
        <v>0</v>
      </c>
      <c r="T101" s="35"/>
    </row>
    <row r="102" spans="1:20" x14ac:dyDescent="0.25">
      <c r="C102" s="81" t="s">
        <v>288</v>
      </c>
      <c r="D102" s="72" t="s">
        <v>289</v>
      </c>
      <c r="E102" s="34">
        <v>1000</v>
      </c>
      <c r="F102" s="34">
        <f>ROUND(E102,0)</f>
        <v>1000</v>
      </c>
      <c r="G102" s="33">
        <f t="shared" si="26"/>
        <v>0</v>
      </c>
      <c r="H102" s="35"/>
      <c r="I102" s="33">
        <f>ROUND(F102,0)</f>
        <v>1000</v>
      </c>
      <c r="J102" s="33">
        <f t="shared" si="27"/>
        <v>0</v>
      </c>
      <c r="K102" s="35"/>
      <c r="L102" s="33">
        <f>ROUND(I102,0)</f>
        <v>1000</v>
      </c>
      <c r="M102" s="33">
        <f t="shared" si="28"/>
        <v>0</v>
      </c>
      <c r="N102" s="35"/>
      <c r="O102" s="33">
        <f>ROUND(L102,0)</f>
        <v>1000</v>
      </c>
      <c r="P102" s="33">
        <f t="shared" si="29"/>
        <v>0</v>
      </c>
      <c r="Q102" s="35"/>
      <c r="R102" s="33">
        <f>ROUND(O102,0)</f>
        <v>1000</v>
      </c>
      <c r="S102" s="33">
        <f t="shared" si="30"/>
        <v>0</v>
      </c>
      <c r="T102" s="35"/>
    </row>
    <row r="103" spans="1:20" ht="25.15" customHeight="1" x14ac:dyDescent="0.25">
      <c r="A103" s="1" t="s">
        <v>23</v>
      </c>
      <c r="B103" s="1" t="s">
        <v>290</v>
      </c>
      <c r="C103" s="31" t="s">
        <v>291</v>
      </c>
      <c r="D103" s="32" t="s">
        <v>292</v>
      </c>
      <c r="E103" s="34">
        <v>3826051</v>
      </c>
      <c r="F103" s="34">
        <f t="shared" ref="F103" si="36">SUM(F104:F106)</f>
        <v>3826051</v>
      </c>
      <c r="G103" s="33">
        <f t="shared" si="26"/>
        <v>0</v>
      </c>
      <c r="H103" s="51"/>
      <c r="I103" s="33">
        <f>SUM(I104:I106)</f>
        <v>3826051</v>
      </c>
      <c r="J103" s="33">
        <f t="shared" si="27"/>
        <v>0</v>
      </c>
      <c r="K103" s="51"/>
      <c r="L103" s="33">
        <f>SUM(L104:L106)</f>
        <v>3562551</v>
      </c>
      <c r="M103" s="33">
        <f t="shared" si="28"/>
        <v>-263500</v>
      </c>
      <c r="N103" s="51"/>
      <c r="O103" s="33">
        <f>SUM(O104:O106)</f>
        <v>3562551</v>
      </c>
      <c r="P103" s="33">
        <f t="shared" si="29"/>
        <v>0</v>
      </c>
      <c r="Q103" s="51"/>
      <c r="R103" s="33">
        <f>SUM(R104:R106)</f>
        <v>3567551</v>
      </c>
      <c r="S103" s="33">
        <f t="shared" si="30"/>
        <v>5000</v>
      </c>
      <c r="T103" s="51"/>
    </row>
    <row r="104" spans="1:20" ht="16.5" customHeight="1" x14ac:dyDescent="0.25">
      <c r="A104" s="67" t="s">
        <v>293</v>
      </c>
      <c r="C104" s="81" t="s">
        <v>294</v>
      </c>
      <c r="D104" s="82" t="s">
        <v>292</v>
      </c>
      <c r="E104" s="34">
        <v>110000</v>
      </c>
      <c r="F104" s="34">
        <f>ROUND(E104,0)</f>
        <v>110000</v>
      </c>
      <c r="G104" s="33">
        <f t="shared" si="26"/>
        <v>0</v>
      </c>
      <c r="H104" s="35"/>
      <c r="I104" s="33">
        <f>ROUND(F104,0)</f>
        <v>110000</v>
      </c>
      <c r="J104" s="33">
        <f t="shared" si="27"/>
        <v>0</v>
      </c>
      <c r="K104" s="35"/>
      <c r="L104" s="33">
        <f>ROUND(I104,0)</f>
        <v>110000</v>
      </c>
      <c r="M104" s="33">
        <f t="shared" si="28"/>
        <v>0</v>
      </c>
      <c r="N104" s="35"/>
      <c r="O104" s="33">
        <f>ROUND(L104,0)</f>
        <v>110000</v>
      </c>
      <c r="P104" s="33">
        <f t="shared" si="29"/>
        <v>0</v>
      </c>
      <c r="Q104" s="35"/>
      <c r="R104" s="33">
        <f>ROUND(O104,0)+5000</f>
        <v>115000</v>
      </c>
      <c r="S104" s="33">
        <f t="shared" si="30"/>
        <v>5000</v>
      </c>
      <c r="T104" s="35" t="s">
        <v>295</v>
      </c>
    </row>
    <row r="105" spans="1:20" ht="16.5" customHeight="1" x14ac:dyDescent="0.25">
      <c r="C105" s="81" t="s">
        <v>296</v>
      </c>
      <c r="D105" s="82" t="s">
        <v>297</v>
      </c>
      <c r="E105" s="34">
        <v>2500</v>
      </c>
      <c r="F105" s="34">
        <f>ROUND(E105,0)</f>
        <v>2500</v>
      </c>
      <c r="G105" s="33">
        <f t="shared" si="26"/>
        <v>0</v>
      </c>
      <c r="H105" s="35"/>
      <c r="I105" s="33">
        <f>ROUND(F105,0)</f>
        <v>2500</v>
      </c>
      <c r="J105" s="33">
        <f t="shared" si="27"/>
        <v>0</v>
      </c>
      <c r="K105" s="35"/>
      <c r="L105" s="33">
        <f>ROUND(I105,0)</f>
        <v>2500</v>
      </c>
      <c r="M105" s="33">
        <f t="shared" si="28"/>
        <v>0</v>
      </c>
      <c r="N105" s="35"/>
      <c r="O105" s="33">
        <f>ROUND(L105,0)</f>
        <v>2500</v>
      </c>
      <c r="P105" s="33">
        <f t="shared" si="29"/>
        <v>0</v>
      </c>
      <c r="Q105" s="35"/>
      <c r="R105" s="33">
        <f>ROUND(O105,0)</f>
        <v>2500</v>
      </c>
      <c r="S105" s="33">
        <f t="shared" si="30"/>
        <v>0</v>
      </c>
      <c r="T105" s="35"/>
    </row>
    <row r="106" spans="1:20" ht="28.9" customHeight="1" x14ac:dyDescent="0.25">
      <c r="C106" s="81" t="s">
        <v>298</v>
      </c>
      <c r="D106" s="82" t="s">
        <v>299</v>
      </c>
      <c r="E106" s="34">
        <v>3713551</v>
      </c>
      <c r="F106" s="34">
        <f>ROUND(E106,0)</f>
        <v>3713551</v>
      </c>
      <c r="G106" s="33">
        <f t="shared" si="26"/>
        <v>0</v>
      </c>
      <c r="H106" s="35"/>
      <c r="I106" s="33">
        <f>ROUND(F106,0)</f>
        <v>3713551</v>
      </c>
      <c r="J106" s="33">
        <f t="shared" si="27"/>
        <v>0</v>
      </c>
      <c r="K106" s="35"/>
      <c r="L106" s="33">
        <f>ROUND(I106,0)-263500</f>
        <v>3450051</v>
      </c>
      <c r="M106" s="33">
        <f t="shared" si="28"/>
        <v>-263500</v>
      </c>
      <c r="N106" s="51" t="s">
        <v>188</v>
      </c>
      <c r="O106" s="33">
        <f>ROUND(L106,0)</f>
        <v>3450051</v>
      </c>
      <c r="P106" s="33">
        <f t="shared" si="29"/>
        <v>0</v>
      </c>
      <c r="Q106" s="51"/>
      <c r="R106" s="33">
        <f>ROUND(O106,0)</f>
        <v>3450051</v>
      </c>
      <c r="S106" s="33">
        <f t="shared" si="30"/>
        <v>0</v>
      </c>
      <c r="T106" s="51"/>
    </row>
    <row r="107" spans="1:20" ht="18" customHeight="1" thickBot="1" x14ac:dyDescent="0.3">
      <c r="A107" s="1" t="s">
        <v>23</v>
      </c>
      <c r="B107" s="44" t="s">
        <v>300</v>
      </c>
      <c r="C107" s="31" t="s">
        <v>301</v>
      </c>
      <c r="D107" s="32" t="s">
        <v>302</v>
      </c>
      <c r="E107" s="34">
        <v>102000</v>
      </c>
      <c r="F107" s="34">
        <f>ROUND(E107,0)</f>
        <v>102000</v>
      </c>
      <c r="G107" s="33">
        <f t="shared" si="26"/>
        <v>0</v>
      </c>
      <c r="H107" s="35"/>
      <c r="I107" s="33">
        <f>ROUND(F107,0)</f>
        <v>102000</v>
      </c>
      <c r="J107" s="33">
        <f t="shared" si="27"/>
        <v>0</v>
      </c>
      <c r="K107" s="35"/>
      <c r="L107" s="33">
        <f>ROUND(I107,0)</f>
        <v>102000</v>
      </c>
      <c r="M107" s="33">
        <f t="shared" si="28"/>
        <v>0</v>
      </c>
      <c r="N107" s="35"/>
      <c r="O107" s="33">
        <f>ROUND(L107,0)</f>
        <v>102000</v>
      </c>
      <c r="P107" s="33">
        <f t="shared" si="29"/>
        <v>0</v>
      </c>
      <c r="Q107" s="35"/>
      <c r="R107" s="33">
        <f>ROUND(O107,0)</f>
        <v>102000</v>
      </c>
      <c r="S107" s="33">
        <f t="shared" si="30"/>
        <v>0</v>
      </c>
      <c r="T107" s="35"/>
    </row>
    <row r="108" spans="1:20" ht="15" customHeight="1" thickBot="1" x14ac:dyDescent="0.3">
      <c r="C108" s="85"/>
      <c r="D108" s="86" t="s">
        <v>303</v>
      </c>
      <c r="E108" s="88">
        <v>46153371.490000002</v>
      </c>
      <c r="F108" s="88">
        <f t="shared" ref="F108" si="37">F7+F11+F14+F17+F20+F23+F36+F39+F43+F44+F89+F92</f>
        <v>46211727</v>
      </c>
      <c r="G108" s="87">
        <f t="shared" si="26"/>
        <v>58355.509999997914</v>
      </c>
      <c r="H108" s="89"/>
      <c r="I108" s="87">
        <f>I7+I11+I14+I17+I20+I23+I36+I39+I43+I44+I89+I92</f>
        <v>46579708</v>
      </c>
      <c r="J108" s="87">
        <f t="shared" si="27"/>
        <v>367981</v>
      </c>
      <c r="K108" s="89"/>
      <c r="L108" s="87">
        <f>L7+L11+L14+L17+L20+L23+L36+L39+L43+L44+L89+L92</f>
        <v>46656159</v>
      </c>
      <c r="M108" s="87">
        <f t="shared" si="28"/>
        <v>76451</v>
      </c>
      <c r="N108" s="89"/>
      <c r="O108" s="87">
        <f>O7+O11+O14+O17+O20+O23+O36+O39+O43+O44+O89+O92</f>
        <v>46706159</v>
      </c>
      <c r="P108" s="87">
        <f t="shared" si="29"/>
        <v>50000</v>
      </c>
      <c r="Q108" s="89"/>
      <c r="R108" s="87">
        <f>R7+R11+R14+R17+R20+R23+R36+R39+R43+R44+R89+R92</f>
        <v>46948605</v>
      </c>
      <c r="S108" s="87">
        <f t="shared" si="30"/>
        <v>242446</v>
      </c>
      <c r="T108" s="89"/>
    </row>
    <row r="109" spans="1:20" ht="15.75" thickBot="1" x14ac:dyDescent="0.3">
      <c r="C109" s="90" t="s">
        <v>304</v>
      </c>
      <c r="D109" s="91" t="s">
        <v>305</v>
      </c>
      <c r="E109" s="93">
        <v>7741521.0000000009</v>
      </c>
      <c r="F109" s="93">
        <f>SUM(F110:F111)</f>
        <v>7741521</v>
      </c>
      <c r="G109" s="92">
        <f t="shared" si="26"/>
        <v>0</v>
      </c>
      <c r="H109" s="94"/>
      <c r="I109" s="92">
        <f>SUM(I110:I111)</f>
        <v>7741521</v>
      </c>
      <c r="J109" s="92">
        <f t="shared" si="27"/>
        <v>0</v>
      </c>
      <c r="K109" s="94"/>
      <c r="L109" s="92">
        <f>SUM(L110:L111)</f>
        <v>7741521</v>
      </c>
      <c r="M109" s="92">
        <f t="shared" si="28"/>
        <v>0</v>
      </c>
      <c r="N109" s="94"/>
      <c r="O109" s="92">
        <f>SUM(O110:O111)</f>
        <v>7741521</v>
      </c>
      <c r="P109" s="92">
        <f t="shared" si="29"/>
        <v>0</v>
      </c>
      <c r="Q109" s="94"/>
      <c r="R109" s="92">
        <f>SUM(R110:R111)</f>
        <v>7741521</v>
      </c>
      <c r="S109" s="92">
        <f t="shared" si="30"/>
        <v>0</v>
      </c>
      <c r="T109" s="94"/>
    </row>
    <row r="110" spans="1:20" ht="17.25" customHeight="1" x14ac:dyDescent="0.25">
      <c r="C110" s="31" t="s">
        <v>306</v>
      </c>
      <c r="D110" s="32" t="s">
        <v>307</v>
      </c>
      <c r="E110" s="34">
        <v>1454963.94</v>
      </c>
      <c r="F110" s="34">
        <f>ROUND(E110,0)</f>
        <v>1454964</v>
      </c>
      <c r="G110" s="33">
        <f t="shared" si="26"/>
        <v>6.0000000055879354E-2</v>
      </c>
      <c r="H110" s="51"/>
      <c r="I110" s="33">
        <f>ROUND(F110,0)</f>
        <v>1454964</v>
      </c>
      <c r="J110" s="33">
        <f t="shared" si="27"/>
        <v>0</v>
      </c>
      <c r="K110" s="51"/>
      <c r="L110" s="33">
        <f>ROUND(I110,0)</f>
        <v>1454964</v>
      </c>
      <c r="M110" s="33">
        <f t="shared" si="28"/>
        <v>0</v>
      </c>
      <c r="N110" s="51"/>
      <c r="O110" s="33">
        <f>ROUND(L110,0)</f>
        <v>1454964</v>
      </c>
      <c r="P110" s="33">
        <f t="shared" si="29"/>
        <v>0</v>
      </c>
      <c r="Q110" s="51"/>
      <c r="R110" s="33">
        <f>ROUND(O110,0)</f>
        <v>1454964</v>
      </c>
      <c r="S110" s="33">
        <f t="shared" si="30"/>
        <v>0</v>
      </c>
      <c r="T110" s="51"/>
    </row>
    <row r="111" spans="1:20" x14ac:dyDescent="0.25">
      <c r="C111" s="31" t="s">
        <v>308</v>
      </c>
      <c r="D111" s="32" t="s">
        <v>309</v>
      </c>
      <c r="E111" s="34">
        <v>6286556.8600000013</v>
      </c>
      <c r="F111" s="34">
        <f>ROUND(E111,0)</f>
        <v>6286557</v>
      </c>
      <c r="G111" s="33">
        <f t="shared" si="26"/>
        <v>0.1399999987334013</v>
      </c>
      <c r="H111" s="35"/>
      <c r="I111" s="33">
        <f>ROUND(F111,0)</f>
        <v>6286557</v>
      </c>
      <c r="J111" s="33">
        <f t="shared" si="27"/>
        <v>0</v>
      </c>
      <c r="K111" s="35"/>
      <c r="L111" s="33">
        <f>ROUND(I111,0)</f>
        <v>6286557</v>
      </c>
      <c r="M111" s="33">
        <f t="shared" si="28"/>
        <v>0</v>
      </c>
      <c r="N111" s="35"/>
      <c r="O111" s="33">
        <f>ROUND(L111,0)</f>
        <v>6286557</v>
      </c>
      <c r="P111" s="33">
        <f t="shared" si="29"/>
        <v>0</v>
      </c>
      <c r="Q111" s="35"/>
      <c r="R111" s="33">
        <f>ROUND(O111,0)</f>
        <v>6286557</v>
      </c>
      <c r="S111" s="33">
        <f t="shared" si="30"/>
        <v>0</v>
      </c>
      <c r="T111" s="35"/>
    </row>
    <row r="112" spans="1:20" x14ac:dyDescent="0.25">
      <c r="C112" s="53" t="s">
        <v>310</v>
      </c>
      <c r="D112" s="95" t="s">
        <v>311</v>
      </c>
      <c r="E112" s="97">
        <v>4267403.7422000002</v>
      </c>
      <c r="F112" s="97">
        <f>SUM(F113:F125)</f>
        <v>4267404</v>
      </c>
      <c r="G112" s="39">
        <f t="shared" si="26"/>
        <v>0.25779999978840351</v>
      </c>
      <c r="H112" s="41"/>
      <c r="I112" s="96">
        <f>SUM(I113:I125)</f>
        <v>4393404</v>
      </c>
      <c r="J112" s="39">
        <f t="shared" si="27"/>
        <v>126000</v>
      </c>
      <c r="K112" s="41"/>
      <c r="L112" s="96">
        <f>SUM(L113:L125)</f>
        <v>4477904</v>
      </c>
      <c r="M112" s="39">
        <f t="shared" si="28"/>
        <v>84500</v>
      </c>
      <c r="N112" s="41"/>
      <c r="O112" s="96">
        <f>SUM(O113:O126)</f>
        <v>4545904</v>
      </c>
      <c r="P112" s="39">
        <f t="shared" si="29"/>
        <v>68000</v>
      </c>
      <c r="Q112" s="41"/>
      <c r="R112" s="96">
        <f>SUM(R113:R126)</f>
        <v>2799669</v>
      </c>
      <c r="S112" s="39">
        <f t="shared" si="30"/>
        <v>-1746235</v>
      </c>
      <c r="T112" s="41"/>
    </row>
    <row r="113" spans="1:20" ht="30" x14ac:dyDescent="0.25">
      <c r="A113" s="67"/>
      <c r="B113" s="67"/>
      <c r="C113" s="81" t="s">
        <v>312</v>
      </c>
      <c r="D113" s="98" t="s">
        <v>238</v>
      </c>
      <c r="E113" s="34">
        <v>59922</v>
      </c>
      <c r="F113" s="34">
        <f t="shared" ref="F113:F124" si="38">ROUND(E113,0)</f>
        <v>59922</v>
      </c>
      <c r="G113" s="100">
        <f t="shared" si="26"/>
        <v>0</v>
      </c>
      <c r="H113" s="45"/>
      <c r="I113" s="33">
        <f t="shared" ref="I113:I124" si="39">ROUND(F113,0)</f>
        <v>59922</v>
      </c>
      <c r="J113" s="100">
        <f t="shared" si="27"/>
        <v>0</v>
      </c>
      <c r="K113" s="45"/>
      <c r="L113" s="33">
        <f t="shared" ref="L113:L124" si="40">ROUND(I113,0)</f>
        <v>59922</v>
      </c>
      <c r="M113" s="100">
        <f t="shared" si="28"/>
        <v>0</v>
      </c>
      <c r="N113" s="45"/>
      <c r="O113" s="33">
        <f t="shared" ref="O113:O122" si="41">ROUND(L113,0)</f>
        <v>59922</v>
      </c>
      <c r="P113" s="100">
        <f t="shared" si="29"/>
        <v>0</v>
      </c>
      <c r="Q113" s="45"/>
      <c r="R113" s="33">
        <f t="shared" ref="R113:R121" si="42">ROUND(O113,0)</f>
        <v>59922</v>
      </c>
      <c r="S113" s="100">
        <f t="shared" si="30"/>
        <v>0</v>
      </c>
      <c r="T113" s="45"/>
    </row>
    <row r="114" spans="1:20" x14ac:dyDescent="0.25">
      <c r="A114" s="67"/>
      <c r="B114" s="67"/>
      <c r="C114" s="81" t="s">
        <v>313</v>
      </c>
      <c r="D114" s="98" t="s">
        <v>240</v>
      </c>
      <c r="E114" s="34">
        <v>207089</v>
      </c>
      <c r="F114" s="34">
        <f t="shared" si="38"/>
        <v>207089</v>
      </c>
      <c r="G114" s="100">
        <f t="shared" si="26"/>
        <v>0</v>
      </c>
      <c r="H114" s="45"/>
      <c r="I114" s="33">
        <f t="shared" si="39"/>
        <v>207089</v>
      </c>
      <c r="J114" s="100">
        <f t="shared" si="27"/>
        <v>0</v>
      </c>
      <c r="K114" s="45"/>
      <c r="L114" s="33">
        <f t="shared" si="40"/>
        <v>207089</v>
      </c>
      <c r="M114" s="100">
        <f t="shared" si="28"/>
        <v>0</v>
      </c>
      <c r="N114" s="45"/>
      <c r="O114" s="33">
        <f t="shared" si="41"/>
        <v>207089</v>
      </c>
      <c r="P114" s="100">
        <f t="shared" si="29"/>
        <v>0</v>
      </c>
      <c r="Q114" s="45"/>
      <c r="R114" s="33">
        <f t="shared" si="42"/>
        <v>207089</v>
      </c>
      <c r="S114" s="100">
        <f t="shared" si="30"/>
        <v>0</v>
      </c>
      <c r="T114" s="45"/>
    </row>
    <row r="115" spans="1:20" ht="44.45" customHeight="1" x14ac:dyDescent="0.25">
      <c r="A115" s="67"/>
      <c r="B115" s="67"/>
      <c r="C115" s="81" t="s">
        <v>314</v>
      </c>
      <c r="D115" s="101" t="s">
        <v>315</v>
      </c>
      <c r="E115" s="34">
        <v>320141.35220000002</v>
      </c>
      <c r="F115" s="34">
        <f t="shared" si="38"/>
        <v>320141</v>
      </c>
      <c r="G115" s="100">
        <f t="shared" si="26"/>
        <v>-0.35220000002300367</v>
      </c>
      <c r="H115" s="45"/>
      <c r="I115" s="33">
        <f t="shared" si="39"/>
        <v>320141</v>
      </c>
      <c r="J115" s="100">
        <f t="shared" si="27"/>
        <v>0</v>
      </c>
      <c r="K115" s="45"/>
      <c r="L115" s="33">
        <f t="shared" si="40"/>
        <v>320141</v>
      </c>
      <c r="M115" s="100">
        <f t="shared" si="28"/>
        <v>0</v>
      </c>
      <c r="N115" s="45"/>
      <c r="O115" s="33">
        <f t="shared" si="41"/>
        <v>320141</v>
      </c>
      <c r="P115" s="100">
        <f t="shared" si="29"/>
        <v>0</v>
      </c>
      <c r="Q115" s="45"/>
      <c r="R115" s="33">
        <f t="shared" si="42"/>
        <v>320141</v>
      </c>
      <c r="S115" s="100">
        <f t="shared" si="30"/>
        <v>0</v>
      </c>
      <c r="T115" s="45"/>
    </row>
    <row r="116" spans="1:20" ht="30" x14ac:dyDescent="0.25">
      <c r="A116" s="67" t="s">
        <v>199</v>
      </c>
      <c r="B116" s="67" t="s">
        <v>316</v>
      </c>
      <c r="C116" s="81" t="s">
        <v>317</v>
      </c>
      <c r="D116" s="101" t="s">
        <v>318</v>
      </c>
      <c r="E116" s="34">
        <v>624704.49</v>
      </c>
      <c r="F116" s="34">
        <f t="shared" si="38"/>
        <v>624704</v>
      </c>
      <c r="G116" s="100">
        <f t="shared" si="26"/>
        <v>-0.48999999999068677</v>
      </c>
      <c r="H116" s="43"/>
      <c r="I116" s="33">
        <f t="shared" si="39"/>
        <v>624704</v>
      </c>
      <c r="J116" s="100">
        <f t="shared" si="27"/>
        <v>0</v>
      </c>
      <c r="K116" s="43"/>
      <c r="L116" s="33">
        <f t="shared" si="40"/>
        <v>624704</v>
      </c>
      <c r="M116" s="100">
        <f t="shared" si="28"/>
        <v>0</v>
      </c>
      <c r="N116" s="43"/>
      <c r="O116" s="33">
        <f t="shared" si="41"/>
        <v>624704</v>
      </c>
      <c r="P116" s="100">
        <f t="shared" si="29"/>
        <v>0</v>
      </c>
      <c r="Q116" s="43"/>
      <c r="R116" s="33">
        <f t="shared" si="42"/>
        <v>624704</v>
      </c>
      <c r="S116" s="100">
        <f t="shared" si="30"/>
        <v>0</v>
      </c>
      <c r="T116" s="43"/>
    </row>
    <row r="117" spans="1:20" ht="30" customHeight="1" x14ac:dyDescent="0.25">
      <c r="A117" s="67"/>
      <c r="B117" s="67"/>
      <c r="C117" s="81" t="s">
        <v>319</v>
      </c>
      <c r="D117" s="101" t="s">
        <v>204</v>
      </c>
      <c r="E117" s="34">
        <v>37334.9</v>
      </c>
      <c r="F117" s="34">
        <f t="shared" si="38"/>
        <v>37335</v>
      </c>
      <c r="G117" s="100">
        <f t="shared" si="26"/>
        <v>9.9999999998544808E-2</v>
      </c>
      <c r="H117" s="43"/>
      <c r="I117" s="33">
        <f t="shared" si="39"/>
        <v>37335</v>
      </c>
      <c r="J117" s="100">
        <f t="shared" si="27"/>
        <v>0</v>
      </c>
      <c r="K117" s="43"/>
      <c r="L117" s="33">
        <f t="shared" si="40"/>
        <v>37335</v>
      </c>
      <c r="M117" s="100">
        <f t="shared" si="28"/>
        <v>0</v>
      </c>
      <c r="N117" s="43"/>
      <c r="O117" s="33">
        <f t="shared" si="41"/>
        <v>37335</v>
      </c>
      <c r="P117" s="100">
        <f t="shared" si="29"/>
        <v>0</v>
      </c>
      <c r="Q117" s="43"/>
      <c r="R117" s="33">
        <f t="shared" si="42"/>
        <v>37335</v>
      </c>
      <c r="S117" s="100">
        <f t="shared" si="30"/>
        <v>0</v>
      </c>
      <c r="T117" s="43"/>
    </row>
    <row r="118" spans="1:20" x14ac:dyDescent="0.25">
      <c r="B118" s="67"/>
      <c r="C118" s="81" t="s">
        <v>320</v>
      </c>
      <c r="D118" s="101" t="s">
        <v>321</v>
      </c>
      <c r="E118" s="102">
        <v>582946</v>
      </c>
      <c r="F118" s="102">
        <f t="shared" si="38"/>
        <v>582946</v>
      </c>
      <c r="G118" s="103">
        <f t="shared" si="26"/>
        <v>0</v>
      </c>
      <c r="H118" s="104"/>
      <c r="I118" s="99">
        <f>ROUND(F118,0)</f>
        <v>582946</v>
      </c>
      <c r="J118" s="103">
        <f t="shared" si="27"/>
        <v>0</v>
      </c>
      <c r="K118" s="45"/>
      <c r="L118" s="99">
        <f t="shared" si="40"/>
        <v>582946</v>
      </c>
      <c r="M118" s="103">
        <f t="shared" si="28"/>
        <v>0</v>
      </c>
      <c r="N118" s="45"/>
      <c r="O118" s="99">
        <f t="shared" si="41"/>
        <v>582946</v>
      </c>
      <c r="P118" s="103">
        <f t="shared" si="29"/>
        <v>0</v>
      </c>
      <c r="Q118" s="45"/>
      <c r="R118" s="99">
        <f t="shared" si="42"/>
        <v>582946</v>
      </c>
      <c r="S118" s="103">
        <f t="shared" si="30"/>
        <v>0</v>
      </c>
      <c r="T118" s="45"/>
    </row>
    <row r="119" spans="1:20" ht="45" customHeight="1" x14ac:dyDescent="0.25">
      <c r="B119" s="67"/>
      <c r="C119" s="81" t="s">
        <v>322</v>
      </c>
      <c r="D119" s="105" t="s">
        <v>323</v>
      </c>
      <c r="E119" s="106">
        <v>390000</v>
      </c>
      <c r="F119" s="102">
        <f t="shared" si="38"/>
        <v>390000</v>
      </c>
      <c r="G119" s="103">
        <f t="shared" si="26"/>
        <v>0</v>
      </c>
      <c r="H119" s="104"/>
      <c r="I119" s="99">
        <f t="shared" si="39"/>
        <v>390000</v>
      </c>
      <c r="J119" s="103">
        <f t="shared" si="27"/>
        <v>0</v>
      </c>
      <c r="K119" s="45"/>
      <c r="L119" s="99">
        <f t="shared" si="40"/>
        <v>390000</v>
      </c>
      <c r="M119" s="103">
        <f t="shared" si="28"/>
        <v>0</v>
      </c>
      <c r="N119" s="43"/>
      <c r="O119" s="99">
        <f t="shared" si="41"/>
        <v>390000</v>
      </c>
      <c r="P119" s="103">
        <f t="shared" si="29"/>
        <v>0</v>
      </c>
      <c r="Q119" s="43"/>
      <c r="R119" s="99">
        <f t="shared" si="42"/>
        <v>390000</v>
      </c>
      <c r="S119" s="103">
        <f t="shared" si="30"/>
        <v>0</v>
      </c>
      <c r="T119" s="43"/>
    </row>
    <row r="120" spans="1:20" ht="16.149999999999999" customHeight="1" x14ac:dyDescent="0.25">
      <c r="B120" s="67"/>
      <c r="C120" s="81" t="s">
        <v>324</v>
      </c>
      <c r="D120" s="107" t="s">
        <v>325</v>
      </c>
      <c r="E120" s="108">
        <v>645000</v>
      </c>
      <c r="F120" s="102">
        <f t="shared" si="38"/>
        <v>645000</v>
      </c>
      <c r="G120" s="103">
        <f t="shared" si="26"/>
        <v>0</v>
      </c>
      <c r="H120" s="104"/>
      <c r="I120" s="99">
        <f t="shared" si="39"/>
        <v>645000</v>
      </c>
      <c r="J120" s="103">
        <f t="shared" si="27"/>
        <v>0</v>
      </c>
      <c r="K120" s="45"/>
      <c r="L120" s="99">
        <f t="shared" si="40"/>
        <v>645000</v>
      </c>
      <c r="M120" s="103">
        <f t="shared" si="28"/>
        <v>0</v>
      </c>
      <c r="N120" s="43"/>
      <c r="O120" s="99">
        <f t="shared" si="41"/>
        <v>645000</v>
      </c>
      <c r="P120" s="103">
        <f t="shared" si="29"/>
        <v>0</v>
      </c>
      <c r="Q120" s="43"/>
      <c r="R120" s="99">
        <f>ROUND(O120,0)-645000</f>
        <v>0</v>
      </c>
      <c r="S120" s="103">
        <f t="shared" si="30"/>
        <v>-645000</v>
      </c>
      <c r="T120" s="43" t="s">
        <v>326</v>
      </c>
    </row>
    <row r="121" spans="1:20" ht="16.149999999999999" customHeight="1" x14ac:dyDescent="0.25">
      <c r="B121" s="67" t="s">
        <v>243</v>
      </c>
      <c r="C121" s="81" t="s">
        <v>327</v>
      </c>
      <c r="D121" s="107" t="s">
        <v>245</v>
      </c>
      <c r="E121" s="109">
        <v>164032</v>
      </c>
      <c r="F121" s="102">
        <f t="shared" si="38"/>
        <v>164032</v>
      </c>
      <c r="G121" s="103">
        <f t="shared" si="26"/>
        <v>0</v>
      </c>
      <c r="H121" s="104"/>
      <c r="I121" s="99">
        <f t="shared" si="39"/>
        <v>164032</v>
      </c>
      <c r="J121" s="103">
        <f t="shared" si="27"/>
        <v>0</v>
      </c>
      <c r="K121" s="45"/>
      <c r="L121" s="99">
        <f t="shared" si="40"/>
        <v>164032</v>
      </c>
      <c r="M121" s="103">
        <f t="shared" si="28"/>
        <v>0</v>
      </c>
      <c r="N121" s="43"/>
      <c r="O121" s="99">
        <f t="shared" si="41"/>
        <v>164032</v>
      </c>
      <c r="P121" s="103">
        <f t="shared" si="29"/>
        <v>0</v>
      </c>
      <c r="Q121" s="43"/>
      <c r="R121" s="99">
        <f t="shared" si="42"/>
        <v>164032</v>
      </c>
      <c r="S121" s="103">
        <f t="shared" si="30"/>
        <v>0</v>
      </c>
      <c r="T121" s="43"/>
    </row>
    <row r="122" spans="1:20" ht="27" customHeight="1" x14ac:dyDescent="0.25">
      <c r="B122" s="67"/>
      <c r="C122" s="81" t="s">
        <v>328</v>
      </c>
      <c r="D122" s="107" t="s">
        <v>247</v>
      </c>
      <c r="E122" s="109">
        <v>907235</v>
      </c>
      <c r="F122" s="102">
        <f t="shared" si="38"/>
        <v>907235</v>
      </c>
      <c r="G122" s="103">
        <f t="shared" si="26"/>
        <v>0</v>
      </c>
      <c r="H122" s="104"/>
      <c r="I122" s="99">
        <f t="shared" si="39"/>
        <v>907235</v>
      </c>
      <c r="J122" s="103">
        <f t="shared" si="27"/>
        <v>0</v>
      </c>
      <c r="K122" s="45"/>
      <c r="L122" s="99">
        <f t="shared" si="40"/>
        <v>907235</v>
      </c>
      <c r="M122" s="103">
        <f t="shared" si="28"/>
        <v>0</v>
      </c>
      <c r="N122" s="110"/>
      <c r="O122" s="99">
        <f t="shared" si="41"/>
        <v>907235</v>
      </c>
      <c r="P122" s="103">
        <f t="shared" si="29"/>
        <v>0</v>
      </c>
      <c r="Q122" s="43"/>
      <c r="R122" s="99">
        <f>ROUND(O122,0)-907235</f>
        <v>0</v>
      </c>
      <c r="S122" s="103">
        <f t="shared" si="30"/>
        <v>-907235</v>
      </c>
      <c r="T122" s="45" t="s">
        <v>248</v>
      </c>
    </row>
    <row r="123" spans="1:20" ht="27.6" customHeight="1" x14ac:dyDescent="0.25">
      <c r="B123" s="67"/>
      <c r="C123" s="111" t="s">
        <v>329</v>
      </c>
      <c r="D123" s="112" t="s">
        <v>330</v>
      </c>
      <c r="E123" s="109">
        <v>203000</v>
      </c>
      <c r="F123" s="102">
        <f t="shared" si="38"/>
        <v>203000</v>
      </c>
      <c r="G123" s="103">
        <f t="shared" si="26"/>
        <v>0</v>
      </c>
      <c r="H123" s="104"/>
      <c r="I123" s="99">
        <f t="shared" si="39"/>
        <v>203000</v>
      </c>
      <c r="J123" s="103">
        <f t="shared" si="27"/>
        <v>0</v>
      </c>
      <c r="K123" s="45"/>
      <c r="L123" s="99">
        <f>ROUND(I123,0)+84500</f>
        <v>287500</v>
      </c>
      <c r="M123" s="103">
        <f t="shared" si="28"/>
        <v>84500</v>
      </c>
      <c r="N123" s="113" t="s">
        <v>331</v>
      </c>
      <c r="O123" s="99">
        <f>ROUND(L123,0)</f>
        <v>287500</v>
      </c>
      <c r="P123" s="103">
        <f t="shared" si="29"/>
        <v>0</v>
      </c>
      <c r="Q123" s="43"/>
      <c r="R123" s="99">
        <f>ROUND(O123,0)</f>
        <v>287500</v>
      </c>
      <c r="S123" s="103">
        <f t="shared" si="30"/>
        <v>0</v>
      </c>
      <c r="T123" s="43"/>
    </row>
    <row r="124" spans="1:20" ht="42" customHeight="1" x14ac:dyDescent="0.25">
      <c r="B124" s="67"/>
      <c r="C124" s="81" t="s">
        <v>332</v>
      </c>
      <c r="D124" s="114" t="s">
        <v>333</v>
      </c>
      <c r="E124" s="102">
        <v>126000</v>
      </c>
      <c r="F124" s="102">
        <f t="shared" si="38"/>
        <v>126000</v>
      </c>
      <c r="G124" s="103">
        <f t="shared" si="26"/>
        <v>0</v>
      </c>
      <c r="H124" s="104"/>
      <c r="I124" s="99">
        <f t="shared" si="39"/>
        <v>126000</v>
      </c>
      <c r="J124" s="103">
        <f t="shared" si="27"/>
        <v>0</v>
      </c>
      <c r="K124" s="45"/>
      <c r="L124" s="99">
        <f t="shared" si="40"/>
        <v>126000</v>
      </c>
      <c r="M124" s="103">
        <f t="shared" si="28"/>
        <v>0</v>
      </c>
      <c r="N124" s="35"/>
      <c r="O124" s="99">
        <f>ROUND(L124,0)</f>
        <v>126000</v>
      </c>
      <c r="P124" s="103">
        <f t="shared" si="29"/>
        <v>0</v>
      </c>
      <c r="Q124" s="43"/>
      <c r="R124" s="99">
        <f>ROUND(O124,0)-126000</f>
        <v>0</v>
      </c>
      <c r="S124" s="103">
        <f t="shared" si="30"/>
        <v>-126000</v>
      </c>
      <c r="T124" s="45" t="s">
        <v>334</v>
      </c>
    </row>
    <row r="125" spans="1:20" ht="15" customHeight="1" x14ac:dyDescent="0.25">
      <c r="B125" s="67"/>
      <c r="C125" s="81" t="s">
        <v>335</v>
      </c>
      <c r="D125" s="107" t="s">
        <v>336</v>
      </c>
      <c r="E125" s="109">
        <v>0</v>
      </c>
      <c r="F125" s="102">
        <f>ROUND(E125,0)</f>
        <v>0</v>
      </c>
      <c r="G125" s="33">
        <f>F125-E125</f>
        <v>0</v>
      </c>
      <c r="H125" s="115"/>
      <c r="I125" s="99">
        <f>ROUND(F125,0)+126000</f>
        <v>126000</v>
      </c>
      <c r="J125" s="33">
        <f>I125-F125</f>
        <v>126000</v>
      </c>
      <c r="K125" s="45" t="s">
        <v>337</v>
      </c>
      <c r="L125" s="99">
        <f>ROUND(I125,0)</f>
        <v>126000</v>
      </c>
      <c r="M125" s="33">
        <f t="shared" si="28"/>
        <v>0</v>
      </c>
      <c r="N125" s="110"/>
      <c r="O125" s="99">
        <f>ROUND(L125,0)</f>
        <v>126000</v>
      </c>
      <c r="P125" s="116">
        <f t="shared" si="29"/>
        <v>0</v>
      </c>
      <c r="Q125" s="43"/>
      <c r="R125" s="99">
        <f>ROUND(O125,0)</f>
        <v>126000</v>
      </c>
      <c r="S125" s="116">
        <f t="shared" si="30"/>
        <v>0</v>
      </c>
      <c r="T125" s="43"/>
    </row>
    <row r="126" spans="1:20" ht="13.15" customHeight="1" thickBot="1" x14ac:dyDescent="0.3">
      <c r="B126" s="67"/>
      <c r="C126" s="117" t="s">
        <v>338</v>
      </c>
      <c r="D126" s="118" t="s">
        <v>339</v>
      </c>
      <c r="E126" s="119"/>
      <c r="F126" s="120"/>
      <c r="G126" s="121"/>
      <c r="H126" s="122"/>
      <c r="I126" s="123"/>
      <c r="J126" s="121"/>
      <c r="K126" s="124"/>
      <c r="L126" s="123"/>
      <c r="M126" s="121"/>
      <c r="N126" s="125"/>
      <c r="O126" s="123">
        <v>68000</v>
      </c>
      <c r="P126" s="126">
        <f t="shared" si="29"/>
        <v>68000</v>
      </c>
      <c r="Q126" s="127" t="s">
        <v>340</v>
      </c>
      <c r="R126" s="123">
        <f>68000-68000</f>
        <v>0</v>
      </c>
      <c r="S126" s="126">
        <f t="shared" si="30"/>
        <v>-68000</v>
      </c>
      <c r="T126" s="127" t="s">
        <v>341</v>
      </c>
    </row>
    <row r="127" spans="1:20" ht="15.75" thickBot="1" x14ac:dyDescent="0.3">
      <c r="C127" s="128"/>
      <c r="D127" s="129" t="s">
        <v>342</v>
      </c>
      <c r="E127" s="93">
        <v>58162296.232200004</v>
      </c>
      <c r="F127" s="93">
        <f t="shared" ref="F127" si="43">F108+F109+F112</f>
        <v>58220652</v>
      </c>
      <c r="G127" s="92">
        <f t="shared" si="26"/>
        <v>58355.76779999584</v>
      </c>
      <c r="H127" s="130"/>
      <c r="I127" s="92">
        <f>I108+I109+I112</f>
        <v>58714633</v>
      </c>
      <c r="J127" s="92">
        <f t="shared" si="27"/>
        <v>493981</v>
      </c>
      <c r="K127" s="130"/>
      <c r="L127" s="92">
        <f>L108+L109+L112</f>
        <v>58875584</v>
      </c>
      <c r="M127" s="92">
        <f t="shared" si="28"/>
        <v>160951</v>
      </c>
      <c r="N127" s="130"/>
      <c r="O127" s="92">
        <f>O108+O109+O112</f>
        <v>58993584</v>
      </c>
      <c r="P127" s="92">
        <f t="shared" si="29"/>
        <v>118000</v>
      </c>
      <c r="Q127" s="130"/>
      <c r="R127" s="92">
        <f>R108+R109+R112</f>
        <v>57489795</v>
      </c>
      <c r="S127" s="92">
        <f t="shared" si="30"/>
        <v>-1503789</v>
      </c>
      <c r="T127" s="130"/>
    </row>
    <row r="129" spans="2:20" x14ac:dyDescent="0.25">
      <c r="G129" s="4"/>
      <c r="I129" s="4"/>
      <c r="J129" s="4"/>
      <c r="L129" s="4"/>
      <c r="M129" s="4"/>
      <c r="O129" s="4"/>
      <c r="P129" s="4"/>
      <c r="R129" s="4"/>
      <c r="S129" s="4"/>
    </row>
    <row r="130" spans="2:20" ht="20.25" x14ac:dyDescent="0.3">
      <c r="C130" s="349" t="s">
        <v>343</v>
      </c>
      <c r="D130" s="349"/>
      <c r="G130" s="4"/>
      <c r="I130" s="4"/>
      <c r="J130" s="4"/>
      <c r="L130" s="4"/>
      <c r="M130" s="4"/>
      <c r="O130" s="4"/>
      <c r="P130" s="4"/>
      <c r="R130" s="4"/>
      <c r="S130" s="4"/>
    </row>
    <row r="131" spans="2:20" ht="15.75" thickBot="1" x14ac:dyDescent="0.3">
      <c r="C131" s="350"/>
      <c r="D131" s="350"/>
      <c r="G131" s="133"/>
      <c r="I131" s="133"/>
      <c r="J131" s="133"/>
      <c r="L131" s="133"/>
      <c r="M131" s="133"/>
      <c r="O131" s="133"/>
      <c r="P131" s="133"/>
      <c r="R131" s="133"/>
      <c r="S131" s="133"/>
    </row>
    <row r="132" spans="2:20" ht="57" customHeight="1" outlineLevel="1" thickBot="1" x14ac:dyDescent="0.3">
      <c r="C132" s="15" t="s">
        <v>3</v>
      </c>
      <c r="D132" s="16" t="s">
        <v>4</v>
      </c>
      <c r="E132" s="18" t="s">
        <v>6</v>
      </c>
      <c r="F132" s="18" t="s">
        <v>7</v>
      </c>
      <c r="G132" s="17" t="s">
        <v>8</v>
      </c>
      <c r="H132" s="19" t="s">
        <v>344</v>
      </c>
      <c r="I132" s="17" t="s">
        <v>10</v>
      </c>
      <c r="J132" s="17" t="s">
        <v>11</v>
      </c>
      <c r="K132" s="19" t="s">
        <v>344</v>
      </c>
      <c r="L132" s="17" t="s">
        <v>12</v>
      </c>
      <c r="M132" s="17" t="s">
        <v>13</v>
      </c>
      <c r="N132" s="19" t="s">
        <v>344</v>
      </c>
      <c r="O132" s="17" t="s">
        <v>14</v>
      </c>
      <c r="P132" s="17" t="s">
        <v>15</v>
      </c>
      <c r="Q132" s="19" t="s">
        <v>344</v>
      </c>
      <c r="R132" s="17" t="s">
        <v>14</v>
      </c>
      <c r="S132" s="17" t="s">
        <v>15</v>
      </c>
      <c r="T132" s="19" t="s">
        <v>344</v>
      </c>
    </row>
    <row r="133" spans="2:20" x14ac:dyDescent="0.25">
      <c r="C133" s="134" t="s">
        <v>21</v>
      </c>
      <c r="D133" s="135" t="s">
        <v>345</v>
      </c>
      <c r="E133" s="137">
        <v>8245497.4604350002</v>
      </c>
      <c r="F133" s="137">
        <f t="shared" ref="F133" si="44">SUM(F134:F142)</f>
        <v>8245497</v>
      </c>
      <c r="G133" s="136">
        <f t="shared" ref="G133:G196" si="45">F133-E133</f>
        <v>-0.46043500024825335</v>
      </c>
      <c r="H133" s="138"/>
      <c r="I133" s="136">
        <f>SUM(I134:I142)</f>
        <v>8253567</v>
      </c>
      <c r="J133" s="136">
        <f t="shared" ref="J133:J197" si="46">I133-F133</f>
        <v>8070</v>
      </c>
      <c r="K133" s="138"/>
      <c r="L133" s="136">
        <f>SUM(L134:L142)</f>
        <v>8253567</v>
      </c>
      <c r="M133" s="136">
        <f t="shared" ref="M133:M197" si="47">L133-I133</f>
        <v>0</v>
      </c>
      <c r="N133" s="138"/>
      <c r="O133" s="136">
        <f>SUM(O134:O142)</f>
        <v>8293568</v>
      </c>
      <c r="P133" s="136">
        <f t="shared" ref="P133:P197" si="48">O133-L133</f>
        <v>40001</v>
      </c>
      <c r="Q133" s="138"/>
      <c r="R133" s="136">
        <f>SUM(R134:R142)</f>
        <v>8440303</v>
      </c>
      <c r="S133" s="136">
        <f t="shared" ref="S133:S197" si="49">R133-O133</f>
        <v>146735</v>
      </c>
      <c r="T133" s="138"/>
    </row>
    <row r="134" spans="2:20" ht="31.5" customHeight="1" x14ac:dyDescent="0.25">
      <c r="B134" s="67" t="s">
        <v>346</v>
      </c>
      <c r="C134" s="139" t="s">
        <v>25</v>
      </c>
      <c r="D134" s="140" t="s">
        <v>347</v>
      </c>
      <c r="E134" s="70">
        <v>1904696</v>
      </c>
      <c r="F134" s="70">
        <f>ROUND(E134,0)</f>
        <v>1904696</v>
      </c>
      <c r="G134" s="56">
        <f t="shared" si="45"/>
        <v>0</v>
      </c>
      <c r="H134" s="71"/>
      <c r="I134" s="56">
        <f>ROUND(F134,0)-16038</f>
        <v>1888658</v>
      </c>
      <c r="J134" s="141">
        <f t="shared" si="46"/>
        <v>-16038</v>
      </c>
      <c r="K134" s="142" t="s">
        <v>348</v>
      </c>
      <c r="L134" s="56">
        <f t="shared" ref="L134:L145" si="50">ROUND(I134,0)</f>
        <v>1888658</v>
      </c>
      <c r="M134" s="56">
        <f t="shared" si="47"/>
        <v>0</v>
      </c>
      <c r="N134" s="71"/>
      <c r="O134" s="56">
        <f t="shared" ref="O134:O145" si="51">ROUND(L134,0)</f>
        <v>1888658</v>
      </c>
      <c r="P134" s="56">
        <f t="shared" si="48"/>
        <v>0</v>
      </c>
      <c r="Q134" s="71"/>
      <c r="R134" s="56">
        <f t="shared" ref="R134:R139" si="52">ROUND(O134,0)</f>
        <v>1888658</v>
      </c>
      <c r="S134" s="56">
        <f t="shared" si="49"/>
        <v>0</v>
      </c>
      <c r="T134" s="71"/>
    </row>
    <row r="135" spans="2:20" x14ac:dyDescent="0.25">
      <c r="B135" s="67" t="s">
        <v>349</v>
      </c>
      <c r="C135" s="139" t="s">
        <v>29</v>
      </c>
      <c r="D135" s="140" t="s">
        <v>350</v>
      </c>
      <c r="E135" s="70">
        <v>355819</v>
      </c>
      <c r="F135" s="70">
        <f t="shared" ref="F135:F144" si="53">ROUND(E135,0)</f>
        <v>355819</v>
      </c>
      <c r="G135" s="56">
        <f t="shared" si="45"/>
        <v>0</v>
      </c>
      <c r="H135" s="143"/>
      <c r="I135" s="56">
        <f t="shared" ref="I135:I140" si="54">ROUND(F135,0)</f>
        <v>355819</v>
      </c>
      <c r="J135" s="56">
        <f t="shared" si="46"/>
        <v>0</v>
      </c>
      <c r="K135" s="143"/>
      <c r="L135" s="56">
        <f t="shared" si="50"/>
        <v>355819</v>
      </c>
      <c r="M135" s="56">
        <f t="shared" si="47"/>
        <v>0</v>
      </c>
      <c r="N135" s="143"/>
      <c r="O135" s="56">
        <f t="shared" si="51"/>
        <v>355819</v>
      </c>
      <c r="P135" s="56">
        <f t="shared" si="48"/>
        <v>0</v>
      </c>
      <c r="Q135" s="143"/>
      <c r="R135" s="56">
        <f t="shared" si="52"/>
        <v>355819</v>
      </c>
      <c r="S135" s="56">
        <f t="shared" si="49"/>
        <v>0</v>
      </c>
      <c r="T135" s="143"/>
    </row>
    <row r="136" spans="2:20" ht="13.15" customHeight="1" x14ac:dyDescent="0.25">
      <c r="B136" s="67" t="s">
        <v>351</v>
      </c>
      <c r="C136" s="139" t="s">
        <v>352</v>
      </c>
      <c r="D136" s="140" t="s">
        <v>353</v>
      </c>
      <c r="E136" s="70">
        <v>58895</v>
      </c>
      <c r="F136" s="70">
        <f>ROUND(E136,0)</f>
        <v>58895</v>
      </c>
      <c r="G136" s="56">
        <f t="shared" si="45"/>
        <v>0</v>
      </c>
      <c r="H136" s="71"/>
      <c r="I136" s="56">
        <f t="shared" si="54"/>
        <v>58895</v>
      </c>
      <c r="J136" s="56">
        <f t="shared" si="46"/>
        <v>0</v>
      </c>
      <c r="K136" s="71"/>
      <c r="L136" s="56">
        <f t="shared" si="50"/>
        <v>58895</v>
      </c>
      <c r="M136" s="56">
        <f t="shared" si="47"/>
        <v>0</v>
      </c>
      <c r="N136" s="71"/>
      <c r="O136" s="56">
        <f t="shared" si="51"/>
        <v>58895</v>
      </c>
      <c r="P136" s="56">
        <f t="shared" si="48"/>
        <v>0</v>
      </c>
      <c r="Q136" s="71"/>
      <c r="R136" s="56">
        <f t="shared" si="52"/>
        <v>58895</v>
      </c>
      <c r="S136" s="56">
        <f t="shared" si="49"/>
        <v>0</v>
      </c>
      <c r="T136" s="71"/>
    </row>
    <row r="137" spans="2:20" ht="14.45" customHeight="1" x14ac:dyDescent="0.25">
      <c r="B137" s="67" t="s">
        <v>354</v>
      </c>
      <c r="C137" s="139" t="s">
        <v>355</v>
      </c>
      <c r="D137" s="140" t="s">
        <v>356</v>
      </c>
      <c r="E137" s="70">
        <v>50294</v>
      </c>
      <c r="F137" s="70">
        <f t="shared" si="53"/>
        <v>50294</v>
      </c>
      <c r="G137" s="56">
        <f t="shared" si="45"/>
        <v>0</v>
      </c>
      <c r="H137" s="71"/>
      <c r="I137" s="56">
        <f t="shared" si="54"/>
        <v>50294</v>
      </c>
      <c r="J137" s="56">
        <f t="shared" si="46"/>
        <v>0</v>
      </c>
      <c r="K137" s="71"/>
      <c r="L137" s="56">
        <f t="shared" si="50"/>
        <v>50294</v>
      </c>
      <c r="M137" s="56">
        <f t="shared" si="47"/>
        <v>0</v>
      </c>
      <c r="N137" s="71"/>
      <c r="O137" s="56">
        <f t="shared" si="51"/>
        <v>50294</v>
      </c>
      <c r="P137" s="56">
        <f t="shared" si="48"/>
        <v>0</v>
      </c>
      <c r="Q137" s="71"/>
      <c r="R137" s="56">
        <f t="shared" si="52"/>
        <v>50294</v>
      </c>
      <c r="S137" s="56">
        <f t="shared" si="49"/>
        <v>0</v>
      </c>
      <c r="T137" s="71"/>
    </row>
    <row r="138" spans="2:20" ht="18" customHeight="1" x14ac:dyDescent="0.25">
      <c r="B138" s="67" t="s">
        <v>357</v>
      </c>
      <c r="C138" s="139" t="s">
        <v>358</v>
      </c>
      <c r="D138" s="140" t="s">
        <v>359</v>
      </c>
      <c r="E138" s="70">
        <v>6588</v>
      </c>
      <c r="F138" s="70">
        <f t="shared" si="53"/>
        <v>6588</v>
      </c>
      <c r="G138" s="56">
        <f t="shared" si="45"/>
        <v>0</v>
      </c>
      <c r="H138" s="143"/>
      <c r="I138" s="56">
        <f t="shared" si="54"/>
        <v>6588</v>
      </c>
      <c r="J138" s="56">
        <f t="shared" si="46"/>
        <v>0</v>
      </c>
      <c r="K138" s="143"/>
      <c r="L138" s="56">
        <f t="shared" si="50"/>
        <v>6588</v>
      </c>
      <c r="M138" s="56">
        <f t="shared" si="47"/>
        <v>0</v>
      </c>
      <c r="N138" s="143"/>
      <c r="O138" s="56">
        <f t="shared" si="51"/>
        <v>6588</v>
      </c>
      <c r="P138" s="56">
        <f t="shared" si="48"/>
        <v>0</v>
      </c>
      <c r="Q138" s="143"/>
      <c r="R138" s="56">
        <f t="shared" si="52"/>
        <v>6588</v>
      </c>
      <c r="S138" s="56">
        <f t="shared" si="49"/>
        <v>0</v>
      </c>
      <c r="T138" s="143"/>
    </row>
    <row r="139" spans="2:20" ht="29.45" customHeight="1" x14ac:dyDescent="0.25">
      <c r="B139" s="67" t="s">
        <v>360</v>
      </c>
      <c r="C139" s="139" t="s">
        <v>361</v>
      </c>
      <c r="D139" s="140" t="s">
        <v>362</v>
      </c>
      <c r="E139" s="70">
        <v>71620</v>
      </c>
      <c r="F139" s="70">
        <f t="shared" si="53"/>
        <v>71620</v>
      </c>
      <c r="G139" s="56">
        <f t="shared" si="45"/>
        <v>0</v>
      </c>
      <c r="H139" s="143"/>
      <c r="I139" s="56">
        <f>ROUND(F139,0)-2000</f>
        <v>69620</v>
      </c>
      <c r="J139" s="56">
        <f t="shared" si="46"/>
        <v>-2000</v>
      </c>
      <c r="K139" s="143" t="s">
        <v>363</v>
      </c>
      <c r="L139" s="56">
        <f t="shared" si="50"/>
        <v>69620</v>
      </c>
      <c r="M139" s="56">
        <f t="shared" si="47"/>
        <v>0</v>
      </c>
      <c r="N139" s="143"/>
      <c r="O139" s="56">
        <f t="shared" si="51"/>
        <v>69620</v>
      </c>
      <c r="P139" s="56">
        <f t="shared" si="48"/>
        <v>0</v>
      </c>
      <c r="Q139" s="143"/>
      <c r="R139" s="56">
        <f t="shared" si="52"/>
        <v>69620</v>
      </c>
      <c r="S139" s="56">
        <f t="shared" si="49"/>
        <v>0</v>
      </c>
      <c r="T139" s="143"/>
    </row>
    <row r="140" spans="2:20" ht="29.45" customHeight="1" x14ac:dyDescent="0.25">
      <c r="B140" s="67" t="s">
        <v>346</v>
      </c>
      <c r="C140" s="139" t="s">
        <v>364</v>
      </c>
      <c r="D140" s="140" t="s">
        <v>365</v>
      </c>
      <c r="E140" s="70">
        <v>1047339</v>
      </c>
      <c r="F140" s="70">
        <f t="shared" si="53"/>
        <v>1047339</v>
      </c>
      <c r="G140" s="56">
        <f t="shared" si="45"/>
        <v>0</v>
      </c>
      <c r="H140" s="71"/>
      <c r="I140" s="56">
        <f t="shared" si="54"/>
        <v>1047339</v>
      </c>
      <c r="J140" s="56">
        <f t="shared" si="46"/>
        <v>0</v>
      </c>
      <c r="K140" s="71"/>
      <c r="L140" s="56">
        <f t="shared" si="50"/>
        <v>1047339</v>
      </c>
      <c r="M140" s="56">
        <f t="shared" si="47"/>
        <v>0</v>
      </c>
      <c r="N140" s="71"/>
      <c r="O140" s="56">
        <f>ROUND(L140,0)+40001</f>
        <v>1087340</v>
      </c>
      <c r="P140" s="56">
        <f t="shared" si="48"/>
        <v>40001</v>
      </c>
      <c r="Q140" s="71" t="s">
        <v>366</v>
      </c>
      <c r="R140" s="56">
        <f>ROUND(O140,0)+137023</f>
        <v>1224363</v>
      </c>
      <c r="S140" s="56">
        <f t="shared" si="49"/>
        <v>137023</v>
      </c>
      <c r="T140" s="71" t="s">
        <v>367</v>
      </c>
    </row>
    <row r="141" spans="2:20" x14ac:dyDescent="0.25">
      <c r="B141" s="67" t="s">
        <v>346</v>
      </c>
      <c r="C141" s="139" t="s">
        <v>368</v>
      </c>
      <c r="D141" s="140" t="s">
        <v>369</v>
      </c>
      <c r="E141" s="70">
        <v>4392666</v>
      </c>
      <c r="F141" s="70">
        <f t="shared" si="53"/>
        <v>4392666</v>
      </c>
      <c r="G141" s="56">
        <f t="shared" si="45"/>
        <v>0</v>
      </c>
      <c r="H141" s="143"/>
      <c r="I141" s="56">
        <f>ROUND(F141,0)+26108</f>
        <v>4418774</v>
      </c>
      <c r="J141" s="56">
        <f t="shared" si="46"/>
        <v>26108</v>
      </c>
      <c r="K141" s="143" t="s">
        <v>27</v>
      </c>
      <c r="L141" s="56">
        <f t="shared" si="50"/>
        <v>4418774</v>
      </c>
      <c r="M141" s="56">
        <f t="shared" si="47"/>
        <v>0</v>
      </c>
      <c r="N141" s="143"/>
      <c r="O141" s="56">
        <f t="shared" si="51"/>
        <v>4418774</v>
      </c>
      <c r="P141" s="56">
        <f t="shared" si="48"/>
        <v>0</v>
      </c>
      <c r="Q141" s="143"/>
      <c r="R141" s="56">
        <f>ROUND(O141,0)+9712</f>
        <v>4428486</v>
      </c>
      <c r="S141" s="56">
        <f t="shared" si="49"/>
        <v>9712</v>
      </c>
      <c r="T141" s="143" t="s">
        <v>28</v>
      </c>
    </row>
    <row r="142" spans="2:20" ht="42.6" customHeight="1" x14ac:dyDescent="0.25">
      <c r="B142" s="67" t="s">
        <v>370</v>
      </c>
      <c r="C142" s="139" t="s">
        <v>371</v>
      </c>
      <c r="D142" s="140" t="s">
        <v>372</v>
      </c>
      <c r="E142" s="70">
        <v>357580.46043500002</v>
      </c>
      <c r="F142" s="70">
        <f>ROUND(E142,0)</f>
        <v>357580</v>
      </c>
      <c r="G142" s="56">
        <f t="shared" si="45"/>
        <v>-0.4604350000154227</v>
      </c>
      <c r="H142" s="71"/>
      <c r="I142" s="56">
        <f>ROUND(F142,0)</f>
        <v>357580</v>
      </c>
      <c r="J142" s="56">
        <f t="shared" si="46"/>
        <v>0</v>
      </c>
      <c r="K142" s="71"/>
      <c r="L142" s="56">
        <f t="shared" si="50"/>
        <v>357580</v>
      </c>
      <c r="M142" s="56">
        <f t="shared" si="47"/>
        <v>0</v>
      </c>
      <c r="N142" s="71"/>
      <c r="O142" s="56">
        <f t="shared" si="51"/>
        <v>357580</v>
      </c>
      <c r="P142" s="56">
        <f t="shared" si="48"/>
        <v>0</v>
      </c>
      <c r="Q142" s="71"/>
      <c r="R142" s="56">
        <f>ROUND(O142,0)</f>
        <v>357580</v>
      </c>
      <c r="S142" s="56">
        <f t="shared" si="49"/>
        <v>0</v>
      </c>
      <c r="T142" s="71"/>
    </row>
    <row r="143" spans="2:20" x14ac:dyDescent="0.25">
      <c r="C143" s="144" t="s">
        <v>34</v>
      </c>
      <c r="D143" s="145" t="s">
        <v>373</v>
      </c>
      <c r="E143" s="40">
        <v>0</v>
      </c>
      <c r="F143" s="40">
        <f t="shared" si="53"/>
        <v>0</v>
      </c>
      <c r="G143" s="39">
        <f t="shared" si="45"/>
        <v>0</v>
      </c>
      <c r="H143" s="41"/>
      <c r="I143" s="39">
        <f>ROUND(F143,0)</f>
        <v>0</v>
      </c>
      <c r="J143" s="39">
        <f t="shared" si="46"/>
        <v>0</v>
      </c>
      <c r="K143" s="41"/>
      <c r="L143" s="39">
        <f t="shared" si="50"/>
        <v>0</v>
      </c>
      <c r="M143" s="39">
        <f t="shared" si="47"/>
        <v>0</v>
      </c>
      <c r="N143" s="41"/>
      <c r="O143" s="39">
        <f t="shared" si="51"/>
        <v>0</v>
      </c>
      <c r="P143" s="39">
        <f t="shared" si="48"/>
        <v>0</v>
      </c>
      <c r="Q143" s="41"/>
      <c r="R143" s="39">
        <f>ROUND(O143,0)</f>
        <v>0</v>
      </c>
      <c r="S143" s="39">
        <f t="shared" si="49"/>
        <v>0</v>
      </c>
      <c r="T143" s="41"/>
    </row>
    <row r="144" spans="2:20" ht="13.9" customHeight="1" x14ac:dyDescent="0.25">
      <c r="B144" s="67" t="s">
        <v>374</v>
      </c>
      <c r="C144" s="139" t="s">
        <v>37</v>
      </c>
      <c r="D144" s="140" t="s">
        <v>375</v>
      </c>
      <c r="E144" s="70">
        <v>0</v>
      </c>
      <c r="F144" s="70">
        <f t="shared" si="53"/>
        <v>0</v>
      </c>
      <c r="G144" s="56">
        <f t="shared" si="45"/>
        <v>0</v>
      </c>
      <c r="H144" s="143"/>
      <c r="I144" s="56">
        <f>ROUND(F144,0)</f>
        <v>0</v>
      </c>
      <c r="J144" s="56">
        <f t="shared" si="46"/>
        <v>0</v>
      </c>
      <c r="K144" s="143"/>
      <c r="L144" s="56">
        <f t="shared" si="50"/>
        <v>0</v>
      </c>
      <c r="M144" s="56">
        <f t="shared" si="47"/>
        <v>0</v>
      </c>
      <c r="N144" s="143"/>
      <c r="O144" s="56">
        <f t="shared" si="51"/>
        <v>0</v>
      </c>
      <c r="P144" s="56">
        <f t="shared" si="48"/>
        <v>0</v>
      </c>
      <c r="Q144" s="143"/>
      <c r="R144" s="56">
        <f>ROUND(O144,0)</f>
        <v>0</v>
      </c>
      <c r="S144" s="56">
        <f t="shared" si="49"/>
        <v>0</v>
      </c>
      <c r="T144" s="143"/>
    </row>
    <row r="145" spans="2:20" ht="15" customHeight="1" collapsed="1" x14ac:dyDescent="0.25">
      <c r="B145" s="67" t="s">
        <v>376</v>
      </c>
      <c r="C145" s="144" t="s">
        <v>42</v>
      </c>
      <c r="D145" s="145" t="s">
        <v>377</v>
      </c>
      <c r="E145" s="40">
        <v>936069.29245700024</v>
      </c>
      <c r="F145" s="40">
        <f>ROUND(E145,0)</f>
        <v>936069</v>
      </c>
      <c r="G145" s="39">
        <f t="shared" si="45"/>
        <v>-0.29245700023602694</v>
      </c>
      <c r="H145" s="49"/>
      <c r="I145" s="39">
        <f>ROUND(F145,0)</f>
        <v>936069</v>
      </c>
      <c r="J145" s="39">
        <f t="shared" si="46"/>
        <v>0</v>
      </c>
      <c r="K145" s="146"/>
      <c r="L145" s="39">
        <f t="shared" si="50"/>
        <v>936069</v>
      </c>
      <c r="M145" s="39">
        <f t="shared" si="47"/>
        <v>0</v>
      </c>
      <c r="N145" s="49"/>
      <c r="O145" s="39">
        <f t="shared" si="51"/>
        <v>936069</v>
      </c>
      <c r="P145" s="39">
        <f t="shared" si="48"/>
        <v>0</v>
      </c>
      <c r="Q145" s="49"/>
      <c r="R145" s="39">
        <f>ROUND(O145,0)</f>
        <v>936069</v>
      </c>
      <c r="S145" s="39">
        <f t="shared" si="49"/>
        <v>0</v>
      </c>
      <c r="T145" s="49"/>
    </row>
    <row r="146" spans="2:20" s="147" customFormat="1" ht="16.899999999999999" customHeight="1" x14ac:dyDescent="0.25">
      <c r="C146" s="144" t="s">
        <v>50</v>
      </c>
      <c r="D146" s="145" t="s">
        <v>378</v>
      </c>
      <c r="E146" s="40">
        <v>556693.29264600005</v>
      </c>
      <c r="F146" s="40">
        <f t="shared" ref="F146" si="55">F147+F150</f>
        <v>556693</v>
      </c>
      <c r="G146" s="39">
        <f t="shared" si="45"/>
        <v>-0.29264600004535168</v>
      </c>
      <c r="H146" s="49"/>
      <c r="I146" s="39">
        <f>I147+I150</f>
        <v>589278</v>
      </c>
      <c r="J146" s="39">
        <f t="shared" si="46"/>
        <v>32585</v>
      </c>
      <c r="K146" s="49"/>
      <c r="L146" s="39">
        <f>L147+L150</f>
        <v>589278</v>
      </c>
      <c r="M146" s="39">
        <f t="shared" si="47"/>
        <v>0</v>
      </c>
      <c r="N146" s="49"/>
      <c r="O146" s="39">
        <f>O147+O150</f>
        <v>589278</v>
      </c>
      <c r="P146" s="39">
        <f t="shared" si="48"/>
        <v>0</v>
      </c>
      <c r="Q146" s="49"/>
      <c r="R146" s="39">
        <f>R147+R150</f>
        <v>589278</v>
      </c>
      <c r="S146" s="39">
        <f t="shared" si="49"/>
        <v>0</v>
      </c>
      <c r="T146" s="49"/>
    </row>
    <row r="147" spans="2:20" x14ac:dyDescent="0.25">
      <c r="B147" s="67" t="s">
        <v>379</v>
      </c>
      <c r="C147" s="139" t="s">
        <v>53</v>
      </c>
      <c r="D147" s="140" t="s">
        <v>380</v>
      </c>
      <c r="E147" s="70">
        <v>207617.29264600005</v>
      </c>
      <c r="F147" s="70">
        <f>SUM(F148:F149)</f>
        <v>207617</v>
      </c>
      <c r="G147" s="56">
        <f t="shared" ref="G147" si="56">SUM(G148:G149)</f>
        <v>3.7353999970946461E-2</v>
      </c>
      <c r="H147" s="56"/>
      <c r="I147" s="56">
        <f>SUM(I148:I149)</f>
        <v>207617</v>
      </c>
      <c r="J147" s="56">
        <f t="shared" si="46"/>
        <v>0</v>
      </c>
      <c r="K147" s="56"/>
      <c r="L147" s="56">
        <f>SUM(L148:L149)</f>
        <v>207617</v>
      </c>
      <c r="M147" s="56">
        <f t="shared" si="47"/>
        <v>0</v>
      </c>
      <c r="N147" s="56"/>
      <c r="O147" s="56">
        <f>SUM(O148:O149)</f>
        <v>207617</v>
      </c>
      <c r="P147" s="56">
        <f t="shared" si="48"/>
        <v>0</v>
      </c>
      <c r="Q147" s="56"/>
      <c r="R147" s="56">
        <f>SUM(R148:R149)</f>
        <v>207617</v>
      </c>
      <c r="S147" s="56">
        <f t="shared" si="49"/>
        <v>0</v>
      </c>
      <c r="T147" s="56"/>
    </row>
    <row r="148" spans="2:20" x14ac:dyDescent="0.25">
      <c r="B148" s="67" t="s">
        <v>379</v>
      </c>
      <c r="C148" s="148" t="s">
        <v>381</v>
      </c>
      <c r="D148" s="149" t="s">
        <v>382</v>
      </c>
      <c r="E148" s="34">
        <v>162450.96264600003</v>
      </c>
      <c r="F148" s="34">
        <f>ROUND(E148,0)</f>
        <v>162451</v>
      </c>
      <c r="G148" s="33">
        <f t="shared" si="45"/>
        <v>3.7353999970946461E-2</v>
      </c>
      <c r="H148" s="35"/>
      <c r="I148" s="33">
        <f>ROUND(F148,0)</f>
        <v>162451</v>
      </c>
      <c r="J148" s="33">
        <f t="shared" si="46"/>
        <v>0</v>
      </c>
      <c r="K148" s="35"/>
      <c r="L148" s="33">
        <f>ROUND(I148,0)</f>
        <v>162451</v>
      </c>
      <c r="M148" s="33">
        <f t="shared" si="47"/>
        <v>0</v>
      </c>
      <c r="N148" s="35"/>
      <c r="O148" s="33">
        <f>ROUND(L148,0)</f>
        <v>162451</v>
      </c>
      <c r="P148" s="33">
        <f t="shared" si="48"/>
        <v>0</v>
      </c>
      <c r="Q148" s="35"/>
      <c r="R148" s="33">
        <f>ROUND(O148,0)</f>
        <v>162451</v>
      </c>
      <c r="S148" s="33">
        <f t="shared" si="49"/>
        <v>0</v>
      </c>
      <c r="T148" s="35"/>
    </row>
    <row r="149" spans="2:20" x14ac:dyDescent="0.25">
      <c r="B149" s="67"/>
      <c r="C149" s="148" t="s">
        <v>383</v>
      </c>
      <c r="D149" s="149" t="s">
        <v>384</v>
      </c>
      <c r="E149" s="34">
        <v>45166.33</v>
      </c>
      <c r="F149" s="34">
        <f>ROUND(E149,0)</f>
        <v>45166</v>
      </c>
      <c r="G149" s="33"/>
      <c r="H149" s="35"/>
      <c r="I149" s="33">
        <f>ROUND(F149,0)</f>
        <v>45166</v>
      </c>
      <c r="J149" s="33">
        <f t="shared" si="46"/>
        <v>0</v>
      </c>
      <c r="K149" s="35"/>
      <c r="L149" s="33">
        <f>ROUND(I149,0)</f>
        <v>45166</v>
      </c>
      <c r="M149" s="33">
        <f t="shared" si="47"/>
        <v>0</v>
      </c>
      <c r="N149" s="35"/>
      <c r="O149" s="33">
        <f>ROUND(L149,0)</f>
        <v>45166</v>
      </c>
      <c r="P149" s="33">
        <f t="shared" si="48"/>
        <v>0</v>
      </c>
      <c r="Q149" s="35"/>
      <c r="R149" s="33">
        <f>ROUND(O149,0)</f>
        <v>45166</v>
      </c>
      <c r="S149" s="33">
        <f t="shared" si="49"/>
        <v>0</v>
      </c>
      <c r="T149" s="35"/>
    </row>
    <row r="150" spans="2:20" x14ac:dyDescent="0.25">
      <c r="B150" s="67" t="s">
        <v>385</v>
      </c>
      <c r="C150" s="139" t="s">
        <v>55</v>
      </c>
      <c r="D150" s="140" t="s">
        <v>386</v>
      </c>
      <c r="E150" s="70">
        <v>349076</v>
      </c>
      <c r="F150" s="70">
        <f>ROUND(E150,0)</f>
        <v>349076</v>
      </c>
      <c r="G150" s="56">
        <f t="shared" si="45"/>
        <v>0</v>
      </c>
      <c r="H150" s="143"/>
      <c r="I150" s="56">
        <f>ROUND(F150,0)+32585</f>
        <v>381661</v>
      </c>
      <c r="J150" s="56">
        <f t="shared" si="46"/>
        <v>32585</v>
      </c>
      <c r="K150" s="56" t="s">
        <v>181</v>
      </c>
      <c r="L150" s="56">
        <f>ROUND(I150,0)</f>
        <v>381661</v>
      </c>
      <c r="M150" s="56">
        <f t="shared" si="47"/>
        <v>0</v>
      </c>
      <c r="N150" s="56"/>
      <c r="O150" s="56">
        <f>ROUND(L150,0)</f>
        <v>381661</v>
      </c>
      <c r="P150" s="56">
        <f t="shared" si="48"/>
        <v>0</v>
      </c>
      <c r="Q150" s="56"/>
      <c r="R150" s="56">
        <f>ROUND(O150,0)</f>
        <v>381661</v>
      </c>
      <c r="S150" s="56">
        <f t="shared" si="49"/>
        <v>0</v>
      </c>
      <c r="T150" s="56"/>
    </row>
    <row r="151" spans="2:20" x14ac:dyDescent="0.25">
      <c r="C151" s="144" t="s">
        <v>56</v>
      </c>
      <c r="D151" s="145" t="s">
        <v>387</v>
      </c>
      <c r="E151" s="40">
        <v>260002</v>
      </c>
      <c r="F151" s="40">
        <f t="shared" ref="F151" si="57">F152</f>
        <v>260002</v>
      </c>
      <c r="G151" s="39">
        <f t="shared" si="45"/>
        <v>0</v>
      </c>
      <c r="H151" s="41"/>
      <c r="I151" s="39">
        <f>I152</f>
        <v>260002</v>
      </c>
      <c r="J151" s="39">
        <f t="shared" si="46"/>
        <v>0</v>
      </c>
      <c r="K151" s="41"/>
      <c r="L151" s="39">
        <f>L152</f>
        <v>260002</v>
      </c>
      <c r="M151" s="39">
        <f t="shared" si="47"/>
        <v>0</v>
      </c>
      <c r="N151" s="41"/>
      <c r="O151" s="39">
        <f>O152</f>
        <v>260002</v>
      </c>
      <c r="P151" s="39">
        <f t="shared" si="48"/>
        <v>0</v>
      </c>
      <c r="Q151" s="41"/>
      <c r="R151" s="39">
        <f>R152</f>
        <v>260002</v>
      </c>
      <c r="S151" s="39">
        <f t="shared" si="49"/>
        <v>0</v>
      </c>
      <c r="T151" s="41"/>
    </row>
    <row r="152" spans="2:20" ht="16.149999999999999" customHeight="1" x14ac:dyDescent="0.25">
      <c r="B152" s="67" t="s">
        <v>388</v>
      </c>
      <c r="C152" s="139" t="s">
        <v>59</v>
      </c>
      <c r="D152" s="140" t="s">
        <v>389</v>
      </c>
      <c r="E152" s="70">
        <v>260002</v>
      </c>
      <c r="F152" s="70">
        <f>ROUND(E152,0)</f>
        <v>260002</v>
      </c>
      <c r="G152" s="56">
        <f t="shared" si="45"/>
        <v>0</v>
      </c>
      <c r="H152" s="71"/>
      <c r="I152" s="56">
        <f>ROUND(F152,0)</f>
        <v>260002</v>
      </c>
      <c r="J152" s="56">
        <f t="shared" si="46"/>
        <v>0</v>
      </c>
      <c r="K152" s="71"/>
      <c r="L152" s="56">
        <f>ROUND(I152,0)</f>
        <v>260002</v>
      </c>
      <c r="M152" s="56">
        <f t="shared" si="47"/>
        <v>0</v>
      </c>
      <c r="N152" s="71"/>
      <c r="O152" s="56">
        <f>ROUND(L152,0)</f>
        <v>260002</v>
      </c>
      <c r="P152" s="56">
        <f t="shared" si="48"/>
        <v>0</v>
      </c>
      <c r="Q152" s="71"/>
      <c r="R152" s="56">
        <f>ROUND(O152,0)</f>
        <v>260002</v>
      </c>
      <c r="S152" s="56">
        <f t="shared" si="49"/>
        <v>0</v>
      </c>
      <c r="T152" s="71"/>
    </row>
    <row r="153" spans="2:20" ht="29.25" x14ac:dyDescent="0.25">
      <c r="C153" s="144" t="s">
        <v>64</v>
      </c>
      <c r="D153" s="145" t="s">
        <v>390</v>
      </c>
      <c r="E153" s="40">
        <v>16329241.372453</v>
      </c>
      <c r="F153" s="40">
        <f t="shared" ref="F153" si="58">F154+F155+F156+F157+F169</f>
        <v>16329241</v>
      </c>
      <c r="G153" s="39">
        <f>G155+G156+G157+G169</f>
        <v>-0.3724529993487522</v>
      </c>
      <c r="H153" s="39"/>
      <c r="I153" s="39">
        <f>I154+I155+I156+I157+I169</f>
        <v>16651546</v>
      </c>
      <c r="J153" s="39">
        <f t="shared" si="46"/>
        <v>322305</v>
      </c>
      <c r="K153" s="39"/>
      <c r="L153" s="39">
        <f>L154+L155+L156+L157+L169</f>
        <v>16728872</v>
      </c>
      <c r="M153" s="39">
        <f t="shared" si="47"/>
        <v>77326</v>
      </c>
      <c r="N153" s="39"/>
      <c r="O153" s="39">
        <f>O154+O155+O156+O157+O169</f>
        <v>16750347</v>
      </c>
      <c r="P153" s="39">
        <f t="shared" si="48"/>
        <v>21475</v>
      </c>
      <c r="Q153" s="39"/>
      <c r="R153" s="39">
        <f>R154+R155+R156+R157+R169</f>
        <v>14810347</v>
      </c>
      <c r="S153" s="39">
        <f t="shared" si="49"/>
        <v>-1940000</v>
      </c>
      <c r="T153" s="39"/>
    </row>
    <row r="154" spans="2:20" ht="15.6" customHeight="1" x14ac:dyDescent="0.25">
      <c r="B154" s="67" t="s">
        <v>374</v>
      </c>
      <c r="C154" s="139" t="s">
        <v>67</v>
      </c>
      <c r="D154" s="150" t="s">
        <v>375</v>
      </c>
      <c r="E154" s="70">
        <v>70000</v>
      </c>
      <c r="F154" s="70">
        <f>ROUND(E154,0)</f>
        <v>70000</v>
      </c>
      <c r="G154" s="56">
        <f>F154-E154</f>
        <v>0</v>
      </c>
      <c r="H154" s="143"/>
      <c r="I154" s="56">
        <f>ROUND(F154,0)</f>
        <v>70000</v>
      </c>
      <c r="J154" s="56">
        <f t="shared" si="46"/>
        <v>0</v>
      </c>
      <c r="K154" s="143"/>
      <c r="L154" s="56">
        <f>ROUND(I154,0)</f>
        <v>70000</v>
      </c>
      <c r="M154" s="56">
        <f t="shared" si="47"/>
        <v>0</v>
      </c>
      <c r="N154" s="143"/>
      <c r="O154" s="56">
        <f>ROUND(L154,0)</f>
        <v>70000</v>
      </c>
      <c r="P154" s="56">
        <f t="shared" si="48"/>
        <v>0</v>
      </c>
      <c r="Q154" s="143"/>
      <c r="R154" s="56">
        <f>ROUND(O154,0)</f>
        <v>70000</v>
      </c>
      <c r="S154" s="56">
        <f t="shared" si="49"/>
        <v>0</v>
      </c>
      <c r="T154" s="143"/>
    </row>
    <row r="155" spans="2:20" ht="19.149999999999999" customHeight="1" x14ac:dyDescent="0.25">
      <c r="B155" s="67" t="s">
        <v>391</v>
      </c>
      <c r="C155" s="139" t="s">
        <v>79</v>
      </c>
      <c r="D155" s="150" t="s">
        <v>392</v>
      </c>
      <c r="E155" s="152">
        <v>313523.70461999997</v>
      </c>
      <c r="F155" s="152">
        <f>ROUND(E155,0)</f>
        <v>313524</v>
      </c>
      <c r="G155" s="151">
        <f t="shared" si="45"/>
        <v>0.29538000002503395</v>
      </c>
      <c r="H155" s="71"/>
      <c r="I155" s="151">
        <f>ROUND(F155,0)+15000</f>
        <v>328524</v>
      </c>
      <c r="J155" s="153">
        <f t="shared" si="46"/>
        <v>15000</v>
      </c>
      <c r="K155" s="154" t="s">
        <v>393</v>
      </c>
      <c r="L155" s="151">
        <f>ROUND(I155,0)</f>
        <v>328524</v>
      </c>
      <c r="M155" s="151">
        <f t="shared" si="47"/>
        <v>0</v>
      </c>
      <c r="N155" s="155"/>
      <c r="O155" s="151">
        <f>ROUND(L155,0)</f>
        <v>328524</v>
      </c>
      <c r="P155" s="151">
        <f t="shared" si="48"/>
        <v>0</v>
      </c>
      <c r="Q155" s="155"/>
      <c r="R155" s="151">
        <f>ROUND(O155,0)</f>
        <v>328524</v>
      </c>
      <c r="S155" s="151">
        <f t="shared" si="49"/>
        <v>0</v>
      </c>
      <c r="T155" s="155"/>
    </row>
    <row r="156" spans="2:20" ht="58.15" customHeight="1" x14ac:dyDescent="0.25">
      <c r="B156" s="67" t="s">
        <v>394</v>
      </c>
      <c r="C156" s="139" t="s">
        <v>395</v>
      </c>
      <c r="D156" s="150" t="s">
        <v>396</v>
      </c>
      <c r="E156" s="152">
        <v>345571.12844500004</v>
      </c>
      <c r="F156" s="152">
        <f>ROUND(E156,0)</f>
        <v>345571</v>
      </c>
      <c r="G156" s="151">
        <f t="shared" si="45"/>
        <v>-0.12844500003848225</v>
      </c>
      <c r="H156" s="71"/>
      <c r="I156" s="151">
        <f>ROUND(F156,0)-11083</f>
        <v>334488</v>
      </c>
      <c r="J156" s="153">
        <f t="shared" si="46"/>
        <v>-11083</v>
      </c>
      <c r="K156" s="142" t="s">
        <v>348</v>
      </c>
      <c r="L156" s="151">
        <f>ROUND(I156,0)</f>
        <v>334488</v>
      </c>
      <c r="M156" s="151">
        <f t="shared" si="47"/>
        <v>0</v>
      </c>
      <c r="N156" s="71"/>
      <c r="O156" s="151">
        <f>ROUND(L156,0)</f>
        <v>334488</v>
      </c>
      <c r="P156" s="151">
        <f t="shared" si="48"/>
        <v>0</v>
      </c>
      <c r="Q156" s="71"/>
      <c r="R156" s="151">
        <f>ROUND(O156,0)</f>
        <v>334488</v>
      </c>
      <c r="S156" s="151">
        <f t="shared" si="49"/>
        <v>0</v>
      </c>
      <c r="T156" s="71"/>
    </row>
    <row r="157" spans="2:20" x14ac:dyDescent="0.25">
      <c r="C157" s="139" t="s">
        <v>397</v>
      </c>
      <c r="D157" s="150" t="s">
        <v>398</v>
      </c>
      <c r="E157" s="151">
        <v>1526970.0498800001</v>
      </c>
      <c r="F157" s="151">
        <f>SUM(F158:F168)</f>
        <v>1526970</v>
      </c>
      <c r="G157" s="151">
        <f t="shared" ref="G157" si="59">SUM(G158:G167)</f>
        <v>-4.9880000064149499E-2</v>
      </c>
      <c r="H157" s="151"/>
      <c r="I157" s="151">
        <f>SUM(I158:I168)</f>
        <v>1509840</v>
      </c>
      <c r="J157" s="151">
        <f t="shared" si="46"/>
        <v>-17130</v>
      </c>
      <c r="K157" s="151"/>
      <c r="L157" s="151">
        <f>SUM(L158:L168)</f>
        <v>1509840</v>
      </c>
      <c r="M157" s="151">
        <f t="shared" si="47"/>
        <v>0</v>
      </c>
      <c r="N157" s="151"/>
      <c r="O157" s="151">
        <f>SUM(O158:O168)</f>
        <v>1594840</v>
      </c>
      <c r="P157" s="151">
        <f t="shared" si="48"/>
        <v>85000</v>
      </c>
      <c r="Q157" s="151"/>
      <c r="R157" s="151">
        <f>SUM(R158:R168)</f>
        <v>1480257</v>
      </c>
      <c r="S157" s="151">
        <f t="shared" si="49"/>
        <v>-114583</v>
      </c>
      <c r="T157" s="151"/>
    </row>
    <row r="158" spans="2:20" ht="73.5" customHeight="1" x14ac:dyDescent="0.25">
      <c r="B158" s="67" t="s">
        <v>189</v>
      </c>
      <c r="C158" s="148" t="s">
        <v>399</v>
      </c>
      <c r="D158" s="107" t="s">
        <v>400</v>
      </c>
      <c r="E158" s="34">
        <v>1009113.0498800001</v>
      </c>
      <c r="F158" s="34">
        <f>ROUND(E158,0)+5033</f>
        <v>1014146</v>
      </c>
      <c r="G158" s="33">
        <f t="shared" si="45"/>
        <v>5032.9501199999359</v>
      </c>
      <c r="H158" s="156" t="s">
        <v>401</v>
      </c>
      <c r="I158" s="33">
        <f>ROUND(F158,0)-17130</f>
        <v>997016</v>
      </c>
      <c r="J158" s="36">
        <f t="shared" si="46"/>
        <v>-17130</v>
      </c>
      <c r="K158" s="157" t="s">
        <v>348</v>
      </c>
      <c r="L158" s="33">
        <f>ROUND(I158,0)</f>
        <v>997016</v>
      </c>
      <c r="M158" s="33">
        <f t="shared" si="47"/>
        <v>0</v>
      </c>
      <c r="N158" s="156"/>
      <c r="O158" s="33">
        <f>ROUND(L158,0)-73+27000+8000+50000+1000</f>
        <v>1082943</v>
      </c>
      <c r="P158" s="33">
        <f t="shared" si="48"/>
        <v>85927</v>
      </c>
      <c r="Q158" s="156" t="s">
        <v>402</v>
      </c>
      <c r="R158" s="33">
        <f>ROUND(O158,0)-232064-8445</f>
        <v>842434</v>
      </c>
      <c r="S158" s="33">
        <f t="shared" si="49"/>
        <v>-240509</v>
      </c>
      <c r="T158" s="156" t="s">
        <v>403</v>
      </c>
    </row>
    <row r="159" spans="2:20" ht="18.600000000000001" customHeight="1" x14ac:dyDescent="0.25">
      <c r="B159" s="67" t="s">
        <v>404</v>
      </c>
      <c r="C159" s="148" t="s">
        <v>405</v>
      </c>
      <c r="D159" s="158" t="s">
        <v>406</v>
      </c>
      <c r="E159" s="34">
        <v>40000</v>
      </c>
      <c r="F159" s="34">
        <f t="shared" ref="F159:F164" si="60">ROUND(E159,0)</f>
        <v>40000</v>
      </c>
      <c r="G159" s="33">
        <f t="shared" si="45"/>
        <v>0</v>
      </c>
      <c r="H159" s="156"/>
      <c r="I159" s="33">
        <f t="shared" ref="I159:I164" si="61">ROUND(F159,0)</f>
        <v>40000</v>
      </c>
      <c r="J159" s="33">
        <f t="shared" si="46"/>
        <v>0</v>
      </c>
      <c r="K159" s="156"/>
      <c r="L159" s="33">
        <f>ROUND(I159,0)+1630</f>
        <v>41630</v>
      </c>
      <c r="M159" s="33">
        <f t="shared" si="47"/>
        <v>1630</v>
      </c>
      <c r="N159" s="156" t="s">
        <v>407</v>
      </c>
      <c r="O159" s="33">
        <f t="shared" ref="O159:O164" si="62">ROUND(L159,0)</f>
        <v>41630</v>
      </c>
      <c r="P159" s="33">
        <f t="shared" si="48"/>
        <v>0</v>
      </c>
      <c r="Q159" s="156"/>
      <c r="R159" s="33">
        <f t="shared" ref="R159:R164" si="63">ROUND(O159,0)</f>
        <v>41630</v>
      </c>
      <c r="S159" s="33">
        <f t="shared" si="49"/>
        <v>0</v>
      </c>
      <c r="T159" s="156"/>
    </row>
    <row r="160" spans="2:20" ht="16.5" customHeight="1" x14ac:dyDescent="0.25">
      <c r="B160" s="67" t="s">
        <v>404</v>
      </c>
      <c r="C160" s="148" t="s">
        <v>408</v>
      </c>
      <c r="D160" s="158" t="s">
        <v>409</v>
      </c>
      <c r="E160" s="34">
        <v>10000</v>
      </c>
      <c r="F160" s="34">
        <f t="shared" si="60"/>
        <v>10000</v>
      </c>
      <c r="G160" s="33">
        <f t="shared" si="45"/>
        <v>0</v>
      </c>
      <c r="H160" s="156"/>
      <c r="I160" s="33">
        <f t="shared" si="61"/>
        <v>10000</v>
      </c>
      <c r="J160" s="33">
        <f t="shared" si="46"/>
        <v>0</v>
      </c>
      <c r="K160" s="156"/>
      <c r="L160" s="33">
        <f>ROUND(I160,0)</f>
        <v>10000</v>
      </c>
      <c r="M160" s="33">
        <f t="shared" si="47"/>
        <v>0</v>
      </c>
      <c r="N160" s="156"/>
      <c r="O160" s="33">
        <f t="shared" si="62"/>
        <v>10000</v>
      </c>
      <c r="P160" s="33">
        <f t="shared" si="48"/>
        <v>0</v>
      </c>
      <c r="Q160" s="156"/>
      <c r="R160" s="33">
        <f t="shared" si="63"/>
        <v>10000</v>
      </c>
      <c r="S160" s="33">
        <f t="shared" si="49"/>
        <v>0</v>
      </c>
      <c r="T160" s="156"/>
    </row>
    <row r="161" spans="2:20" ht="28.15" customHeight="1" x14ac:dyDescent="0.25">
      <c r="B161" s="67" t="s">
        <v>410</v>
      </c>
      <c r="C161" s="159" t="s">
        <v>411</v>
      </c>
      <c r="D161" s="160" t="s">
        <v>412</v>
      </c>
      <c r="E161" s="34">
        <v>42000</v>
      </c>
      <c r="F161" s="34">
        <f>ROUND(E161,0)+18000</f>
        <v>60000</v>
      </c>
      <c r="G161" s="33">
        <f t="shared" si="45"/>
        <v>18000</v>
      </c>
      <c r="H161" s="156" t="s">
        <v>413</v>
      </c>
      <c r="I161" s="33">
        <f t="shared" si="61"/>
        <v>60000</v>
      </c>
      <c r="J161" s="33">
        <f t="shared" si="46"/>
        <v>0</v>
      </c>
      <c r="K161" s="156"/>
      <c r="L161" s="33">
        <f>ROUND(I161,0)</f>
        <v>60000</v>
      </c>
      <c r="M161" s="33">
        <f t="shared" si="47"/>
        <v>0</v>
      </c>
      <c r="N161" s="156"/>
      <c r="O161" s="33">
        <f t="shared" si="62"/>
        <v>60000</v>
      </c>
      <c r="P161" s="33">
        <f t="shared" si="48"/>
        <v>0</v>
      </c>
      <c r="Q161" s="156"/>
      <c r="R161" s="33">
        <f t="shared" si="63"/>
        <v>60000</v>
      </c>
      <c r="S161" s="33">
        <f t="shared" si="49"/>
        <v>0</v>
      </c>
      <c r="T161" s="156"/>
    </row>
    <row r="162" spans="2:20" ht="32.450000000000003" customHeight="1" x14ac:dyDescent="0.25">
      <c r="B162" s="67" t="s">
        <v>414</v>
      </c>
      <c r="C162" s="159" t="s">
        <v>415</v>
      </c>
      <c r="D162" s="161" t="s">
        <v>416</v>
      </c>
      <c r="E162" s="34">
        <v>85290</v>
      </c>
      <c r="F162" s="34">
        <f t="shared" si="60"/>
        <v>85290</v>
      </c>
      <c r="G162" s="33">
        <f t="shared" si="45"/>
        <v>0</v>
      </c>
      <c r="H162" s="156"/>
      <c r="I162" s="33">
        <f t="shared" si="61"/>
        <v>85290</v>
      </c>
      <c r="J162" s="33">
        <f t="shared" si="46"/>
        <v>0</v>
      </c>
      <c r="K162" s="156"/>
      <c r="L162" s="33">
        <f>ROUND(I162,0)</f>
        <v>85290</v>
      </c>
      <c r="M162" s="33">
        <f t="shared" si="47"/>
        <v>0</v>
      </c>
      <c r="N162" s="156"/>
      <c r="O162" s="33">
        <f t="shared" si="62"/>
        <v>85290</v>
      </c>
      <c r="P162" s="33">
        <f t="shared" si="48"/>
        <v>0</v>
      </c>
      <c r="Q162" s="156"/>
      <c r="R162" s="33">
        <f t="shared" si="63"/>
        <v>85290</v>
      </c>
      <c r="S162" s="33">
        <f t="shared" si="49"/>
        <v>0</v>
      </c>
      <c r="T162" s="156"/>
    </row>
    <row r="163" spans="2:20" ht="15.75" customHeight="1" x14ac:dyDescent="0.25">
      <c r="B163" s="67" t="s">
        <v>417</v>
      </c>
      <c r="C163" s="159" t="s">
        <v>418</v>
      </c>
      <c r="D163" s="161" t="s">
        <v>240</v>
      </c>
      <c r="E163" s="34">
        <v>236171</v>
      </c>
      <c r="F163" s="34">
        <f t="shared" si="60"/>
        <v>236171</v>
      </c>
      <c r="G163" s="33">
        <f t="shared" si="45"/>
        <v>0</v>
      </c>
      <c r="H163" s="156"/>
      <c r="I163" s="33">
        <f t="shared" si="61"/>
        <v>236171</v>
      </c>
      <c r="J163" s="33">
        <f t="shared" si="46"/>
        <v>0</v>
      </c>
      <c r="K163" s="156"/>
      <c r="L163" s="33">
        <f>ROUND(I163,0)</f>
        <v>236171</v>
      </c>
      <c r="M163" s="33">
        <f t="shared" si="47"/>
        <v>0</v>
      </c>
      <c r="N163" s="156"/>
      <c r="O163" s="33">
        <f t="shared" si="62"/>
        <v>236171</v>
      </c>
      <c r="P163" s="33">
        <f t="shared" si="48"/>
        <v>0</v>
      </c>
      <c r="Q163" s="156"/>
      <c r="R163" s="33">
        <f t="shared" si="63"/>
        <v>236171</v>
      </c>
      <c r="S163" s="33">
        <f t="shared" si="49"/>
        <v>0</v>
      </c>
      <c r="T163" s="156"/>
    </row>
    <row r="164" spans="2:20" ht="25.15" customHeight="1" x14ac:dyDescent="0.25">
      <c r="B164" s="67" t="s">
        <v>419</v>
      </c>
      <c r="C164" s="159" t="s">
        <v>420</v>
      </c>
      <c r="D164" s="161" t="s">
        <v>204</v>
      </c>
      <c r="E164" s="34">
        <v>53240</v>
      </c>
      <c r="F164" s="34">
        <f t="shared" si="60"/>
        <v>53240</v>
      </c>
      <c r="G164" s="33">
        <f t="shared" si="45"/>
        <v>0</v>
      </c>
      <c r="H164" s="51"/>
      <c r="I164" s="33">
        <f t="shared" si="61"/>
        <v>53240</v>
      </c>
      <c r="J164" s="33">
        <f t="shared" si="46"/>
        <v>0</v>
      </c>
      <c r="K164" s="51"/>
      <c r="L164" s="33">
        <f>ROUND(I164,0)</f>
        <v>53240</v>
      </c>
      <c r="M164" s="33">
        <f t="shared" si="47"/>
        <v>0</v>
      </c>
      <c r="N164" s="51"/>
      <c r="O164" s="33">
        <f t="shared" si="62"/>
        <v>53240</v>
      </c>
      <c r="P164" s="33">
        <f t="shared" si="48"/>
        <v>0</v>
      </c>
      <c r="Q164" s="51"/>
      <c r="R164" s="33">
        <f t="shared" si="63"/>
        <v>53240</v>
      </c>
      <c r="S164" s="33">
        <f t="shared" si="49"/>
        <v>0</v>
      </c>
      <c r="T164" s="51"/>
    </row>
    <row r="165" spans="2:20" ht="13.15" customHeight="1" x14ac:dyDescent="0.25">
      <c r="B165" s="67" t="s">
        <v>189</v>
      </c>
      <c r="C165" s="159" t="s">
        <v>421</v>
      </c>
      <c r="D165" s="72" t="s">
        <v>275</v>
      </c>
      <c r="E165" s="34">
        <v>32020</v>
      </c>
      <c r="F165" s="34">
        <f>32020-18000-5033</f>
        <v>8987</v>
      </c>
      <c r="G165" s="33">
        <f t="shared" si="45"/>
        <v>-23033</v>
      </c>
      <c r="H165" s="156" t="s">
        <v>422</v>
      </c>
      <c r="I165" s="33">
        <f>32020-18000-5033</f>
        <v>8987</v>
      </c>
      <c r="J165" s="33">
        <f t="shared" si="46"/>
        <v>0</v>
      </c>
      <c r="K165" s="156"/>
      <c r="L165" s="33">
        <f>32020-18000-5033</f>
        <v>8987</v>
      </c>
      <c r="M165" s="33">
        <f t="shared" si="47"/>
        <v>0</v>
      </c>
      <c r="N165" s="156"/>
      <c r="O165" s="33">
        <f>32020-18000-5033</f>
        <v>8987</v>
      </c>
      <c r="P165" s="33">
        <f t="shared" si="48"/>
        <v>0</v>
      </c>
      <c r="Q165" s="156"/>
      <c r="R165" s="33">
        <f>32020-18000-5033</f>
        <v>8987</v>
      </c>
      <c r="S165" s="33">
        <f t="shared" si="49"/>
        <v>0</v>
      </c>
      <c r="T165" s="156"/>
    </row>
    <row r="166" spans="2:20" ht="32.450000000000003" customHeight="1" x14ac:dyDescent="0.25">
      <c r="B166" s="67" t="s">
        <v>276</v>
      </c>
      <c r="C166" s="159" t="s">
        <v>423</v>
      </c>
      <c r="D166" s="161" t="s">
        <v>424</v>
      </c>
      <c r="E166" s="34">
        <v>4136</v>
      </c>
      <c r="F166" s="34">
        <v>4136</v>
      </c>
      <c r="G166" s="33">
        <f t="shared" si="45"/>
        <v>0</v>
      </c>
      <c r="H166" s="156"/>
      <c r="I166" s="33">
        <f>4136-1298</f>
        <v>2838</v>
      </c>
      <c r="J166" s="33">
        <f t="shared" si="46"/>
        <v>-1298</v>
      </c>
      <c r="K166" s="351" t="s">
        <v>425</v>
      </c>
      <c r="L166" s="33">
        <f>4136-1298-1630</f>
        <v>1208</v>
      </c>
      <c r="M166" s="33">
        <f t="shared" si="47"/>
        <v>-1630</v>
      </c>
      <c r="N166" s="156" t="s">
        <v>407</v>
      </c>
      <c r="O166" s="33">
        <f>4136-1298-1630-1000</f>
        <v>208</v>
      </c>
      <c r="P166" s="33">
        <f t="shared" si="48"/>
        <v>-1000</v>
      </c>
      <c r="Q166" s="156" t="s">
        <v>426</v>
      </c>
      <c r="R166" s="33">
        <f>4136-1298-1630-1000</f>
        <v>208</v>
      </c>
      <c r="S166" s="33">
        <f t="shared" si="49"/>
        <v>0</v>
      </c>
      <c r="T166" s="156"/>
    </row>
    <row r="167" spans="2:20" ht="32.450000000000003" customHeight="1" x14ac:dyDescent="0.25">
      <c r="B167" s="67" t="s">
        <v>427</v>
      </c>
      <c r="C167" s="159" t="s">
        <v>428</v>
      </c>
      <c r="D167" s="161" t="s">
        <v>242</v>
      </c>
      <c r="E167" s="34">
        <v>15000</v>
      </c>
      <c r="F167" s="34">
        <v>15000</v>
      </c>
      <c r="G167" s="33">
        <f t="shared" si="45"/>
        <v>0</v>
      </c>
      <c r="H167" s="156"/>
      <c r="I167" s="33">
        <f>15000+1298</f>
        <v>16298</v>
      </c>
      <c r="J167" s="33">
        <f t="shared" si="46"/>
        <v>1298</v>
      </c>
      <c r="K167" s="352"/>
      <c r="L167" s="33">
        <f>15000+1298</f>
        <v>16298</v>
      </c>
      <c r="M167" s="33">
        <f t="shared" si="47"/>
        <v>0</v>
      </c>
      <c r="N167" s="162"/>
      <c r="O167" s="33">
        <f>15000+1298+73</f>
        <v>16371</v>
      </c>
      <c r="P167" s="33">
        <f t="shared" si="48"/>
        <v>73</v>
      </c>
      <c r="Q167" s="162" t="s">
        <v>429</v>
      </c>
      <c r="R167" s="33">
        <f>15000+1298+73</f>
        <v>16371</v>
      </c>
      <c r="S167" s="33">
        <f t="shared" si="49"/>
        <v>0</v>
      </c>
      <c r="T167" s="162"/>
    </row>
    <row r="168" spans="2:20" ht="32.450000000000003" customHeight="1" x14ac:dyDescent="0.25">
      <c r="B168" s="67" t="s">
        <v>205</v>
      </c>
      <c r="C168" s="159" t="s">
        <v>430</v>
      </c>
      <c r="D168" s="161" t="s">
        <v>207</v>
      </c>
      <c r="E168" s="34"/>
      <c r="F168" s="34"/>
      <c r="G168" s="33"/>
      <c r="H168" s="156"/>
      <c r="I168" s="33"/>
      <c r="J168" s="33"/>
      <c r="K168" s="163"/>
      <c r="L168" s="33"/>
      <c r="M168" s="33"/>
      <c r="N168" s="164"/>
      <c r="O168" s="33"/>
      <c r="P168" s="33"/>
      <c r="Q168" s="164"/>
      <c r="R168" s="33">
        <v>125926</v>
      </c>
      <c r="S168" s="33">
        <f t="shared" si="49"/>
        <v>125926</v>
      </c>
      <c r="T168" s="164" t="s">
        <v>208</v>
      </c>
    </row>
    <row r="169" spans="2:20" ht="29.25" customHeight="1" x14ac:dyDescent="0.25">
      <c r="C169" s="139" t="s">
        <v>431</v>
      </c>
      <c r="D169" s="150" t="s">
        <v>432</v>
      </c>
      <c r="E169" s="152">
        <v>14073176.489507999</v>
      </c>
      <c r="F169" s="152">
        <f t="shared" ref="F169" si="64">SUM(F170:F175,F179:F187)</f>
        <v>14073176</v>
      </c>
      <c r="G169" s="151">
        <f t="shared" si="45"/>
        <v>-0.4895079992711544</v>
      </c>
      <c r="H169" s="165"/>
      <c r="I169" s="151">
        <f>SUM(I170:I175,I179:I187)</f>
        <v>14408694</v>
      </c>
      <c r="J169" s="151">
        <f t="shared" si="46"/>
        <v>335518</v>
      </c>
      <c r="K169" s="165"/>
      <c r="L169" s="151">
        <f>SUM(L170:L175,L179:L187)</f>
        <v>14486020</v>
      </c>
      <c r="M169" s="151">
        <f t="shared" si="47"/>
        <v>77326</v>
      </c>
      <c r="N169" s="165"/>
      <c r="O169" s="151">
        <f>SUM(O170:O175,O179:O187)</f>
        <v>14422495</v>
      </c>
      <c r="P169" s="151">
        <f t="shared" si="48"/>
        <v>-63525</v>
      </c>
      <c r="Q169" s="165"/>
      <c r="R169" s="151">
        <f>SUM(R170:R175,R179:R187)</f>
        <v>12597078</v>
      </c>
      <c r="S169" s="151">
        <f t="shared" si="49"/>
        <v>-1825417</v>
      </c>
      <c r="T169" s="165"/>
    </row>
    <row r="170" spans="2:20" s="132" customFormat="1" ht="17.25" hidden="1" customHeight="1" outlineLevel="1" x14ac:dyDescent="0.25">
      <c r="C170" s="166" t="s">
        <v>433</v>
      </c>
      <c r="D170" s="167" t="s">
        <v>434</v>
      </c>
      <c r="E170" s="34">
        <v>0</v>
      </c>
      <c r="F170" s="34">
        <f>ROUND(E170,0)</f>
        <v>0</v>
      </c>
      <c r="G170" s="33">
        <f t="shared" si="45"/>
        <v>0</v>
      </c>
      <c r="H170" s="168"/>
      <c r="I170" s="33">
        <f>ROUND(F170,0)</f>
        <v>0</v>
      </c>
      <c r="J170" s="33">
        <f t="shared" si="46"/>
        <v>0</v>
      </c>
      <c r="K170" s="168"/>
      <c r="L170" s="33">
        <f>ROUND(I170,0)</f>
        <v>0</v>
      </c>
      <c r="M170" s="33">
        <f t="shared" si="47"/>
        <v>0</v>
      </c>
      <c r="N170" s="168"/>
      <c r="O170" s="33">
        <f>ROUND(L170,0)</f>
        <v>0</v>
      </c>
      <c r="P170" s="33">
        <f t="shared" si="48"/>
        <v>0</v>
      </c>
      <c r="Q170" s="168"/>
      <c r="R170" s="33">
        <f>ROUND(O170,0)</f>
        <v>0</v>
      </c>
      <c r="S170" s="33">
        <f t="shared" si="49"/>
        <v>0</v>
      </c>
      <c r="T170" s="168"/>
    </row>
    <row r="171" spans="2:20" ht="41.45" customHeight="1" collapsed="1" x14ac:dyDescent="0.25">
      <c r="B171" s="67" t="s">
        <v>435</v>
      </c>
      <c r="C171" s="148" t="s">
        <v>433</v>
      </c>
      <c r="D171" s="169" t="s">
        <v>436</v>
      </c>
      <c r="E171" s="34">
        <v>160572.14087500004</v>
      </c>
      <c r="F171" s="34">
        <f>ROUND(E171,0)</f>
        <v>160572</v>
      </c>
      <c r="G171" s="33">
        <f t="shared" si="45"/>
        <v>-0.14087500004097819</v>
      </c>
      <c r="H171" s="162"/>
      <c r="I171" s="33">
        <f>ROUND(F171,0)</f>
        <v>160572</v>
      </c>
      <c r="J171" s="33">
        <f t="shared" si="46"/>
        <v>0</v>
      </c>
      <c r="K171" s="162"/>
      <c r="L171" s="33">
        <f>ROUND(I171,0)</f>
        <v>160572</v>
      </c>
      <c r="M171" s="33">
        <f t="shared" si="47"/>
        <v>0</v>
      </c>
      <c r="N171" s="162"/>
      <c r="O171" s="33">
        <f>ROUND(L171,0)</f>
        <v>160572</v>
      </c>
      <c r="P171" s="33">
        <f t="shared" si="48"/>
        <v>0</v>
      </c>
      <c r="Q171" s="162"/>
      <c r="R171" s="33">
        <f>ROUND(O171,0)+232064</f>
        <v>392636</v>
      </c>
      <c r="S171" s="33">
        <f t="shared" si="49"/>
        <v>232064</v>
      </c>
      <c r="T171" s="162" t="s">
        <v>437</v>
      </c>
    </row>
    <row r="172" spans="2:20" ht="13.9" customHeight="1" x14ac:dyDescent="0.25">
      <c r="B172" s="67" t="s">
        <v>438</v>
      </c>
      <c r="C172" s="148" t="s">
        <v>439</v>
      </c>
      <c r="D172" s="161" t="s">
        <v>440</v>
      </c>
      <c r="E172" s="34">
        <v>355701</v>
      </c>
      <c r="F172" s="34">
        <f t="shared" ref="F172:F184" si="65">ROUND(E172,0)</f>
        <v>355701</v>
      </c>
      <c r="G172" s="33">
        <f t="shared" si="45"/>
        <v>0</v>
      </c>
      <c r="H172" s="156"/>
      <c r="I172" s="33">
        <f>ROUND(F172,0)</f>
        <v>355701</v>
      </c>
      <c r="J172" s="33">
        <f t="shared" si="46"/>
        <v>0</v>
      </c>
      <c r="K172" s="156"/>
      <c r="L172" s="33">
        <f>ROUND(I172,0)</f>
        <v>355701</v>
      </c>
      <c r="M172" s="33">
        <f t="shared" si="47"/>
        <v>0</v>
      </c>
      <c r="N172" s="156"/>
      <c r="O172" s="33">
        <f>ROUND(L172,0)</f>
        <v>355701</v>
      </c>
      <c r="P172" s="33">
        <f t="shared" si="48"/>
        <v>0</v>
      </c>
      <c r="Q172" s="156"/>
      <c r="R172" s="33">
        <f>ROUND(O172,0)</f>
        <v>355701</v>
      </c>
      <c r="S172" s="33">
        <f t="shared" si="49"/>
        <v>0</v>
      </c>
      <c r="T172" s="156"/>
    </row>
    <row r="173" spans="2:20" ht="27" customHeight="1" x14ac:dyDescent="0.25">
      <c r="B173" s="67" t="s">
        <v>199</v>
      </c>
      <c r="C173" s="159" t="s">
        <v>441</v>
      </c>
      <c r="D173" s="161" t="s">
        <v>318</v>
      </c>
      <c r="E173" s="34">
        <v>891139</v>
      </c>
      <c r="F173" s="34">
        <f t="shared" si="65"/>
        <v>891139</v>
      </c>
      <c r="G173" s="33">
        <f t="shared" si="45"/>
        <v>0</v>
      </c>
      <c r="H173" s="156"/>
      <c r="I173" s="33">
        <f>ROUND(F173,0)</f>
        <v>891139</v>
      </c>
      <c r="J173" s="33">
        <f t="shared" si="46"/>
        <v>0</v>
      </c>
      <c r="K173" s="156"/>
      <c r="L173" s="33">
        <f>ROUND(I173,0)</f>
        <v>891139</v>
      </c>
      <c r="M173" s="33">
        <f t="shared" si="47"/>
        <v>0</v>
      </c>
      <c r="N173" s="156"/>
      <c r="O173" s="33">
        <f>ROUND(L173,0)</f>
        <v>891139</v>
      </c>
      <c r="P173" s="33">
        <f t="shared" si="48"/>
        <v>0</v>
      </c>
      <c r="Q173" s="156"/>
      <c r="R173" s="33">
        <f>ROUND(O173,0)</f>
        <v>891139</v>
      </c>
      <c r="S173" s="33">
        <f t="shared" si="49"/>
        <v>0</v>
      </c>
      <c r="T173" s="156"/>
    </row>
    <row r="174" spans="2:20" ht="25.9" customHeight="1" x14ac:dyDescent="0.25">
      <c r="B174" s="67" t="s">
        <v>442</v>
      </c>
      <c r="C174" s="148" t="s">
        <v>443</v>
      </c>
      <c r="D174" s="169" t="s">
        <v>444</v>
      </c>
      <c r="E174" s="34">
        <v>3779449</v>
      </c>
      <c r="F174" s="34">
        <f t="shared" si="65"/>
        <v>3779449</v>
      </c>
      <c r="G174" s="33">
        <f t="shared" si="45"/>
        <v>0</v>
      </c>
      <c r="H174" s="156"/>
      <c r="I174" s="33">
        <f>ROUND(F174,0)</f>
        <v>3779449</v>
      </c>
      <c r="J174" s="33">
        <f t="shared" si="46"/>
        <v>0</v>
      </c>
      <c r="K174" s="156"/>
      <c r="L174" s="33">
        <f>ROUND(I174,0)</f>
        <v>3779449</v>
      </c>
      <c r="M174" s="33">
        <f t="shared" si="47"/>
        <v>0</v>
      </c>
      <c r="N174" s="156"/>
      <c r="O174" s="33">
        <f>ROUND(L174,0)</f>
        <v>3779449</v>
      </c>
      <c r="P174" s="33">
        <f t="shared" si="48"/>
        <v>0</v>
      </c>
      <c r="Q174" s="156"/>
      <c r="R174" s="33">
        <f>ROUND(O174,0)</f>
        <v>3779449</v>
      </c>
      <c r="S174" s="33">
        <f t="shared" si="49"/>
        <v>0</v>
      </c>
      <c r="T174" s="156"/>
    </row>
    <row r="175" spans="2:20" ht="32.25" customHeight="1" x14ac:dyDescent="0.25">
      <c r="B175" s="67" t="s">
        <v>5</v>
      </c>
      <c r="C175" s="148" t="s">
        <v>445</v>
      </c>
      <c r="D175" s="169" t="s">
        <v>446</v>
      </c>
      <c r="E175" s="170">
        <v>5552774.9964329991</v>
      </c>
      <c r="F175" s="170">
        <f>SUM(F176:F178)</f>
        <v>5552775</v>
      </c>
      <c r="G175" s="33">
        <f t="shared" si="45"/>
        <v>3.5670008510351181E-3</v>
      </c>
      <c r="H175" s="156"/>
      <c r="I175" s="84">
        <f>SUM(I176:I178)</f>
        <v>5888293</v>
      </c>
      <c r="J175" s="33">
        <f t="shared" si="46"/>
        <v>335518</v>
      </c>
      <c r="K175" s="156"/>
      <c r="L175" s="84">
        <f>SUM(L176:L178)</f>
        <v>5908293</v>
      </c>
      <c r="M175" s="33">
        <f t="shared" si="47"/>
        <v>20000</v>
      </c>
      <c r="N175" s="156"/>
      <c r="O175" s="84">
        <f>SUM(O176:O178)</f>
        <v>5825768</v>
      </c>
      <c r="P175" s="33">
        <f t="shared" si="48"/>
        <v>-82525</v>
      </c>
      <c r="Q175" s="156"/>
      <c r="R175" s="84">
        <f>SUM(R176:R178)</f>
        <v>5837717</v>
      </c>
      <c r="S175" s="33">
        <f t="shared" si="49"/>
        <v>11949</v>
      </c>
      <c r="T175" s="156"/>
    </row>
    <row r="176" spans="2:20" ht="102.75" customHeight="1" x14ac:dyDescent="0.25">
      <c r="B176" s="67"/>
      <c r="C176" s="171" t="s">
        <v>447</v>
      </c>
      <c r="D176" s="172" t="s">
        <v>448</v>
      </c>
      <c r="E176" s="170">
        <v>4996040.3361329995</v>
      </c>
      <c r="F176" s="170">
        <f t="shared" si="65"/>
        <v>4996040</v>
      </c>
      <c r="G176" s="33">
        <f t="shared" si="45"/>
        <v>-0.33613299950957298</v>
      </c>
      <c r="H176" s="156"/>
      <c r="I176" s="84">
        <f>ROUND(F176,0)-18000+16000+21000+30000+5000+30000+12000+36000+(54000+126000)+15597</f>
        <v>5323637</v>
      </c>
      <c r="J176" s="36">
        <f t="shared" si="46"/>
        <v>327597</v>
      </c>
      <c r="K176" s="157" t="s">
        <v>449</v>
      </c>
      <c r="L176" s="84">
        <f>ROUND(I176,0)-17977-99-410-4242-202-86-55-19408-8457</f>
        <v>5272701</v>
      </c>
      <c r="M176" s="33">
        <f t="shared" si="47"/>
        <v>-50936</v>
      </c>
      <c r="N176" s="156" t="s">
        <v>450</v>
      </c>
      <c r="O176" s="84">
        <f>ROUND(L176,0)-50000+25175-54000-3700</f>
        <v>5190176</v>
      </c>
      <c r="P176" s="33">
        <f t="shared" si="48"/>
        <v>-82525</v>
      </c>
      <c r="Q176" s="156" t="s">
        <v>451</v>
      </c>
      <c r="R176" s="84">
        <f>ROUND(O176,0)+8445+3504-20707-9551-10040</f>
        <v>5161827</v>
      </c>
      <c r="S176" s="33">
        <f t="shared" si="49"/>
        <v>-28349</v>
      </c>
      <c r="T176" s="156" t="s">
        <v>1082</v>
      </c>
    </row>
    <row r="177" spans="2:20" ht="44.25" customHeight="1" x14ac:dyDescent="0.25">
      <c r="B177" s="67"/>
      <c r="C177" s="171" t="s">
        <v>452</v>
      </c>
      <c r="D177" s="172" t="s">
        <v>453</v>
      </c>
      <c r="E177" s="170">
        <v>295000</v>
      </c>
      <c r="F177" s="170">
        <f t="shared" si="65"/>
        <v>295000</v>
      </c>
      <c r="G177" s="33">
        <f t="shared" si="45"/>
        <v>0</v>
      </c>
      <c r="H177" s="156"/>
      <c r="I177" s="84">
        <f t="shared" ref="I177:I187" si="66">ROUND(F177,0)</f>
        <v>295000</v>
      </c>
      <c r="J177" s="33">
        <f t="shared" si="46"/>
        <v>0</v>
      </c>
      <c r="K177" s="156"/>
      <c r="L177" s="84">
        <f>ROUND(I177,0)+27920</f>
        <v>322920</v>
      </c>
      <c r="M177" s="33">
        <f t="shared" si="47"/>
        <v>27920</v>
      </c>
      <c r="N177" s="156" t="s">
        <v>454</v>
      </c>
      <c r="O177" s="84">
        <f>ROUND(L177,0)</f>
        <v>322920</v>
      </c>
      <c r="P177" s="33">
        <f t="shared" si="48"/>
        <v>0</v>
      </c>
      <c r="Q177" s="156"/>
      <c r="R177" s="84">
        <f>ROUND(O177,0)+20707</f>
        <v>343627</v>
      </c>
      <c r="S177" s="74">
        <f t="shared" si="49"/>
        <v>20707</v>
      </c>
      <c r="T177" s="173" t="s">
        <v>1083</v>
      </c>
    </row>
    <row r="178" spans="2:20" ht="43.5" customHeight="1" x14ac:dyDescent="0.25">
      <c r="B178" s="67"/>
      <c r="C178" s="171" t="s">
        <v>455</v>
      </c>
      <c r="D178" s="172" t="s">
        <v>456</v>
      </c>
      <c r="E178" s="170">
        <v>261734.66029999999</v>
      </c>
      <c r="F178" s="170">
        <f t="shared" si="65"/>
        <v>261735</v>
      </c>
      <c r="G178" s="33">
        <f t="shared" si="45"/>
        <v>0.33970000001136214</v>
      </c>
      <c r="H178" s="156"/>
      <c r="I178" s="84">
        <f>ROUND(F178,0)+7921</f>
        <v>269656</v>
      </c>
      <c r="J178" s="33">
        <f t="shared" si="46"/>
        <v>7921</v>
      </c>
      <c r="K178" s="156" t="s">
        <v>457</v>
      </c>
      <c r="L178" s="84">
        <f>ROUND(I178,0)+17977+99+410+4242+202+86+20000</f>
        <v>312672</v>
      </c>
      <c r="M178" s="33">
        <f t="shared" si="47"/>
        <v>43016</v>
      </c>
      <c r="N178" s="156" t="s">
        <v>458</v>
      </c>
      <c r="O178" s="84">
        <f>ROUND(L178,0)</f>
        <v>312672</v>
      </c>
      <c r="P178" s="33">
        <f t="shared" si="48"/>
        <v>0</v>
      </c>
      <c r="Q178" s="156"/>
      <c r="R178" s="84">
        <f>ROUND(O178,0)+9551+10040</f>
        <v>332263</v>
      </c>
      <c r="S178" s="74">
        <f t="shared" si="49"/>
        <v>19591</v>
      </c>
      <c r="T178" s="173" t="s">
        <v>1083</v>
      </c>
    </row>
    <row r="179" spans="2:20" ht="29.25" hidden="1" customHeight="1" outlineLevel="1" x14ac:dyDescent="0.25">
      <c r="B179" s="67" t="s">
        <v>459</v>
      </c>
      <c r="C179" s="148" t="s">
        <v>460</v>
      </c>
      <c r="D179" s="169" t="s">
        <v>461</v>
      </c>
      <c r="E179" s="34">
        <v>0</v>
      </c>
      <c r="F179" s="34">
        <f t="shared" si="65"/>
        <v>0</v>
      </c>
      <c r="G179" s="33">
        <f t="shared" si="45"/>
        <v>0</v>
      </c>
      <c r="H179" s="51"/>
      <c r="I179" s="33">
        <f t="shared" si="66"/>
        <v>0</v>
      </c>
      <c r="J179" s="33">
        <f t="shared" si="46"/>
        <v>0</v>
      </c>
      <c r="K179" s="51"/>
      <c r="L179" s="33">
        <f t="shared" ref="L179:L187" si="67">ROUND(I179,0)</f>
        <v>0</v>
      </c>
      <c r="M179" s="33">
        <f t="shared" si="47"/>
        <v>0</v>
      </c>
      <c r="N179" s="51"/>
      <c r="O179" s="33">
        <f>ROUND(L179,0)</f>
        <v>0</v>
      </c>
      <c r="P179" s="33">
        <f t="shared" si="48"/>
        <v>0</v>
      </c>
      <c r="Q179" s="51"/>
      <c r="R179" s="33">
        <f t="shared" ref="R179:R187" si="68">ROUND(O179,0)</f>
        <v>0</v>
      </c>
      <c r="S179" s="33">
        <f t="shared" si="49"/>
        <v>0</v>
      </c>
      <c r="T179" s="51"/>
    </row>
    <row r="180" spans="2:20" ht="39.6" customHeight="1" collapsed="1" x14ac:dyDescent="0.25">
      <c r="B180" s="67" t="s">
        <v>462</v>
      </c>
      <c r="C180" s="159" t="s">
        <v>463</v>
      </c>
      <c r="D180" s="161" t="s">
        <v>464</v>
      </c>
      <c r="E180" s="34">
        <v>391245.35220000002</v>
      </c>
      <c r="F180" s="34">
        <f t="shared" si="65"/>
        <v>391245</v>
      </c>
      <c r="G180" s="33">
        <f t="shared" si="45"/>
        <v>-0.35220000002300367</v>
      </c>
      <c r="H180" s="156"/>
      <c r="I180" s="33">
        <f t="shared" si="66"/>
        <v>391245</v>
      </c>
      <c r="J180" s="33">
        <f t="shared" si="46"/>
        <v>0</v>
      </c>
      <c r="K180" s="156"/>
      <c r="L180" s="33">
        <f t="shared" si="67"/>
        <v>391245</v>
      </c>
      <c r="M180" s="33">
        <f t="shared" si="47"/>
        <v>0</v>
      </c>
      <c r="N180" s="156"/>
      <c r="O180" s="33">
        <f>ROUND(L180,0)</f>
        <v>391245</v>
      </c>
      <c r="P180" s="33">
        <f t="shared" si="48"/>
        <v>0</v>
      </c>
      <c r="Q180" s="156"/>
      <c r="R180" s="33">
        <f t="shared" si="68"/>
        <v>391245</v>
      </c>
      <c r="S180" s="33">
        <f t="shared" si="49"/>
        <v>0</v>
      </c>
      <c r="T180" s="156"/>
    </row>
    <row r="181" spans="2:20" ht="16.149999999999999" customHeight="1" x14ac:dyDescent="0.25">
      <c r="B181" s="67" t="s">
        <v>438</v>
      </c>
      <c r="C181" s="159" t="s">
        <v>465</v>
      </c>
      <c r="D181" s="161" t="s">
        <v>466</v>
      </c>
      <c r="E181" s="34">
        <v>32000</v>
      </c>
      <c r="F181" s="34">
        <f t="shared" si="65"/>
        <v>32000</v>
      </c>
      <c r="G181" s="33">
        <f t="shared" si="45"/>
        <v>0</v>
      </c>
      <c r="H181" s="156"/>
      <c r="I181" s="33">
        <f t="shared" si="66"/>
        <v>32000</v>
      </c>
      <c r="J181" s="33">
        <f t="shared" si="46"/>
        <v>0</v>
      </c>
      <c r="K181" s="156"/>
      <c r="L181" s="33">
        <f t="shared" si="67"/>
        <v>32000</v>
      </c>
      <c r="M181" s="33">
        <f t="shared" si="47"/>
        <v>0</v>
      </c>
      <c r="N181" s="156" t="s">
        <v>467</v>
      </c>
      <c r="O181" s="33">
        <f>ROUND(L181,0)</f>
        <v>32000</v>
      </c>
      <c r="P181" s="33">
        <f t="shared" si="48"/>
        <v>0</v>
      </c>
      <c r="Q181" s="156"/>
      <c r="R181" s="33">
        <f t="shared" si="68"/>
        <v>32000</v>
      </c>
      <c r="S181" s="33">
        <f t="shared" si="49"/>
        <v>0</v>
      </c>
      <c r="T181" s="156"/>
    </row>
    <row r="182" spans="2:20" ht="30" customHeight="1" x14ac:dyDescent="0.25">
      <c r="B182" s="67"/>
      <c r="C182" s="159" t="s">
        <v>468</v>
      </c>
      <c r="D182" s="161" t="s">
        <v>330</v>
      </c>
      <c r="E182" s="34">
        <v>293146</v>
      </c>
      <c r="F182" s="34">
        <f t="shared" si="65"/>
        <v>293146</v>
      </c>
      <c r="G182" s="33">
        <f t="shared" si="45"/>
        <v>0</v>
      </c>
      <c r="H182" s="156"/>
      <c r="I182" s="33">
        <f t="shared" si="66"/>
        <v>293146</v>
      </c>
      <c r="J182" s="33">
        <f t="shared" si="46"/>
        <v>0</v>
      </c>
      <c r="K182" s="156"/>
      <c r="L182" s="33">
        <f>ROUND(I182,0)+57326</f>
        <v>350472</v>
      </c>
      <c r="M182" s="33">
        <f t="shared" si="47"/>
        <v>57326</v>
      </c>
      <c r="N182" s="156" t="s">
        <v>331</v>
      </c>
      <c r="O182" s="33">
        <f>ROUND(L182,0)-27000</f>
        <v>323472</v>
      </c>
      <c r="P182" s="33">
        <f t="shared" si="48"/>
        <v>-27000</v>
      </c>
      <c r="Q182" s="156" t="s">
        <v>469</v>
      </c>
      <c r="R182" s="33">
        <f t="shared" si="68"/>
        <v>323472</v>
      </c>
      <c r="S182" s="33">
        <f t="shared" si="49"/>
        <v>0</v>
      </c>
      <c r="T182" s="156"/>
    </row>
    <row r="183" spans="2:20" ht="33.75" customHeight="1" x14ac:dyDescent="0.25">
      <c r="B183" s="67"/>
      <c r="C183" s="159" t="s">
        <v>470</v>
      </c>
      <c r="D183" s="161" t="s">
        <v>333</v>
      </c>
      <c r="E183" s="34">
        <v>180000</v>
      </c>
      <c r="F183" s="34">
        <f t="shared" si="65"/>
        <v>180000</v>
      </c>
      <c r="G183" s="33">
        <f t="shared" si="45"/>
        <v>0</v>
      </c>
      <c r="H183" s="156"/>
      <c r="I183" s="33">
        <f t="shared" si="66"/>
        <v>180000</v>
      </c>
      <c r="J183" s="33">
        <f t="shared" si="46"/>
        <v>0</v>
      </c>
      <c r="K183" s="156"/>
      <c r="L183" s="33">
        <f t="shared" si="67"/>
        <v>180000</v>
      </c>
      <c r="M183" s="33">
        <f t="shared" si="47"/>
        <v>0</v>
      </c>
      <c r="N183" s="156"/>
      <c r="O183" s="33">
        <f>ROUND(L183,0)-8000-7875</f>
        <v>164125</v>
      </c>
      <c r="P183" s="33">
        <f t="shared" si="48"/>
        <v>-15875</v>
      </c>
      <c r="Q183" s="156" t="s">
        <v>471</v>
      </c>
      <c r="R183" s="33">
        <f>ROUND(O183,0)-6125-126000-25950</f>
        <v>6050</v>
      </c>
      <c r="S183" s="33">
        <f t="shared" si="49"/>
        <v>-158075</v>
      </c>
      <c r="T183" s="156" t="s">
        <v>472</v>
      </c>
    </row>
    <row r="184" spans="2:20" ht="35.25" customHeight="1" x14ac:dyDescent="0.25">
      <c r="B184" s="67"/>
      <c r="C184" s="159" t="s">
        <v>473</v>
      </c>
      <c r="D184" s="175" t="s">
        <v>325</v>
      </c>
      <c r="E184" s="34">
        <v>645000</v>
      </c>
      <c r="F184" s="34">
        <f t="shared" si="65"/>
        <v>645000</v>
      </c>
      <c r="G184" s="33">
        <f t="shared" si="45"/>
        <v>0</v>
      </c>
      <c r="H184" s="156"/>
      <c r="I184" s="33">
        <f t="shared" si="66"/>
        <v>645000</v>
      </c>
      <c r="J184" s="33">
        <f t="shared" si="46"/>
        <v>0</v>
      </c>
      <c r="K184" s="156"/>
      <c r="L184" s="33">
        <f t="shared" si="67"/>
        <v>645000</v>
      </c>
      <c r="M184" s="33">
        <f t="shared" si="47"/>
        <v>0</v>
      </c>
      <c r="N184" s="156"/>
      <c r="O184" s="33">
        <f>ROUND(L184,0)+54000+7875</f>
        <v>706875</v>
      </c>
      <c r="P184" s="33">
        <f t="shared" si="48"/>
        <v>61875</v>
      </c>
      <c r="Q184" s="156" t="s">
        <v>474</v>
      </c>
      <c r="R184" s="33">
        <f>ROUND(O184,0)-61875-645000</f>
        <v>0</v>
      </c>
      <c r="S184" s="33">
        <f t="shared" si="49"/>
        <v>-706875</v>
      </c>
      <c r="T184" s="156" t="s">
        <v>475</v>
      </c>
    </row>
    <row r="185" spans="2:20" ht="18.600000000000001" customHeight="1" x14ac:dyDescent="0.25">
      <c r="B185" s="67" t="s">
        <v>243</v>
      </c>
      <c r="C185" s="159" t="s">
        <v>476</v>
      </c>
      <c r="D185" s="169" t="s">
        <v>245</v>
      </c>
      <c r="E185" s="34">
        <v>546771</v>
      </c>
      <c r="F185" s="34">
        <f>ROUND(E185,0)</f>
        <v>546771</v>
      </c>
      <c r="G185" s="33">
        <f>F185-E185</f>
        <v>0</v>
      </c>
      <c r="H185" s="156"/>
      <c r="I185" s="33">
        <f t="shared" si="66"/>
        <v>546771</v>
      </c>
      <c r="J185" s="33">
        <f t="shared" si="46"/>
        <v>0</v>
      </c>
      <c r="K185" s="156"/>
      <c r="L185" s="33">
        <f t="shared" si="67"/>
        <v>546771</v>
      </c>
      <c r="M185" s="33">
        <f t="shared" si="47"/>
        <v>0</v>
      </c>
      <c r="N185" s="156" t="s">
        <v>467</v>
      </c>
      <c r="O185" s="33">
        <f>ROUND(L185,0)</f>
        <v>546771</v>
      </c>
      <c r="P185" s="33">
        <f t="shared" si="48"/>
        <v>0</v>
      </c>
      <c r="Q185" s="156"/>
      <c r="R185" s="33">
        <f t="shared" si="68"/>
        <v>546771</v>
      </c>
      <c r="S185" s="33">
        <f t="shared" si="49"/>
        <v>0</v>
      </c>
      <c r="T185" s="156"/>
    </row>
    <row r="186" spans="2:20" ht="28.5" customHeight="1" x14ac:dyDescent="0.25">
      <c r="B186" s="67"/>
      <c r="C186" s="159" t="s">
        <v>477</v>
      </c>
      <c r="D186" s="169" t="s">
        <v>247</v>
      </c>
      <c r="E186" s="34">
        <v>1204480</v>
      </c>
      <c r="F186" s="34">
        <f>ROUND(E186,0)</f>
        <v>1204480</v>
      </c>
      <c r="G186" s="33">
        <f>F186-E186</f>
        <v>0</v>
      </c>
      <c r="H186" s="156"/>
      <c r="I186" s="33">
        <f t="shared" si="66"/>
        <v>1204480</v>
      </c>
      <c r="J186" s="33">
        <f t="shared" si="46"/>
        <v>0</v>
      </c>
      <c r="K186" s="156"/>
      <c r="L186" s="33">
        <f t="shared" si="67"/>
        <v>1204480</v>
      </c>
      <c r="M186" s="33">
        <f t="shared" si="47"/>
        <v>0</v>
      </c>
      <c r="N186" s="156"/>
      <c r="O186" s="33">
        <f>ROUND(L186,0)</f>
        <v>1204480</v>
      </c>
      <c r="P186" s="33">
        <f t="shared" si="48"/>
        <v>0</v>
      </c>
      <c r="Q186" s="156"/>
      <c r="R186" s="33">
        <f>ROUND(O186,0)-1204480</f>
        <v>0</v>
      </c>
      <c r="S186" s="33">
        <f t="shared" si="49"/>
        <v>-1204480</v>
      </c>
      <c r="T186" s="156" t="s">
        <v>248</v>
      </c>
    </row>
    <row r="187" spans="2:20" ht="27.6" customHeight="1" x14ac:dyDescent="0.25">
      <c r="B187" s="67" t="s">
        <v>478</v>
      </c>
      <c r="C187" s="159" t="s">
        <v>479</v>
      </c>
      <c r="D187" s="175" t="s">
        <v>480</v>
      </c>
      <c r="E187" s="34">
        <v>40898</v>
      </c>
      <c r="F187" s="34">
        <f>ROUND(E187,0)</f>
        <v>40898</v>
      </c>
      <c r="G187" s="33">
        <f>F187-E187</f>
        <v>0</v>
      </c>
      <c r="H187" s="51"/>
      <c r="I187" s="33">
        <f t="shared" si="66"/>
        <v>40898</v>
      </c>
      <c r="J187" s="33">
        <f t="shared" si="46"/>
        <v>0</v>
      </c>
      <c r="K187" s="51"/>
      <c r="L187" s="33">
        <f t="shared" si="67"/>
        <v>40898</v>
      </c>
      <c r="M187" s="33">
        <f t="shared" si="47"/>
        <v>0</v>
      </c>
      <c r="N187" s="51"/>
      <c r="O187" s="33">
        <f>ROUND(L187,0)</f>
        <v>40898</v>
      </c>
      <c r="P187" s="33">
        <f t="shared" si="48"/>
        <v>0</v>
      </c>
      <c r="Q187" s="51"/>
      <c r="R187" s="33">
        <f t="shared" si="68"/>
        <v>40898</v>
      </c>
      <c r="S187" s="33">
        <f t="shared" si="49"/>
        <v>0</v>
      </c>
      <c r="T187" s="51"/>
    </row>
    <row r="188" spans="2:20" x14ac:dyDescent="0.25">
      <c r="C188" s="144" t="s">
        <v>103</v>
      </c>
      <c r="D188" s="145" t="s">
        <v>481</v>
      </c>
      <c r="E188" s="40">
        <v>2486998.34369</v>
      </c>
      <c r="F188" s="40">
        <f t="shared" ref="F188" si="69">SUM(F189,F193:F200)</f>
        <v>2486999</v>
      </c>
      <c r="G188" s="39">
        <f>SUM(G189,G194:G200)</f>
        <v>0.25630999998065818</v>
      </c>
      <c r="H188" s="39"/>
      <c r="I188" s="39">
        <f>SUM(I189,I193:I200)</f>
        <v>2523654</v>
      </c>
      <c r="J188" s="39">
        <f t="shared" si="46"/>
        <v>36655</v>
      </c>
      <c r="K188" s="39"/>
      <c r="L188" s="39">
        <f>SUM(L189,L193:L200)</f>
        <v>2540654</v>
      </c>
      <c r="M188" s="39">
        <f t="shared" si="47"/>
        <v>17000</v>
      </c>
      <c r="N188" s="39"/>
      <c r="O188" s="39">
        <f>SUM(O189,O193:O200)</f>
        <v>2543558</v>
      </c>
      <c r="P188" s="39">
        <f t="shared" si="48"/>
        <v>2904</v>
      </c>
      <c r="Q188" s="39"/>
      <c r="R188" s="39">
        <f>SUM(R189,R193:R200)</f>
        <v>2575054</v>
      </c>
      <c r="S188" s="39">
        <f t="shared" si="49"/>
        <v>31496</v>
      </c>
      <c r="T188" s="39"/>
    </row>
    <row r="189" spans="2:20" ht="23.25" customHeight="1" x14ac:dyDescent="0.25">
      <c r="C189" s="139" t="s">
        <v>106</v>
      </c>
      <c r="D189" s="140" t="s">
        <v>482</v>
      </c>
      <c r="E189" s="70">
        <v>1187107.66267</v>
      </c>
      <c r="F189" s="70">
        <f t="shared" ref="F189:G189" si="70">SUM(F190:F192)</f>
        <v>1187108</v>
      </c>
      <c r="G189" s="56">
        <f t="shared" si="70"/>
        <v>0.3373299999802839</v>
      </c>
      <c r="H189" s="56"/>
      <c r="I189" s="56">
        <f>SUM(I190:I192)</f>
        <v>1189606</v>
      </c>
      <c r="J189" s="56">
        <f t="shared" si="46"/>
        <v>2498</v>
      </c>
      <c r="K189" s="56"/>
      <c r="L189" s="56">
        <f>SUM(L190:L192)</f>
        <v>1206606</v>
      </c>
      <c r="M189" s="56">
        <f t="shared" si="47"/>
        <v>17000</v>
      </c>
      <c r="N189" s="56"/>
      <c r="O189" s="56">
        <f>SUM(O190:O192)</f>
        <v>1206606</v>
      </c>
      <c r="P189" s="56">
        <f t="shared" si="48"/>
        <v>0</v>
      </c>
      <c r="Q189" s="56"/>
      <c r="R189" s="56">
        <f>SUM(R190:R192)</f>
        <v>1225606</v>
      </c>
      <c r="S189" s="56">
        <f t="shared" si="49"/>
        <v>19000</v>
      </c>
      <c r="T189" s="56"/>
    </row>
    <row r="190" spans="2:20" ht="15" customHeight="1" x14ac:dyDescent="0.25">
      <c r="B190" s="67" t="s">
        <v>483</v>
      </c>
      <c r="C190" s="148" t="s">
        <v>484</v>
      </c>
      <c r="D190" s="149" t="s">
        <v>485</v>
      </c>
      <c r="E190" s="34">
        <v>589107.49502000003</v>
      </c>
      <c r="F190" s="34">
        <f>ROUND(E190,0)</f>
        <v>589107</v>
      </c>
      <c r="G190" s="33">
        <f t="shared" si="45"/>
        <v>-0.49502000003121793</v>
      </c>
      <c r="H190" s="156"/>
      <c r="I190" s="33">
        <f>ROUND(F190,0)+2498</f>
        <v>591605</v>
      </c>
      <c r="J190" s="36">
        <f t="shared" si="46"/>
        <v>2498</v>
      </c>
      <c r="K190" s="176" t="s">
        <v>486</v>
      </c>
      <c r="L190" s="33">
        <f>ROUND(I190,0)+17000</f>
        <v>608605</v>
      </c>
      <c r="M190" s="33">
        <f t="shared" si="47"/>
        <v>17000</v>
      </c>
      <c r="N190" s="177" t="s">
        <v>487</v>
      </c>
      <c r="O190" s="33">
        <f>ROUND(L190,0)</f>
        <v>608605</v>
      </c>
      <c r="P190" s="33">
        <f t="shared" si="48"/>
        <v>0</v>
      </c>
      <c r="Q190" s="177"/>
      <c r="R190" s="33">
        <f>ROUND(O190,0)</f>
        <v>608605</v>
      </c>
      <c r="S190" s="33">
        <f t="shared" si="49"/>
        <v>0</v>
      </c>
      <c r="T190" s="177"/>
    </row>
    <row r="191" spans="2:20" ht="39" customHeight="1" x14ac:dyDescent="0.25">
      <c r="B191" s="67" t="s">
        <v>488</v>
      </c>
      <c r="C191" s="148" t="s">
        <v>489</v>
      </c>
      <c r="D191" s="149" t="s">
        <v>490</v>
      </c>
      <c r="E191" s="34">
        <v>409633.66324999998</v>
      </c>
      <c r="F191" s="34">
        <f>ROUND(E191,0)</f>
        <v>409634</v>
      </c>
      <c r="G191" s="33">
        <f t="shared" si="45"/>
        <v>0.33675000001676381</v>
      </c>
      <c r="H191" s="156"/>
      <c r="I191" s="33">
        <f>ROUND(F191,0)</f>
        <v>409634</v>
      </c>
      <c r="J191" s="33">
        <f t="shared" si="46"/>
        <v>0</v>
      </c>
      <c r="K191" s="156"/>
      <c r="L191" s="33">
        <f t="shared" ref="L191:L200" si="71">ROUND(I191,0)</f>
        <v>409634</v>
      </c>
      <c r="M191" s="33">
        <f t="shared" si="47"/>
        <v>0</v>
      </c>
      <c r="N191" s="156"/>
      <c r="O191" s="33">
        <f t="shared" ref="O191:O200" si="72">ROUND(L191,0)</f>
        <v>409634</v>
      </c>
      <c r="P191" s="33">
        <f t="shared" si="48"/>
        <v>0</v>
      </c>
      <c r="Q191" s="156"/>
      <c r="R191" s="33">
        <f>ROUND(O191,0)+19000</f>
        <v>428634</v>
      </c>
      <c r="S191" s="33">
        <f t="shared" si="49"/>
        <v>19000</v>
      </c>
      <c r="T191" s="156" t="s">
        <v>491</v>
      </c>
    </row>
    <row r="192" spans="2:20" ht="13.15" customHeight="1" x14ac:dyDescent="0.25">
      <c r="B192" s="67" t="s">
        <v>492</v>
      </c>
      <c r="C192" s="148" t="s">
        <v>493</v>
      </c>
      <c r="D192" s="149" t="s">
        <v>494</v>
      </c>
      <c r="E192" s="34">
        <v>188366.50440000001</v>
      </c>
      <c r="F192" s="34">
        <f>ROUND(E192,0)</f>
        <v>188367</v>
      </c>
      <c r="G192" s="33">
        <f t="shared" si="45"/>
        <v>0.49559999999473803</v>
      </c>
      <c r="H192" s="51"/>
      <c r="I192" s="33">
        <f>ROUND(F192,0)</f>
        <v>188367</v>
      </c>
      <c r="J192" s="33">
        <f t="shared" si="46"/>
        <v>0</v>
      </c>
      <c r="K192" s="51"/>
      <c r="L192" s="33">
        <f t="shared" si="71"/>
        <v>188367</v>
      </c>
      <c r="M192" s="33">
        <f t="shared" si="47"/>
        <v>0</v>
      </c>
      <c r="N192" s="51"/>
      <c r="O192" s="33">
        <f t="shared" si="72"/>
        <v>188367</v>
      </c>
      <c r="P192" s="33">
        <f t="shared" si="48"/>
        <v>0</v>
      </c>
      <c r="Q192" s="51"/>
      <c r="R192" s="33">
        <f t="shared" ref="R192:R196" si="73">ROUND(O192,0)</f>
        <v>188367</v>
      </c>
      <c r="S192" s="33">
        <f t="shared" si="49"/>
        <v>0</v>
      </c>
      <c r="T192" s="51"/>
    </row>
    <row r="193" spans="2:20" ht="33.75" customHeight="1" x14ac:dyDescent="0.25">
      <c r="B193" s="67" t="s">
        <v>495</v>
      </c>
      <c r="C193" s="178" t="s">
        <v>108</v>
      </c>
      <c r="D193" s="140" t="s">
        <v>496</v>
      </c>
      <c r="E193" s="70">
        <v>135145.60000000001</v>
      </c>
      <c r="F193" s="70">
        <f>ROUND(E193,0)</f>
        <v>135146</v>
      </c>
      <c r="G193" s="56">
        <f>F193-E193</f>
        <v>0.39999999999417923</v>
      </c>
      <c r="H193" s="179"/>
      <c r="I193" s="56">
        <f>ROUND(F193,0)+20000</f>
        <v>155146</v>
      </c>
      <c r="J193" s="141">
        <f t="shared" si="46"/>
        <v>20000</v>
      </c>
      <c r="K193" s="180" t="s">
        <v>497</v>
      </c>
      <c r="L193" s="56">
        <f t="shared" si="71"/>
        <v>155146</v>
      </c>
      <c r="M193" s="56">
        <f t="shared" si="47"/>
        <v>0</v>
      </c>
      <c r="N193" s="179"/>
      <c r="O193" s="56">
        <f t="shared" si="72"/>
        <v>155146</v>
      </c>
      <c r="P193" s="56">
        <f t="shared" si="48"/>
        <v>0</v>
      </c>
      <c r="Q193" s="179"/>
      <c r="R193" s="56">
        <f>ROUND(O193,0)-19000</f>
        <v>136146</v>
      </c>
      <c r="S193" s="56">
        <f t="shared" si="49"/>
        <v>-19000</v>
      </c>
      <c r="T193" s="179" t="s">
        <v>491</v>
      </c>
    </row>
    <row r="194" spans="2:20" ht="29.45" customHeight="1" x14ac:dyDescent="0.25">
      <c r="B194" s="67" t="s">
        <v>498</v>
      </c>
      <c r="C194" s="178" t="s">
        <v>499</v>
      </c>
      <c r="D194" s="140" t="s">
        <v>500</v>
      </c>
      <c r="E194" s="70">
        <v>212422.11000000002</v>
      </c>
      <c r="F194" s="70">
        <f t="shared" ref="F194:F200" si="74">ROUND(E194,0)</f>
        <v>212422</v>
      </c>
      <c r="G194" s="56">
        <f t="shared" si="45"/>
        <v>-0.11000000001513399</v>
      </c>
      <c r="H194" s="179"/>
      <c r="I194" s="56">
        <f>ROUND(F194,0)</f>
        <v>212422</v>
      </c>
      <c r="J194" s="56">
        <f t="shared" si="46"/>
        <v>0</v>
      </c>
      <c r="K194" s="179"/>
      <c r="L194" s="56">
        <f t="shared" si="71"/>
        <v>212422</v>
      </c>
      <c r="M194" s="56">
        <f t="shared" si="47"/>
        <v>0</v>
      </c>
      <c r="N194" s="179"/>
      <c r="O194" s="56">
        <f t="shared" si="72"/>
        <v>212422</v>
      </c>
      <c r="P194" s="56">
        <f t="shared" si="48"/>
        <v>0</v>
      </c>
      <c r="Q194" s="179"/>
      <c r="R194" s="56">
        <f t="shared" si="73"/>
        <v>212422</v>
      </c>
      <c r="S194" s="56">
        <f t="shared" si="49"/>
        <v>0</v>
      </c>
      <c r="T194" s="179"/>
    </row>
    <row r="195" spans="2:20" ht="27" customHeight="1" x14ac:dyDescent="0.25">
      <c r="B195" s="67" t="s">
        <v>501</v>
      </c>
      <c r="C195" s="178" t="s">
        <v>502</v>
      </c>
      <c r="D195" s="140" t="s">
        <v>233</v>
      </c>
      <c r="E195" s="70">
        <v>15704.03</v>
      </c>
      <c r="F195" s="70">
        <f t="shared" si="74"/>
        <v>15704</v>
      </c>
      <c r="G195" s="56">
        <f t="shared" si="45"/>
        <v>-3.0000000000654836E-2</v>
      </c>
      <c r="H195" s="71"/>
      <c r="I195" s="56">
        <f>ROUND(F195,0)</f>
        <v>15704</v>
      </c>
      <c r="J195" s="56">
        <f t="shared" si="46"/>
        <v>0</v>
      </c>
      <c r="K195" s="71"/>
      <c r="L195" s="56">
        <f t="shared" si="71"/>
        <v>15704</v>
      </c>
      <c r="M195" s="56">
        <f t="shared" si="47"/>
        <v>0</v>
      </c>
      <c r="N195" s="71"/>
      <c r="O195" s="56">
        <f t="shared" si="72"/>
        <v>15704</v>
      </c>
      <c r="P195" s="56">
        <f t="shared" si="48"/>
        <v>0</v>
      </c>
      <c r="Q195" s="71"/>
      <c r="R195" s="56">
        <f t="shared" si="73"/>
        <v>15704</v>
      </c>
      <c r="S195" s="56">
        <f t="shared" si="49"/>
        <v>0</v>
      </c>
      <c r="T195" s="71"/>
    </row>
    <row r="196" spans="2:20" ht="15" customHeight="1" x14ac:dyDescent="0.25">
      <c r="B196" s="67" t="s">
        <v>503</v>
      </c>
      <c r="C196" s="139" t="s">
        <v>504</v>
      </c>
      <c r="D196" s="140" t="s">
        <v>505</v>
      </c>
      <c r="E196" s="70">
        <v>121138.2865</v>
      </c>
      <c r="F196" s="70">
        <f t="shared" si="74"/>
        <v>121138</v>
      </c>
      <c r="G196" s="56">
        <f t="shared" si="45"/>
        <v>-0.28650000000197906</v>
      </c>
      <c r="H196" s="179"/>
      <c r="I196" s="56">
        <f>ROUND(F196,0)+13657+500</f>
        <v>135295</v>
      </c>
      <c r="J196" s="141">
        <f t="shared" si="46"/>
        <v>14157</v>
      </c>
      <c r="K196" s="180" t="s">
        <v>506</v>
      </c>
      <c r="L196" s="56">
        <f t="shared" si="71"/>
        <v>135295</v>
      </c>
      <c r="M196" s="56">
        <f t="shared" si="47"/>
        <v>0</v>
      </c>
      <c r="N196" s="179"/>
      <c r="O196" s="56">
        <f t="shared" si="72"/>
        <v>135295</v>
      </c>
      <c r="P196" s="56">
        <f t="shared" si="48"/>
        <v>0</v>
      </c>
      <c r="Q196" s="179"/>
      <c r="R196" s="56">
        <f t="shared" si="73"/>
        <v>135295</v>
      </c>
      <c r="S196" s="56">
        <f t="shared" si="49"/>
        <v>0</v>
      </c>
      <c r="T196" s="179"/>
    </row>
    <row r="197" spans="2:20" ht="15.6" customHeight="1" x14ac:dyDescent="0.25">
      <c r="B197" s="67" t="s">
        <v>507</v>
      </c>
      <c r="C197" s="139" t="s">
        <v>508</v>
      </c>
      <c r="D197" s="140" t="s">
        <v>509</v>
      </c>
      <c r="E197" s="70">
        <v>62655.829250000003</v>
      </c>
      <c r="F197" s="70">
        <f t="shared" si="74"/>
        <v>62656</v>
      </c>
      <c r="G197" s="56">
        <f t="shared" ref="G197:G260" si="75">F197-E197</f>
        <v>0.17074999999749707</v>
      </c>
      <c r="H197" s="179"/>
      <c r="I197" s="56">
        <f>ROUND(F197,0)</f>
        <v>62656</v>
      </c>
      <c r="J197" s="56">
        <f t="shared" si="46"/>
        <v>0</v>
      </c>
      <c r="K197" s="179"/>
      <c r="L197" s="56">
        <f t="shared" si="71"/>
        <v>62656</v>
      </c>
      <c r="M197" s="56">
        <f t="shared" si="47"/>
        <v>0</v>
      </c>
      <c r="N197" s="179"/>
      <c r="O197" s="56">
        <f>ROUND(L197,0)+2904</f>
        <v>65560</v>
      </c>
      <c r="P197" s="56">
        <f t="shared" si="48"/>
        <v>2904</v>
      </c>
      <c r="Q197" s="179" t="s">
        <v>510</v>
      </c>
      <c r="R197" s="56">
        <f>ROUND(O197,0)</f>
        <v>65560</v>
      </c>
      <c r="S197" s="56">
        <f t="shared" si="49"/>
        <v>0</v>
      </c>
      <c r="T197" s="179"/>
    </row>
    <row r="198" spans="2:20" ht="73.5" customHeight="1" x14ac:dyDescent="0.25">
      <c r="B198" s="67" t="s">
        <v>293</v>
      </c>
      <c r="C198" s="139" t="s">
        <v>511</v>
      </c>
      <c r="D198" s="140" t="s">
        <v>512</v>
      </c>
      <c r="E198" s="70">
        <v>729596.65136999998</v>
      </c>
      <c r="F198" s="70">
        <f t="shared" si="74"/>
        <v>729597</v>
      </c>
      <c r="G198" s="56">
        <f t="shared" si="75"/>
        <v>0.34863000002223998</v>
      </c>
      <c r="H198" s="71"/>
      <c r="I198" s="56">
        <f>ROUND(F198,0)</f>
        <v>729597</v>
      </c>
      <c r="J198" s="56">
        <f t="shared" ref="J198:J261" si="76">I198-F198</f>
        <v>0</v>
      </c>
      <c r="K198" s="71"/>
      <c r="L198" s="56">
        <f t="shared" si="71"/>
        <v>729597</v>
      </c>
      <c r="M198" s="56">
        <f t="shared" ref="M198:M261" si="77">L198-I198</f>
        <v>0</v>
      </c>
      <c r="N198" s="71"/>
      <c r="O198" s="56">
        <f>ROUND(L198,0)</f>
        <v>729597</v>
      </c>
      <c r="P198" s="56">
        <f t="shared" ref="P198:P261" si="78">O198-L198</f>
        <v>0</v>
      </c>
      <c r="Q198" s="71"/>
      <c r="R198" s="56">
        <f>ROUND(O198,0)-3504+5000+30000</f>
        <v>761093</v>
      </c>
      <c r="S198" s="56">
        <f t="shared" ref="S198:S261" si="79">R198-O198</f>
        <v>31496</v>
      </c>
      <c r="T198" s="71" t="s">
        <v>513</v>
      </c>
    </row>
    <row r="199" spans="2:20" ht="15.6" customHeight="1" x14ac:dyDescent="0.25">
      <c r="B199" s="67" t="s">
        <v>514</v>
      </c>
      <c r="C199" s="139" t="s">
        <v>515</v>
      </c>
      <c r="D199" s="140" t="s">
        <v>516</v>
      </c>
      <c r="E199" s="70">
        <v>4000</v>
      </c>
      <c r="F199" s="70">
        <f t="shared" si="74"/>
        <v>4000</v>
      </c>
      <c r="G199" s="56">
        <f t="shared" si="75"/>
        <v>0</v>
      </c>
      <c r="H199" s="143"/>
      <c r="I199" s="56">
        <f>ROUND(F199,0)</f>
        <v>4000</v>
      </c>
      <c r="J199" s="56">
        <f t="shared" si="76"/>
        <v>0</v>
      </c>
      <c r="K199" s="143"/>
      <c r="L199" s="56">
        <f t="shared" si="71"/>
        <v>4000</v>
      </c>
      <c r="M199" s="56">
        <f t="shared" si="77"/>
        <v>0</v>
      </c>
      <c r="N199" s="143"/>
      <c r="O199" s="56">
        <f t="shared" si="72"/>
        <v>4000</v>
      </c>
      <c r="P199" s="56">
        <f t="shared" si="78"/>
        <v>0</v>
      </c>
      <c r="Q199" s="143"/>
      <c r="R199" s="56">
        <f>ROUND(O199,0)</f>
        <v>4000</v>
      </c>
      <c r="S199" s="56">
        <f t="shared" si="79"/>
        <v>0</v>
      </c>
      <c r="T199" s="143"/>
    </row>
    <row r="200" spans="2:20" ht="15.6" customHeight="1" x14ac:dyDescent="0.25">
      <c r="B200" s="67" t="s">
        <v>517</v>
      </c>
      <c r="C200" s="139" t="s">
        <v>518</v>
      </c>
      <c r="D200" s="140" t="s">
        <v>519</v>
      </c>
      <c r="E200" s="70">
        <v>19228.173900000002</v>
      </c>
      <c r="F200" s="70">
        <f t="shared" si="74"/>
        <v>19228</v>
      </c>
      <c r="G200" s="56">
        <f t="shared" si="75"/>
        <v>-0.17390000000159489</v>
      </c>
      <c r="H200" s="143"/>
      <c r="I200" s="56">
        <f>ROUND(F200,0)</f>
        <v>19228</v>
      </c>
      <c r="J200" s="56">
        <f t="shared" si="76"/>
        <v>0</v>
      </c>
      <c r="K200" s="143"/>
      <c r="L200" s="56">
        <f t="shared" si="71"/>
        <v>19228</v>
      </c>
      <c r="M200" s="56">
        <f t="shared" si="77"/>
        <v>0</v>
      </c>
      <c r="N200" s="143"/>
      <c r="O200" s="56">
        <f t="shared" si="72"/>
        <v>19228</v>
      </c>
      <c r="P200" s="56">
        <f t="shared" si="78"/>
        <v>0</v>
      </c>
      <c r="Q200" s="143"/>
      <c r="R200" s="56">
        <f>ROUND(O200,0)</f>
        <v>19228</v>
      </c>
      <c r="S200" s="56">
        <f t="shared" si="79"/>
        <v>0</v>
      </c>
      <c r="T200" s="143"/>
    </row>
    <row r="201" spans="2:20" s="131" customFormat="1" ht="15.6" customHeight="1" x14ac:dyDescent="0.2">
      <c r="C201" s="144" t="s">
        <v>111</v>
      </c>
      <c r="D201" s="145" t="s">
        <v>520</v>
      </c>
      <c r="E201" s="40">
        <v>4201176.8811799996</v>
      </c>
      <c r="F201" s="40">
        <f t="shared" ref="F201" si="80">F202+F208+F211+F215+F216+F217+F218+F219</f>
        <v>4201177</v>
      </c>
      <c r="G201" s="39">
        <f>G202+G208+G211+G215+G216+G217</f>
        <v>0.11881999997422099</v>
      </c>
      <c r="H201" s="39"/>
      <c r="I201" s="39">
        <f>I202+I208+I211+I215+I216+I217+I218+I219</f>
        <v>4179627</v>
      </c>
      <c r="J201" s="39">
        <f t="shared" si="76"/>
        <v>-21550</v>
      </c>
      <c r="K201" s="39"/>
      <c r="L201" s="39">
        <f>L202+L208+L211+L215+L216+L217+L218+L219</f>
        <v>4179627</v>
      </c>
      <c r="M201" s="39">
        <f t="shared" si="77"/>
        <v>0</v>
      </c>
      <c r="N201" s="39"/>
      <c r="O201" s="39">
        <f>O202+O208+O211+O215+O216+O217+O218+O219</f>
        <v>4219807</v>
      </c>
      <c r="P201" s="39">
        <f t="shared" si="78"/>
        <v>40180</v>
      </c>
      <c r="Q201" s="39"/>
      <c r="R201" s="39">
        <f>R202+R208+R211+R215+R216+R217+R218+R219</f>
        <v>4249807</v>
      </c>
      <c r="S201" s="39">
        <f t="shared" si="79"/>
        <v>30000</v>
      </c>
      <c r="T201" s="39"/>
    </row>
    <row r="202" spans="2:20" s="131" customFormat="1" ht="15" customHeight="1" x14ac:dyDescent="0.25">
      <c r="C202" s="139" t="s">
        <v>114</v>
      </c>
      <c r="D202" s="140" t="s">
        <v>521</v>
      </c>
      <c r="E202" s="70">
        <v>2428655</v>
      </c>
      <c r="F202" s="70">
        <f t="shared" ref="F202:G202" si="81">F203+F204+F205+F206+F207</f>
        <v>2428655</v>
      </c>
      <c r="G202" s="56">
        <f t="shared" si="81"/>
        <v>0</v>
      </c>
      <c r="H202" s="56"/>
      <c r="I202" s="56">
        <f>I203+I204+I205+I206+I207</f>
        <v>2415355</v>
      </c>
      <c r="J202" s="56">
        <f t="shared" si="76"/>
        <v>-13300</v>
      </c>
      <c r="K202" s="56"/>
      <c r="L202" s="56">
        <f>L203+L204+L205+L206+L207</f>
        <v>2415355</v>
      </c>
      <c r="M202" s="56">
        <f t="shared" si="77"/>
        <v>0</v>
      </c>
      <c r="N202" s="56"/>
      <c r="O202" s="56">
        <f>O203+O204+O205+O206+O207</f>
        <v>2405535</v>
      </c>
      <c r="P202" s="56">
        <f t="shared" si="78"/>
        <v>-9820</v>
      </c>
      <c r="Q202" s="56"/>
      <c r="R202" s="56">
        <f>R203+R204+R205+R206+R207</f>
        <v>2405535</v>
      </c>
      <c r="S202" s="56">
        <f t="shared" si="79"/>
        <v>0</v>
      </c>
      <c r="T202" s="56"/>
    </row>
    <row r="203" spans="2:20" s="181" customFormat="1" ht="21" customHeight="1" outlineLevel="1" x14ac:dyDescent="0.25">
      <c r="B203" s="181">
        <v>1010</v>
      </c>
      <c r="C203" s="182" t="s">
        <v>522</v>
      </c>
      <c r="D203" s="183" t="s">
        <v>523</v>
      </c>
      <c r="E203" s="184">
        <v>601819</v>
      </c>
      <c r="F203" s="184">
        <f>ROUND(E203,0)</f>
        <v>601819</v>
      </c>
      <c r="G203" s="174">
        <f t="shared" si="75"/>
        <v>0</v>
      </c>
      <c r="H203" s="185"/>
      <c r="I203" s="174">
        <f>ROUND(F203,0)-13300</f>
        <v>588519</v>
      </c>
      <c r="J203" s="186">
        <f t="shared" si="76"/>
        <v>-13300</v>
      </c>
      <c r="K203" s="157" t="s">
        <v>348</v>
      </c>
      <c r="L203" s="174">
        <f>ROUND(I203,0)</f>
        <v>588519</v>
      </c>
      <c r="M203" s="174">
        <f t="shared" si="77"/>
        <v>0</v>
      </c>
      <c r="N203" s="156"/>
      <c r="O203" s="174">
        <f>ROUND(L203,0)-9820</f>
        <v>578699</v>
      </c>
      <c r="P203" s="174">
        <f t="shared" si="78"/>
        <v>-9820</v>
      </c>
      <c r="Q203" s="156" t="s">
        <v>524</v>
      </c>
      <c r="R203" s="174">
        <f>ROUND(O203,0)</f>
        <v>578699</v>
      </c>
      <c r="S203" s="174">
        <f t="shared" si="79"/>
        <v>0</v>
      </c>
      <c r="T203" s="156"/>
    </row>
    <row r="204" spans="2:20" s="181" customFormat="1" ht="16.149999999999999" customHeight="1" outlineLevel="1" x14ac:dyDescent="0.25">
      <c r="B204" s="181">
        <v>1010</v>
      </c>
      <c r="C204" s="182" t="s">
        <v>525</v>
      </c>
      <c r="D204" s="183" t="s">
        <v>526</v>
      </c>
      <c r="E204" s="184">
        <v>1373990</v>
      </c>
      <c r="F204" s="184">
        <f>ROUND(E204,0)</f>
        <v>1373990</v>
      </c>
      <c r="G204" s="174">
        <f t="shared" si="75"/>
        <v>0</v>
      </c>
      <c r="H204" s="71"/>
      <c r="I204" s="174">
        <f>ROUND(F204,0)</f>
        <v>1373990</v>
      </c>
      <c r="J204" s="174">
        <f t="shared" si="76"/>
        <v>0</v>
      </c>
      <c r="K204" s="73"/>
      <c r="L204" s="174">
        <f>ROUND(I204,0)</f>
        <v>1373990</v>
      </c>
      <c r="M204" s="174">
        <f t="shared" si="77"/>
        <v>0</v>
      </c>
      <c r="N204" s="73"/>
      <c r="O204" s="174">
        <f>ROUND(L204,0)</f>
        <v>1373990</v>
      </c>
      <c r="P204" s="174">
        <f t="shared" si="78"/>
        <v>0</v>
      </c>
      <c r="Q204" s="73"/>
      <c r="R204" s="174">
        <f>ROUND(O204,0)</f>
        <v>1373990</v>
      </c>
      <c r="S204" s="174">
        <f t="shared" si="79"/>
        <v>0</v>
      </c>
      <c r="T204" s="73"/>
    </row>
    <row r="205" spans="2:20" s="181" customFormat="1" ht="17.45" customHeight="1" outlineLevel="1" x14ac:dyDescent="0.25">
      <c r="B205" s="181">
        <v>1010</v>
      </c>
      <c r="C205" s="182" t="s">
        <v>527</v>
      </c>
      <c r="D205" s="183" t="s">
        <v>528</v>
      </c>
      <c r="E205" s="184">
        <v>25954</v>
      </c>
      <c r="F205" s="184">
        <f>ROUND(E205,0)</f>
        <v>25954</v>
      </c>
      <c r="G205" s="174">
        <f t="shared" si="75"/>
        <v>0</v>
      </c>
      <c r="H205" s="73"/>
      <c r="I205" s="174">
        <f>ROUND(F205,0)</f>
        <v>25954</v>
      </c>
      <c r="J205" s="174">
        <f t="shared" si="76"/>
        <v>0</v>
      </c>
      <c r="K205" s="73"/>
      <c r="L205" s="174">
        <f>ROUND(I205,0)</f>
        <v>25954</v>
      </c>
      <c r="M205" s="174">
        <f t="shared" si="77"/>
        <v>0</v>
      </c>
      <c r="N205" s="73"/>
      <c r="O205" s="174">
        <f>ROUND(L205,0)</f>
        <v>25954</v>
      </c>
      <c r="P205" s="174">
        <f t="shared" si="78"/>
        <v>0</v>
      </c>
      <c r="Q205" s="73"/>
      <c r="R205" s="174">
        <f>ROUND(O205,0)</f>
        <v>25954</v>
      </c>
      <c r="S205" s="174">
        <f t="shared" si="79"/>
        <v>0</v>
      </c>
      <c r="T205" s="73"/>
    </row>
    <row r="206" spans="2:20" s="181" customFormat="1" outlineLevel="1" x14ac:dyDescent="0.25">
      <c r="B206" s="181">
        <v>1012</v>
      </c>
      <c r="C206" s="182" t="s">
        <v>529</v>
      </c>
      <c r="D206" s="183" t="s">
        <v>530</v>
      </c>
      <c r="E206" s="184">
        <v>421092</v>
      </c>
      <c r="F206" s="184">
        <f>ROUND(E206,0)</f>
        <v>421092</v>
      </c>
      <c r="G206" s="174">
        <f t="shared" si="75"/>
        <v>0</v>
      </c>
      <c r="H206" s="185"/>
      <c r="I206" s="174">
        <f>ROUND(F206,0)</f>
        <v>421092</v>
      </c>
      <c r="J206" s="174">
        <f t="shared" si="76"/>
        <v>0</v>
      </c>
      <c r="K206" s="185"/>
      <c r="L206" s="174">
        <f>ROUND(I206,0)</f>
        <v>421092</v>
      </c>
      <c r="M206" s="174">
        <f t="shared" si="77"/>
        <v>0</v>
      </c>
      <c r="N206" s="185"/>
      <c r="O206" s="174">
        <f>ROUND(L206,0)</f>
        <v>421092</v>
      </c>
      <c r="P206" s="174">
        <f t="shared" si="78"/>
        <v>0</v>
      </c>
      <c r="Q206" s="185"/>
      <c r="R206" s="174">
        <f>ROUND(O206,0)</f>
        <v>421092</v>
      </c>
      <c r="S206" s="174">
        <f t="shared" si="79"/>
        <v>0</v>
      </c>
      <c r="T206" s="185"/>
    </row>
    <row r="207" spans="2:20" s="181" customFormat="1" outlineLevel="1" x14ac:dyDescent="0.25">
      <c r="B207" s="181">
        <v>1015</v>
      </c>
      <c r="C207" s="182" t="s">
        <v>531</v>
      </c>
      <c r="D207" s="183" t="s">
        <v>532</v>
      </c>
      <c r="E207" s="184">
        <v>5800</v>
      </c>
      <c r="F207" s="184">
        <f>ROUND(E207,0)</f>
        <v>5800</v>
      </c>
      <c r="G207" s="174">
        <f t="shared" si="75"/>
        <v>0</v>
      </c>
      <c r="H207" s="185"/>
      <c r="I207" s="174">
        <f>ROUND(F207,0)</f>
        <v>5800</v>
      </c>
      <c r="J207" s="174">
        <f t="shared" si="76"/>
        <v>0</v>
      </c>
      <c r="K207" s="185"/>
      <c r="L207" s="174">
        <f>ROUND(I207,0)</f>
        <v>5800</v>
      </c>
      <c r="M207" s="174">
        <f t="shared" si="77"/>
        <v>0</v>
      </c>
      <c r="N207" s="185"/>
      <c r="O207" s="174">
        <f>ROUND(L207,0)</f>
        <v>5800</v>
      </c>
      <c r="P207" s="174">
        <f t="shared" si="78"/>
        <v>0</v>
      </c>
      <c r="Q207" s="185"/>
      <c r="R207" s="174">
        <f>ROUND(O207,0)</f>
        <v>5800</v>
      </c>
      <c r="S207" s="174">
        <f t="shared" si="79"/>
        <v>0</v>
      </c>
      <c r="T207" s="185"/>
    </row>
    <row r="208" spans="2:20" s="131" customFormat="1" ht="19.5" customHeight="1" x14ac:dyDescent="0.25">
      <c r="C208" s="139" t="s">
        <v>119</v>
      </c>
      <c r="D208" s="140" t="s">
        <v>533</v>
      </c>
      <c r="E208" s="70">
        <v>10038</v>
      </c>
      <c r="F208" s="70">
        <f>F209+F210</f>
        <v>10038</v>
      </c>
      <c r="G208" s="56">
        <f t="shared" si="75"/>
        <v>0</v>
      </c>
      <c r="H208" s="71"/>
      <c r="I208" s="56">
        <f>I209+I210</f>
        <v>10038</v>
      </c>
      <c r="J208" s="56">
        <f t="shared" si="76"/>
        <v>0</v>
      </c>
      <c r="K208" s="71"/>
      <c r="L208" s="56">
        <f>L209+L210</f>
        <v>10038</v>
      </c>
      <c r="M208" s="56">
        <f t="shared" si="77"/>
        <v>0</v>
      </c>
      <c r="N208" s="71"/>
      <c r="O208" s="56">
        <f>O209+O210</f>
        <v>10038</v>
      </c>
      <c r="P208" s="56">
        <f t="shared" si="78"/>
        <v>0</v>
      </c>
      <c r="Q208" s="71"/>
      <c r="R208" s="56">
        <f>R209+R210</f>
        <v>10038</v>
      </c>
      <c r="S208" s="56">
        <f t="shared" si="79"/>
        <v>0</v>
      </c>
      <c r="T208" s="71"/>
    </row>
    <row r="209" spans="2:20" s="181" customFormat="1" outlineLevel="1" x14ac:dyDescent="0.25">
      <c r="B209" s="181">
        <v>1011</v>
      </c>
      <c r="C209" s="182" t="s">
        <v>534</v>
      </c>
      <c r="D209" s="183" t="s">
        <v>535</v>
      </c>
      <c r="E209" s="184">
        <v>1407</v>
      </c>
      <c r="F209" s="184">
        <f>ROUND(E209,0)</f>
        <v>1407</v>
      </c>
      <c r="G209" s="174">
        <f t="shared" si="75"/>
        <v>0</v>
      </c>
      <c r="H209" s="185"/>
      <c r="I209" s="174">
        <f>ROUND(F209,0)</f>
        <v>1407</v>
      </c>
      <c r="J209" s="174">
        <f t="shared" si="76"/>
        <v>0</v>
      </c>
      <c r="K209" s="185"/>
      <c r="L209" s="174">
        <f>ROUND(I209,0)</f>
        <v>1407</v>
      </c>
      <c r="M209" s="174">
        <f t="shared" si="77"/>
        <v>0</v>
      </c>
      <c r="N209" s="185"/>
      <c r="O209" s="174">
        <f>ROUND(L209,0)</f>
        <v>1407</v>
      </c>
      <c r="P209" s="174">
        <f t="shared" si="78"/>
        <v>0</v>
      </c>
      <c r="Q209" s="185"/>
      <c r="R209" s="174">
        <f>ROUND(O209,0)</f>
        <v>1407</v>
      </c>
      <c r="S209" s="174">
        <f t="shared" si="79"/>
        <v>0</v>
      </c>
      <c r="T209" s="185"/>
    </row>
    <row r="210" spans="2:20" s="181" customFormat="1" outlineLevel="1" x14ac:dyDescent="0.25">
      <c r="B210" s="181">
        <v>1011</v>
      </c>
      <c r="C210" s="182" t="s">
        <v>536</v>
      </c>
      <c r="D210" s="183" t="s">
        <v>537</v>
      </c>
      <c r="E210" s="184">
        <v>8631</v>
      </c>
      <c r="F210" s="184">
        <f>ROUND(E210,0)</f>
        <v>8631</v>
      </c>
      <c r="G210" s="174">
        <f t="shared" si="75"/>
        <v>0</v>
      </c>
      <c r="H210" s="185"/>
      <c r="I210" s="174">
        <f>ROUND(F210,0)</f>
        <v>8631</v>
      </c>
      <c r="J210" s="174">
        <f t="shared" si="76"/>
        <v>0</v>
      </c>
      <c r="K210" s="185"/>
      <c r="L210" s="174">
        <f>ROUND(I210,0)</f>
        <v>8631</v>
      </c>
      <c r="M210" s="174">
        <f t="shared" si="77"/>
        <v>0</v>
      </c>
      <c r="N210" s="185"/>
      <c r="O210" s="174">
        <f>ROUND(L210,0)</f>
        <v>8631</v>
      </c>
      <c r="P210" s="174">
        <f t="shared" si="78"/>
        <v>0</v>
      </c>
      <c r="Q210" s="185"/>
      <c r="R210" s="174">
        <f>ROUND(O210,0)</f>
        <v>8631</v>
      </c>
      <c r="S210" s="174">
        <f t="shared" si="79"/>
        <v>0</v>
      </c>
      <c r="T210" s="185"/>
    </row>
    <row r="211" spans="2:20" s="131" customFormat="1" ht="30.6" customHeight="1" x14ac:dyDescent="0.25">
      <c r="C211" s="139" t="s">
        <v>121</v>
      </c>
      <c r="D211" s="140" t="s">
        <v>538</v>
      </c>
      <c r="E211" s="188">
        <v>839598</v>
      </c>
      <c r="F211" s="188">
        <f t="shared" ref="F211:G211" si="82">SUM(F212:F214)</f>
        <v>839598</v>
      </c>
      <c r="G211" s="187">
        <f t="shared" si="82"/>
        <v>0</v>
      </c>
      <c r="H211" s="143"/>
      <c r="I211" s="187">
        <f>SUM(I212:I214)</f>
        <v>818057</v>
      </c>
      <c r="J211" s="187">
        <f t="shared" si="76"/>
        <v>-21541</v>
      </c>
      <c r="K211" s="143"/>
      <c r="L211" s="187">
        <f>SUM(L212:L214)</f>
        <v>818057</v>
      </c>
      <c r="M211" s="187">
        <f t="shared" si="77"/>
        <v>0</v>
      </c>
      <c r="N211" s="143"/>
      <c r="O211" s="187">
        <f>SUM(O212:O214)</f>
        <v>818057</v>
      </c>
      <c r="P211" s="187">
        <f t="shared" si="78"/>
        <v>0</v>
      </c>
      <c r="Q211" s="143"/>
      <c r="R211" s="187">
        <f>SUM(R212:R214)</f>
        <v>818057</v>
      </c>
      <c r="S211" s="187">
        <f t="shared" si="79"/>
        <v>0</v>
      </c>
      <c r="T211" s="143"/>
    </row>
    <row r="212" spans="2:20" s="131" customFormat="1" ht="15" customHeight="1" x14ac:dyDescent="0.25">
      <c r="B212" s="1" t="s">
        <v>539</v>
      </c>
      <c r="C212" s="189" t="s">
        <v>540</v>
      </c>
      <c r="D212" s="190" t="s">
        <v>541</v>
      </c>
      <c r="E212" s="34">
        <v>347838</v>
      </c>
      <c r="F212" s="34">
        <f t="shared" ref="F212:F217" si="83">ROUND(E212,0)</f>
        <v>347838</v>
      </c>
      <c r="G212" s="33">
        <f t="shared" si="75"/>
        <v>0</v>
      </c>
      <c r="H212" s="35"/>
      <c r="I212" s="33">
        <f>ROUND(F212,0)-21541</f>
        <v>326297</v>
      </c>
      <c r="J212" s="36">
        <f t="shared" si="76"/>
        <v>-21541</v>
      </c>
      <c r="K212" s="157" t="s">
        <v>348</v>
      </c>
      <c r="L212" s="33">
        <f t="shared" ref="L212:L219" si="84">ROUND(I212,0)</f>
        <v>326297</v>
      </c>
      <c r="M212" s="33">
        <f t="shared" si="77"/>
        <v>0</v>
      </c>
      <c r="N212" s="156"/>
      <c r="O212" s="33">
        <f t="shared" ref="O212:O219" si="85">ROUND(L212,0)</f>
        <v>326297</v>
      </c>
      <c r="P212" s="33">
        <f t="shared" si="78"/>
        <v>0</v>
      </c>
      <c r="Q212" s="156"/>
      <c r="R212" s="33">
        <f t="shared" ref="R212:R219" si="86">ROUND(O212,0)</f>
        <v>326297</v>
      </c>
      <c r="S212" s="33">
        <f t="shared" si="79"/>
        <v>0</v>
      </c>
      <c r="T212" s="156"/>
    </row>
    <row r="213" spans="2:20" s="131" customFormat="1" ht="15.75" customHeight="1" x14ac:dyDescent="0.25">
      <c r="B213" s="1" t="s">
        <v>539</v>
      </c>
      <c r="C213" s="191" t="s">
        <v>542</v>
      </c>
      <c r="D213" s="190" t="s">
        <v>543</v>
      </c>
      <c r="E213" s="34">
        <v>161090</v>
      </c>
      <c r="F213" s="34">
        <f t="shared" si="83"/>
        <v>161090</v>
      </c>
      <c r="G213" s="33">
        <f t="shared" si="75"/>
        <v>0</v>
      </c>
      <c r="H213" s="35"/>
      <c r="I213" s="33">
        <f t="shared" ref="I213:I219" si="87">ROUND(F213,0)</f>
        <v>161090</v>
      </c>
      <c r="J213" s="33">
        <f t="shared" si="76"/>
        <v>0</v>
      </c>
      <c r="K213" s="35"/>
      <c r="L213" s="33">
        <f t="shared" si="84"/>
        <v>161090</v>
      </c>
      <c r="M213" s="33">
        <f t="shared" si="77"/>
        <v>0</v>
      </c>
      <c r="N213" s="35"/>
      <c r="O213" s="33">
        <f t="shared" si="85"/>
        <v>161090</v>
      </c>
      <c r="P213" s="33">
        <f t="shared" si="78"/>
        <v>0</v>
      </c>
      <c r="Q213" s="35"/>
      <c r="R213" s="33">
        <f t="shared" si="86"/>
        <v>161090</v>
      </c>
      <c r="S213" s="33">
        <f t="shared" si="79"/>
        <v>0</v>
      </c>
      <c r="T213" s="35"/>
    </row>
    <row r="214" spans="2:20" s="131" customFormat="1" ht="15.6" customHeight="1" x14ac:dyDescent="0.25">
      <c r="B214" s="1" t="s">
        <v>544</v>
      </c>
      <c r="C214" s="189" t="s">
        <v>545</v>
      </c>
      <c r="D214" s="190" t="s">
        <v>546</v>
      </c>
      <c r="E214" s="34">
        <v>330670</v>
      </c>
      <c r="F214" s="34">
        <f t="shared" si="83"/>
        <v>330670</v>
      </c>
      <c r="G214" s="33">
        <f t="shared" si="75"/>
        <v>0</v>
      </c>
      <c r="H214" s="35"/>
      <c r="I214" s="33">
        <f t="shared" si="87"/>
        <v>330670</v>
      </c>
      <c r="J214" s="33">
        <f t="shared" si="76"/>
        <v>0</v>
      </c>
      <c r="K214" s="35"/>
      <c r="L214" s="33">
        <f t="shared" si="84"/>
        <v>330670</v>
      </c>
      <c r="M214" s="33">
        <f t="shared" si="77"/>
        <v>0</v>
      </c>
      <c r="N214" s="35"/>
      <c r="O214" s="33">
        <f t="shared" si="85"/>
        <v>330670</v>
      </c>
      <c r="P214" s="33">
        <f t="shared" si="78"/>
        <v>0</v>
      </c>
      <c r="Q214" s="35"/>
      <c r="R214" s="33">
        <f t="shared" si="86"/>
        <v>330670</v>
      </c>
      <c r="S214" s="33">
        <f t="shared" si="79"/>
        <v>0</v>
      </c>
      <c r="T214" s="35"/>
    </row>
    <row r="215" spans="2:20" s="131" customFormat="1" ht="16.149999999999999" customHeight="1" x14ac:dyDescent="0.25">
      <c r="C215" s="139" t="s">
        <v>547</v>
      </c>
      <c r="D215" s="140" t="s">
        <v>548</v>
      </c>
      <c r="E215" s="70">
        <v>132505.09117999999</v>
      </c>
      <c r="F215" s="70">
        <f t="shared" si="83"/>
        <v>132505</v>
      </c>
      <c r="G215" s="56">
        <f t="shared" si="75"/>
        <v>-9.1179999988526106E-2</v>
      </c>
      <c r="H215" s="143"/>
      <c r="I215" s="56">
        <f>ROUND(F215,0)-6709</f>
        <v>125796</v>
      </c>
      <c r="J215" s="141">
        <f t="shared" si="76"/>
        <v>-6709</v>
      </c>
      <c r="K215" s="142" t="s">
        <v>348</v>
      </c>
      <c r="L215" s="56">
        <f t="shared" si="84"/>
        <v>125796</v>
      </c>
      <c r="M215" s="56">
        <f t="shared" si="77"/>
        <v>0</v>
      </c>
      <c r="N215" s="71"/>
      <c r="O215" s="56">
        <f t="shared" si="85"/>
        <v>125796</v>
      </c>
      <c r="P215" s="56">
        <f t="shared" si="78"/>
        <v>0</v>
      </c>
      <c r="Q215" s="71"/>
      <c r="R215" s="56">
        <f t="shared" si="86"/>
        <v>125796</v>
      </c>
      <c r="S215" s="56">
        <f t="shared" si="79"/>
        <v>0</v>
      </c>
      <c r="T215" s="71"/>
    </row>
    <row r="216" spans="2:20" s="131" customFormat="1" ht="18.75" customHeight="1" x14ac:dyDescent="0.25">
      <c r="B216" s="1">
        <v>1016</v>
      </c>
      <c r="C216" s="139" t="s">
        <v>549</v>
      </c>
      <c r="D216" s="140" t="s">
        <v>184</v>
      </c>
      <c r="E216" s="70">
        <v>50000</v>
      </c>
      <c r="F216" s="70">
        <f t="shared" si="83"/>
        <v>50000</v>
      </c>
      <c r="G216" s="56">
        <f t="shared" si="75"/>
        <v>0</v>
      </c>
      <c r="H216" s="143"/>
      <c r="I216" s="56">
        <f>ROUND(F216,0)+20000</f>
        <v>70000</v>
      </c>
      <c r="J216" s="56">
        <f t="shared" si="76"/>
        <v>20000</v>
      </c>
      <c r="K216" s="143" t="s">
        <v>185</v>
      </c>
      <c r="L216" s="56">
        <f t="shared" si="84"/>
        <v>70000</v>
      </c>
      <c r="M216" s="56">
        <f t="shared" si="77"/>
        <v>0</v>
      </c>
      <c r="N216" s="143"/>
      <c r="O216" s="56">
        <f>ROUND(L216,0)+50000</f>
        <v>120000</v>
      </c>
      <c r="P216" s="56">
        <f t="shared" si="78"/>
        <v>50000</v>
      </c>
      <c r="Q216" s="192" t="s">
        <v>185</v>
      </c>
      <c r="R216" s="56">
        <f>ROUND(O216,0)+30000</f>
        <v>150000</v>
      </c>
      <c r="S216" s="56">
        <f t="shared" si="79"/>
        <v>30000</v>
      </c>
      <c r="T216" s="143" t="s">
        <v>185</v>
      </c>
    </row>
    <row r="217" spans="2:20" s="131" customFormat="1" ht="18.75" customHeight="1" x14ac:dyDescent="0.25">
      <c r="B217" s="1">
        <v>1017</v>
      </c>
      <c r="C217" s="139" t="s">
        <v>550</v>
      </c>
      <c r="D217" s="140" t="s">
        <v>187</v>
      </c>
      <c r="E217" s="70">
        <v>698343.79</v>
      </c>
      <c r="F217" s="70">
        <f t="shared" si="83"/>
        <v>698344</v>
      </c>
      <c r="G217" s="56">
        <f t="shared" si="75"/>
        <v>0.2099999999627471</v>
      </c>
      <c r="H217" s="143"/>
      <c r="I217" s="56">
        <f t="shared" si="87"/>
        <v>698344</v>
      </c>
      <c r="J217" s="56">
        <f t="shared" si="76"/>
        <v>0</v>
      </c>
      <c r="K217" s="143"/>
      <c r="L217" s="56">
        <f t="shared" si="84"/>
        <v>698344</v>
      </c>
      <c r="M217" s="56">
        <f t="shared" si="77"/>
        <v>0</v>
      </c>
      <c r="N217" s="143"/>
      <c r="O217" s="56">
        <f t="shared" si="85"/>
        <v>698344</v>
      </c>
      <c r="P217" s="56">
        <f t="shared" si="78"/>
        <v>0</v>
      </c>
      <c r="Q217" s="143"/>
      <c r="R217" s="56">
        <f t="shared" si="86"/>
        <v>698344</v>
      </c>
      <c r="S217" s="56">
        <f t="shared" si="79"/>
        <v>0</v>
      </c>
      <c r="T217" s="143"/>
    </row>
    <row r="218" spans="2:20" ht="40.9" customHeight="1" x14ac:dyDescent="0.25">
      <c r="B218" s="1" t="s">
        <v>551</v>
      </c>
      <c r="C218" s="139" t="s">
        <v>552</v>
      </c>
      <c r="D218" s="140" t="s">
        <v>553</v>
      </c>
      <c r="E218" s="34">
        <v>23597</v>
      </c>
      <c r="F218" s="34">
        <f>ROUND(E218,0)</f>
        <v>23597</v>
      </c>
      <c r="G218" s="33">
        <f>F218-E218</f>
        <v>0</v>
      </c>
      <c r="H218" s="156"/>
      <c r="I218" s="33">
        <f t="shared" si="87"/>
        <v>23597</v>
      </c>
      <c r="J218" s="33">
        <f t="shared" si="76"/>
        <v>0</v>
      </c>
      <c r="K218" s="156"/>
      <c r="L218" s="33">
        <f t="shared" si="84"/>
        <v>23597</v>
      </c>
      <c r="M218" s="33">
        <f t="shared" si="77"/>
        <v>0</v>
      </c>
      <c r="N218" s="156"/>
      <c r="O218" s="33">
        <f t="shared" si="85"/>
        <v>23597</v>
      </c>
      <c r="P218" s="33">
        <f t="shared" si="78"/>
        <v>0</v>
      </c>
      <c r="Q218" s="156"/>
      <c r="R218" s="33">
        <f t="shared" si="86"/>
        <v>23597</v>
      </c>
      <c r="S218" s="33">
        <f t="shared" si="79"/>
        <v>0</v>
      </c>
      <c r="T218" s="156"/>
    </row>
    <row r="219" spans="2:20" ht="44.45" customHeight="1" x14ac:dyDescent="0.25">
      <c r="B219" s="1" t="s">
        <v>554</v>
      </c>
      <c r="C219" s="139" t="s">
        <v>555</v>
      </c>
      <c r="D219" s="140" t="s">
        <v>556</v>
      </c>
      <c r="E219" s="34">
        <v>18440</v>
      </c>
      <c r="F219" s="34">
        <f>ROUND(E219,0)</f>
        <v>18440</v>
      </c>
      <c r="G219" s="33">
        <f>F219-E219</f>
        <v>0</v>
      </c>
      <c r="H219" s="156"/>
      <c r="I219" s="33">
        <f t="shared" si="87"/>
        <v>18440</v>
      </c>
      <c r="J219" s="33">
        <f t="shared" si="76"/>
        <v>0</v>
      </c>
      <c r="K219" s="156"/>
      <c r="L219" s="33">
        <f t="shared" si="84"/>
        <v>18440</v>
      </c>
      <c r="M219" s="33">
        <f t="shared" si="77"/>
        <v>0</v>
      </c>
      <c r="N219" s="156"/>
      <c r="O219" s="33">
        <f t="shared" si="85"/>
        <v>18440</v>
      </c>
      <c r="P219" s="33">
        <f t="shared" si="78"/>
        <v>0</v>
      </c>
      <c r="Q219" s="156"/>
      <c r="R219" s="33">
        <f t="shared" si="86"/>
        <v>18440</v>
      </c>
      <c r="S219" s="33">
        <f t="shared" si="79"/>
        <v>0</v>
      </c>
      <c r="T219" s="156"/>
    </row>
    <row r="220" spans="2:20" x14ac:dyDescent="0.25">
      <c r="C220" s="144" t="s">
        <v>124</v>
      </c>
      <c r="D220" s="145" t="s">
        <v>557</v>
      </c>
      <c r="E220" s="40">
        <v>21517854.165859237</v>
      </c>
      <c r="F220" s="40">
        <f>F221+F222+F225+F228+F232+F236+F240+F248+F249+F260+F263+F266+F267+F268+F269+F270+F271</f>
        <v>21576210</v>
      </c>
      <c r="G220" s="39">
        <f>G221+G222+G225+G228+G232+G236+G240+G249+G260+G263+G266+G267+G268+G269+G270+G271</f>
        <v>58356.224140764331</v>
      </c>
      <c r="H220" s="39"/>
      <c r="I220" s="39">
        <f>I221+I222+I225+I228+I232+I236+I240+I248+I249+I260+I263+I266+I267+I268+I269+I270+I271</f>
        <v>21675003</v>
      </c>
      <c r="J220" s="39">
        <f t="shared" si="76"/>
        <v>98793</v>
      </c>
      <c r="K220" s="39"/>
      <c r="L220" s="39">
        <f>L221+L222+L225+L228+L232+L236+L240+L248+L249+L260+L263+L266+L267+L268+L269+L270+L271</f>
        <v>21738469</v>
      </c>
      <c r="M220" s="39">
        <f t="shared" si="77"/>
        <v>63466</v>
      </c>
      <c r="N220" s="39"/>
      <c r="O220" s="39">
        <f>O221+O222+O225+O228+O232+O236+O240+O248+O249+O260+O263+O266+O267+O268+O269+O270+O271</f>
        <v>21751989</v>
      </c>
      <c r="P220" s="39">
        <f t="shared" si="78"/>
        <v>13520</v>
      </c>
      <c r="Q220" s="39"/>
      <c r="R220" s="39">
        <f>R221+R222+R225+R228+R232+R236+R240+R248+R249+R260+R263+R266+R267+R268+R269+R270+R271</f>
        <v>21982854</v>
      </c>
      <c r="S220" s="39">
        <f t="shared" si="79"/>
        <v>230865</v>
      </c>
      <c r="T220" s="39"/>
    </row>
    <row r="221" spans="2:20" ht="27.6" customHeight="1" x14ac:dyDescent="0.25">
      <c r="B221" s="193" t="s">
        <v>558</v>
      </c>
      <c r="C221" s="139" t="s">
        <v>559</v>
      </c>
      <c r="D221" s="150" t="s">
        <v>560</v>
      </c>
      <c r="E221" s="70">
        <v>1009440</v>
      </c>
      <c r="F221" s="70">
        <f>ROUND(E221,0)</f>
        <v>1009440</v>
      </c>
      <c r="G221" s="56">
        <f t="shared" si="75"/>
        <v>0</v>
      </c>
      <c r="H221" s="71"/>
      <c r="I221" s="56">
        <f>ROUND(F221,0)</f>
        <v>1009440</v>
      </c>
      <c r="J221" s="56">
        <f t="shared" si="76"/>
        <v>0</v>
      </c>
      <c r="K221" s="71"/>
      <c r="L221" s="56">
        <f>ROUND(I221,0)</f>
        <v>1009440</v>
      </c>
      <c r="M221" s="56">
        <f t="shared" si="77"/>
        <v>0</v>
      </c>
      <c r="N221" s="71"/>
      <c r="O221" s="56">
        <f>ROUND(L221,0)</f>
        <v>1009440</v>
      </c>
      <c r="P221" s="56">
        <f t="shared" si="78"/>
        <v>0</v>
      </c>
      <c r="Q221" s="71"/>
      <c r="R221" s="56">
        <f>ROUND(O221,0)-220908</f>
        <v>788532</v>
      </c>
      <c r="S221" s="194">
        <f t="shared" si="79"/>
        <v>-220908</v>
      </c>
      <c r="T221" s="195" t="s">
        <v>561</v>
      </c>
    </row>
    <row r="222" spans="2:20" ht="18" customHeight="1" x14ac:dyDescent="0.25">
      <c r="C222" s="139" t="s">
        <v>562</v>
      </c>
      <c r="D222" s="150" t="s">
        <v>563</v>
      </c>
      <c r="E222" s="70">
        <v>1943919.3519472245</v>
      </c>
      <c r="F222" s="70">
        <f t="shared" ref="F222" si="88">SUM(F223:F224)</f>
        <v>1943919</v>
      </c>
      <c r="G222" s="56">
        <f t="shared" si="75"/>
        <v>-0.35194722446613014</v>
      </c>
      <c r="H222" s="143"/>
      <c r="I222" s="56">
        <f>SUM(I223:I224)</f>
        <v>1956009</v>
      </c>
      <c r="J222" s="56">
        <f t="shared" si="76"/>
        <v>12090</v>
      </c>
      <c r="K222" s="143"/>
      <c r="L222" s="56">
        <f>SUM(L223:L224)</f>
        <v>1960502</v>
      </c>
      <c r="M222" s="56">
        <f t="shared" si="77"/>
        <v>4493</v>
      </c>
      <c r="N222" s="143"/>
      <c r="O222" s="56">
        <f>SUM(O223:O224)</f>
        <v>1960502</v>
      </c>
      <c r="P222" s="56">
        <f t="shared" si="78"/>
        <v>0</v>
      </c>
      <c r="Q222" s="143"/>
      <c r="R222" s="56">
        <f>SUM(R223:R224)</f>
        <v>1981391</v>
      </c>
      <c r="S222" s="56">
        <f t="shared" si="79"/>
        <v>20889</v>
      </c>
      <c r="T222" s="143"/>
    </row>
    <row r="223" spans="2:20" ht="16.149999999999999" customHeight="1" x14ac:dyDescent="0.25">
      <c r="B223" s="67" t="s">
        <v>564</v>
      </c>
      <c r="C223" s="148" t="s">
        <v>565</v>
      </c>
      <c r="D223" s="107" t="s">
        <v>566</v>
      </c>
      <c r="E223" s="197">
        <v>273761</v>
      </c>
      <c r="F223" s="197">
        <f>ROUND(E223,0)</f>
        <v>273761</v>
      </c>
      <c r="G223" s="196">
        <f t="shared" si="75"/>
        <v>0</v>
      </c>
      <c r="H223" s="51"/>
      <c r="I223" s="196">
        <f>ROUND(F223,0)</f>
        <v>273761</v>
      </c>
      <c r="J223" s="196">
        <f t="shared" si="76"/>
        <v>0</v>
      </c>
      <c r="K223" s="51"/>
      <c r="L223" s="196">
        <f>ROUND(I223,0)+4493</f>
        <v>278254</v>
      </c>
      <c r="M223" s="196">
        <f t="shared" si="77"/>
        <v>4493</v>
      </c>
      <c r="N223" s="51" t="s">
        <v>148</v>
      </c>
      <c r="O223" s="196">
        <f>ROUND(L223,0)</f>
        <v>278254</v>
      </c>
      <c r="P223" s="196">
        <f t="shared" si="78"/>
        <v>0</v>
      </c>
      <c r="Q223" s="51"/>
      <c r="R223" s="196">
        <f>ROUND(O223,0)+19049+1840</f>
        <v>299143</v>
      </c>
      <c r="S223" s="196">
        <f t="shared" si="79"/>
        <v>20889</v>
      </c>
      <c r="T223" s="51" t="s">
        <v>135</v>
      </c>
    </row>
    <row r="224" spans="2:20" ht="15" customHeight="1" x14ac:dyDescent="0.25">
      <c r="B224" s="67" t="s">
        <v>567</v>
      </c>
      <c r="C224" s="148" t="s">
        <v>568</v>
      </c>
      <c r="D224" s="107" t="s">
        <v>569</v>
      </c>
      <c r="E224" s="197">
        <v>1670158.3519472245</v>
      </c>
      <c r="F224" s="197">
        <f>ROUND(E224,0)</f>
        <v>1670158</v>
      </c>
      <c r="G224" s="196">
        <f t="shared" si="75"/>
        <v>-0.35194722446613014</v>
      </c>
      <c r="H224" s="199"/>
      <c r="I224" s="196">
        <f>ROUND(F224,0)-7910+20000</f>
        <v>1682248</v>
      </c>
      <c r="J224" s="198">
        <f t="shared" si="76"/>
        <v>12090</v>
      </c>
      <c r="K224" s="52" t="s">
        <v>570</v>
      </c>
      <c r="L224" s="196">
        <f>ROUND(I224,0)</f>
        <v>1682248</v>
      </c>
      <c r="M224" s="196">
        <f t="shared" si="77"/>
        <v>0</v>
      </c>
      <c r="N224" s="51"/>
      <c r="O224" s="196">
        <f>ROUND(L224,0)</f>
        <v>1682248</v>
      </c>
      <c r="P224" s="196">
        <f t="shared" si="78"/>
        <v>0</v>
      </c>
      <c r="Q224" s="51"/>
      <c r="R224" s="196">
        <f>ROUND(O224,0)</f>
        <v>1682248</v>
      </c>
      <c r="S224" s="196">
        <f t="shared" si="79"/>
        <v>0</v>
      </c>
      <c r="T224" s="51"/>
    </row>
    <row r="225" spans="2:20" ht="18" customHeight="1" x14ac:dyDescent="0.25">
      <c r="C225" s="139" t="s">
        <v>571</v>
      </c>
      <c r="D225" s="150" t="s">
        <v>572</v>
      </c>
      <c r="E225" s="70">
        <v>1237573.6494368</v>
      </c>
      <c r="F225" s="70">
        <f>F226+F227</f>
        <v>1237574</v>
      </c>
      <c r="G225" s="56">
        <f t="shared" si="75"/>
        <v>0.35056319995783269</v>
      </c>
      <c r="H225" s="143"/>
      <c r="I225" s="56">
        <f>I226+I227</f>
        <v>1230777</v>
      </c>
      <c r="J225" s="56">
        <f t="shared" si="76"/>
        <v>-6797</v>
      </c>
      <c r="K225" s="143"/>
      <c r="L225" s="56">
        <f>L226+L227</f>
        <v>1232647</v>
      </c>
      <c r="M225" s="56">
        <f t="shared" si="77"/>
        <v>1870</v>
      </c>
      <c r="N225" s="143"/>
      <c r="O225" s="56">
        <f>O226+O227</f>
        <v>1232647</v>
      </c>
      <c r="P225" s="56">
        <f t="shared" si="78"/>
        <v>0</v>
      </c>
      <c r="Q225" s="143"/>
      <c r="R225" s="56">
        <f>R226+R227</f>
        <v>1237648</v>
      </c>
      <c r="S225" s="56">
        <f t="shared" si="79"/>
        <v>5001</v>
      </c>
      <c r="T225" s="143"/>
    </row>
    <row r="226" spans="2:20" ht="16.5" customHeight="1" x14ac:dyDescent="0.25">
      <c r="B226" s="67" t="s">
        <v>573</v>
      </c>
      <c r="C226" s="148" t="s">
        <v>574</v>
      </c>
      <c r="D226" s="107" t="s">
        <v>566</v>
      </c>
      <c r="E226" s="34">
        <v>113943</v>
      </c>
      <c r="F226" s="34">
        <f>ROUND(E226,0)</f>
        <v>113943</v>
      </c>
      <c r="G226" s="33">
        <f t="shared" si="75"/>
        <v>0</v>
      </c>
      <c r="H226" s="51"/>
      <c r="I226" s="33">
        <f>ROUND(F226,0)</f>
        <v>113943</v>
      </c>
      <c r="J226" s="33">
        <f t="shared" si="76"/>
        <v>0</v>
      </c>
      <c r="K226" s="51"/>
      <c r="L226" s="33">
        <f>ROUND(I226,0)+1870</f>
        <v>115813</v>
      </c>
      <c r="M226" s="33">
        <f t="shared" si="77"/>
        <v>1870</v>
      </c>
      <c r="N226" s="51" t="s">
        <v>148</v>
      </c>
      <c r="O226" s="33">
        <f>ROUND(L226,0)</f>
        <v>115813</v>
      </c>
      <c r="P226" s="33">
        <f t="shared" si="78"/>
        <v>0</v>
      </c>
      <c r="Q226" s="51"/>
      <c r="R226" s="33">
        <f>ROUND(O226,0)+5001</f>
        <v>120814</v>
      </c>
      <c r="S226" s="33">
        <f t="shared" si="79"/>
        <v>5001</v>
      </c>
      <c r="T226" s="51" t="s">
        <v>135</v>
      </c>
    </row>
    <row r="227" spans="2:20" ht="13.15" customHeight="1" x14ac:dyDescent="0.25">
      <c r="B227" s="67" t="s">
        <v>575</v>
      </c>
      <c r="C227" s="148" t="s">
        <v>576</v>
      </c>
      <c r="D227" s="107" t="s">
        <v>569</v>
      </c>
      <c r="E227" s="34">
        <v>1123630.6494368</v>
      </c>
      <c r="F227" s="34">
        <f>ROUND(E227,0)</f>
        <v>1123631</v>
      </c>
      <c r="G227" s="33">
        <f t="shared" si="75"/>
        <v>0.35056319995783269</v>
      </c>
      <c r="H227" s="51"/>
      <c r="I227" s="33">
        <f>ROUND(F227,0)-6797</f>
        <v>1116834</v>
      </c>
      <c r="J227" s="36">
        <f t="shared" si="76"/>
        <v>-6797</v>
      </c>
      <c r="K227" s="52" t="s">
        <v>348</v>
      </c>
      <c r="L227" s="33">
        <f>ROUND(I227,0)</f>
        <v>1116834</v>
      </c>
      <c r="M227" s="33">
        <f t="shared" si="77"/>
        <v>0</v>
      </c>
      <c r="N227" s="51"/>
      <c r="O227" s="33">
        <f>ROUND(L227,0)</f>
        <v>1116834</v>
      </c>
      <c r="P227" s="33">
        <f t="shared" si="78"/>
        <v>0</v>
      </c>
      <c r="Q227" s="51"/>
      <c r="R227" s="33">
        <f>ROUND(O227,0)</f>
        <v>1116834</v>
      </c>
      <c r="S227" s="33">
        <f t="shared" si="79"/>
        <v>0</v>
      </c>
      <c r="T227" s="51"/>
    </row>
    <row r="228" spans="2:20" ht="18" customHeight="1" x14ac:dyDescent="0.25">
      <c r="C228" s="200" t="s">
        <v>577</v>
      </c>
      <c r="D228" s="150" t="s">
        <v>578</v>
      </c>
      <c r="E228" s="70">
        <v>1320896.3067867202</v>
      </c>
      <c r="F228" s="70">
        <f>F229+F230+F231</f>
        <v>1320896</v>
      </c>
      <c r="G228" s="56">
        <f t="shared" si="75"/>
        <v>-0.30678672017529607</v>
      </c>
      <c r="H228" s="143"/>
      <c r="I228" s="56">
        <f>I229+I230+I231</f>
        <v>1320896</v>
      </c>
      <c r="J228" s="56">
        <f t="shared" si="76"/>
        <v>0</v>
      </c>
      <c r="K228" s="143"/>
      <c r="L228" s="56">
        <f>L229+L230+L231</f>
        <v>1323864</v>
      </c>
      <c r="M228" s="56">
        <f t="shared" si="77"/>
        <v>2968</v>
      </c>
      <c r="N228" s="143"/>
      <c r="O228" s="56">
        <f>O229+O230+O231</f>
        <v>1323864</v>
      </c>
      <c r="P228" s="56">
        <f t="shared" si="78"/>
        <v>0</v>
      </c>
      <c r="Q228" s="143"/>
      <c r="R228" s="56">
        <f>R229+R230+R231</f>
        <v>1324966</v>
      </c>
      <c r="S228" s="56">
        <f t="shared" si="79"/>
        <v>1102</v>
      </c>
      <c r="T228" s="143"/>
    </row>
    <row r="229" spans="2:20" ht="13.5" customHeight="1" x14ac:dyDescent="0.25">
      <c r="B229" s="1" t="s">
        <v>579</v>
      </c>
      <c r="C229" s="148" t="s">
        <v>580</v>
      </c>
      <c r="D229" s="107" t="s">
        <v>566</v>
      </c>
      <c r="E229" s="34">
        <v>192011</v>
      </c>
      <c r="F229" s="34">
        <f>ROUND(E229,0)</f>
        <v>192011</v>
      </c>
      <c r="G229" s="33">
        <f t="shared" si="75"/>
        <v>0</v>
      </c>
      <c r="H229" s="51"/>
      <c r="I229" s="33">
        <f>ROUND(F229,0)</f>
        <v>192011</v>
      </c>
      <c r="J229" s="33">
        <f t="shared" si="76"/>
        <v>0</v>
      </c>
      <c r="K229" s="51"/>
      <c r="L229" s="33">
        <f>ROUND(I229,0)+2968</f>
        <v>194979</v>
      </c>
      <c r="M229" s="33">
        <f t="shared" si="77"/>
        <v>2968</v>
      </c>
      <c r="N229" s="51" t="s">
        <v>148</v>
      </c>
      <c r="O229" s="33">
        <f>ROUND(L229,0)</f>
        <v>194979</v>
      </c>
      <c r="P229" s="33">
        <f t="shared" si="78"/>
        <v>0</v>
      </c>
      <c r="Q229" s="51"/>
      <c r="R229" s="33">
        <f>ROUND(O229,0)+1102</f>
        <v>196081</v>
      </c>
      <c r="S229" s="33">
        <f t="shared" si="79"/>
        <v>1102</v>
      </c>
      <c r="T229" s="51" t="s">
        <v>135</v>
      </c>
    </row>
    <row r="230" spans="2:20" ht="17.45" customHeight="1" x14ac:dyDescent="0.25">
      <c r="B230" s="1" t="s">
        <v>581</v>
      </c>
      <c r="C230" s="148" t="s">
        <v>582</v>
      </c>
      <c r="D230" s="107" t="s">
        <v>569</v>
      </c>
      <c r="E230" s="34">
        <v>968536.30678672018</v>
      </c>
      <c r="F230" s="34">
        <f>ROUND(E230,0)</f>
        <v>968536</v>
      </c>
      <c r="G230" s="33">
        <f t="shared" si="75"/>
        <v>-0.30678672017529607</v>
      </c>
      <c r="H230" s="51"/>
      <c r="I230" s="33">
        <f>ROUND(F230,0)</f>
        <v>968536</v>
      </c>
      <c r="J230" s="33">
        <f t="shared" si="76"/>
        <v>0</v>
      </c>
      <c r="K230" s="51"/>
      <c r="L230" s="33">
        <f>ROUND(I230,0)</f>
        <v>968536</v>
      </c>
      <c r="M230" s="33">
        <f t="shared" si="77"/>
        <v>0</v>
      </c>
      <c r="N230" s="51"/>
      <c r="O230" s="33">
        <f>ROUND(L230,0)</f>
        <v>968536</v>
      </c>
      <c r="P230" s="33">
        <f t="shared" si="78"/>
        <v>0</v>
      </c>
      <c r="Q230" s="51"/>
      <c r="R230" s="33">
        <f>ROUND(O230,0)</f>
        <v>968536</v>
      </c>
      <c r="S230" s="33">
        <f t="shared" si="79"/>
        <v>0</v>
      </c>
      <c r="T230" s="51"/>
    </row>
    <row r="231" spans="2:20" ht="17.45" customHeight="1" x14ac:dyDescent="0.25">
      <c r="C231" s="148" t="s">
        <v>583</v>
      </c>
      <c r="D231" s="107" t="s">
        <v>584</v>
      </c>
      <c r="E231" s="34">
        <v>160349</v>
      </c>
      <c r="F231" s="34">
        <f>ROUND(E231,0)</f>
        <v>160349</v>
      </c>
      <c r="G231" s="33">
        <f>F231-E231</f>
        <v>0</v>
      </c>
      <c r="H231" s="51"/>
      <c r="I231" s="33">
        <f>ROUND(F231,0)</f>
        <v>160349</v>
      </c>
      <c r="J231" s="33">
        <f t="shared" si="76"/>
        <v>0</v>
      </c>
      <c r="K231" s="51"/>
      <c r="L231" s="33">
        <f>ROUND(I231,0)</f>
        <v>160349</v>
      </c>
      <c r="M231" s="33">
        <f t="shared" si="77"/>
        <v>0</v>
      </c>
      <c r="N231" s="51"/>
      <c r="O231" s="33">
        <f>ROUND(L231,0)</f>
        <v>160349</v>
      </c>
      <c r="P231" s="33">
        <f t="shared" si="78"/>
        <v>0</v>
      </c>
      <c r="Q231" s="51"/>
      <c r="R231" s="33">
        <f>ROUND(O231,0)</f>
        <v>160349</v>
      </c>
      <c r="S231" s="33">
        <f t="shared" si="79"/>
        <v>0</v>
      </c>
      <c r="T231" s="51"/>
    </row>
    <row r="232" spans="2:20" x14ac:dyDescent="0.25">
      <c r="B232" s="1" t="s">
        <v>585</v>
      </c>
      <c r="C232" s="200" t="s">
        <v>586</v>
      </c>
      <c r="D232" s="150" t="s">
        <v>587</v>
      </c>
      <c r="E232" s="70">
        <v>1231648.2936508402</v>
      </c>
      <c r="F232" s="70">
        <f t="shared" ref="F232" si="89">SUM(F233:F235)</f>
        <v>1231648</v>
      </c>
      <c r="G232" s="56">
        <f t="shared" si="75"/>
        <v>-0.29365084017626941</v>
      </c>
      <c r="H232" s="143"/>
      <c r="I232" s="56">
        <f>SUM(I233:I235)</f>
        <v>1233648</v>
      </c>
      <c r="J232" s="56">
        <f t="shared" si="76"/>
        <v>2000</v>
      </c>
      <c r="K232" s="143"/>
      <c r="L232" s="56">
        <f>SUM(L233:L235)</f>
        <v>1234807</v>
      </c>
      <c r="M232" s="56">
        <f t="shared" si="77"/>
        <v>1159</v>
      </c>
      <c r="N232" s="143"/>
      <c r="O232" s="56">
        <f>SUM(O233:O235)</f>
        <v>1234807</v>
      </c>
      <c r="P232" s="56">
        <f t="shared" si="78"/>
        <v>0</v>
      </c>
      <c r="Q232" s="143"/>
      <c r="R232" s="56">
        <f>SUM(R233:R235)</f>
        <v>1252512</v>
      </c>
      <c r="S232" s="56">
        <f t="shared" si="79"/>
        <v>17705</v>
      </c>
      <c r="T232" s="143"/>
    </row>
    <row r="233" spans="2:20" s="202" customFormat="1" ht="17.25" customHeight="1" x14ac:dyDescent="0.25">
      <c r="B233" s="201" t="s">
        <v>588</v>
      </c>
      <c r="C233" s="148" t="s">
        <v>589</v>
      </c>
      <c r="D233" s="107" t="s">
        <v>566</v>
      </c>
      <c r="E233" s="34">
        <v>71133</v>
      </c>
      <c r="F233" s="34">
        <f>ROUND(E233,0)</f>
        <v>71133</v>
      </c>
      <c r="G233" s="196">
        <f t="shared" si="75"/>
        <v>0</v>
      </c>
      <c r="H233" s="35"/>
      <c r="I233" s="33">
        <f>ROUND(F233,0)</f>
        <v>71133</v>
      </c>
      <c r="J233" s="196">
        <f t="shared" si="76"/>
        <v>0</v>
      </c>
      <c r="K233" s="35"/>
      <c r="L233" s="33">
        <f>ROUND(I233,0)+1159</f>
        <v>72292</v>
      </c>
      <c r="M233" s="196">
        <f t="shared" si="77"/>
        <v>1159</v>
      </c>
      <c r="N233" s="35" t="s">
        <v>148</v>
      </c>
      <c r="O233" s="33">
        <f>ROUND(L233,0)</f>
        <v>72292</v>
      </c>
      <c r="P233" s="196">
        <f t="shared" si="78"/>
        <v>0</v>
      </c>
      <c r="Q233" s="35"/>
      <c r="R233" s="33">
        <f>ROUND(O233,0)+17705</f>
        <v>89997</v>
      </c>
      <c r="S233" s="196">
        <f t="shared" si="79"/>
        <v>17705</v>
      </c>
      <c r="T233" s="35" t="s">
        <v>135</v>
      </c>
    </row>
    <row r="234" spans="2:20" s="202" customFormat="1" ht="15.6" customHeight="1" x14ac:dyDescent="0.25">
      <c r="C234" s="148" t="s">
        <v>590</v>
      </c>
      <c r="D234" s="107" t="s">
        <v>569</v>
      </c>
      <c r="E234" s="34">
        <v>1001768.2936508402</v>
      </c>
      <c r="F234" s="34">
        <f>ROUND(E234,0)</f>
        <v>1001768</v>
      </c>
      <c r="G234" s="196">
        <f t="shared" si="75"/>
        <v>-0.29365084017626941</v>
      </c>
      <c r="H234" s="51"/>
      <c r="I234" s="33">
        <f>ROUND(F234,0)+2000</f>
        <v>1003768</v>
      </c>
      <c r="J234" s="196">
        <f t="shared" si="76"/>
        <v>2000</v>
      </c>
      <c r="K234" s="35" t="s">
        <v>591</v>
      </c>
      <c r="L234" s="33">
        <f>ROUND(I234,0)</f>
        <v>1003768</v>
      </c>
      <c r="M234" s="196">
        <f t="shared" si="77"/>
        <v>0</v>
      </c>
      <c r="N234" s="35"/>
      <c r="O234" s="33">
        <f>ROUND(L234,0)</f>
        <v>1003768</v>
      </c>
      <c r="P234" s="196">
        <f t="shared" si="78"/>
        <v>0</v>
      </c>
      <c r="Q234" s="35"/>
      <c r="R234" s="33">
        <f>ROUND(O234,0)</f>
        <v>1003768</v>
      </c>
      <c r="S234" s="196">
        <f t="shared" si="79"/>
        <v>0</v>
      </c>
      <c r="T234" s="35"/>
    </row>
    <row r="235" spans="2:20" s="202" customFormat="1" ht="13.9" customHeight="1" x14ac:dyDescent="0.25">
      <c r="C235" s="148" t="s">
        <v>592</v>
      </c>
      <c r="D235" s="107" t="s">
        <v>584</v>
      </c>
      <c r="E235" s="34">
        <v>158747</v>
      </c>
      <c r="F235" s="34">
        <f>ROUND(E235,0)</f>
        <v>158747</v>
      </c>
      <c r="G235" s="196">
        <f>F235-E235</f>
        <v>0</v>
      </c>
      <c r="H235" s="51"/>
      <c r="I235" s="33">
        <f>ROUND(F235,0)</f>
        <v>158747</v>
      </c>
      <c r="J235" s="196">
        <f t="shared" si="76"/>
        <v>0</v>
      </c>
      <c r="K235" s="51"/>
      <c r="L235" s="33">
        <f>ROUND(I235,0)</f>
        <v>158747</v>
      </c>
      <c r="M235" s="196">
        <f t="shared" si="77"/>
        <v>0</v>
      </c>
      <c r="N235" s="51"/>
      <c r="O235" s="33">
        <f>ROUND(L235,0)</f>
        <v>158747</v>
      </c>
      <c r="P235" s="196">
        <f t="shared" si="78"/>
        <v>0</v>
      </c>
      <c r="Q235" s="51"/>
      <c r="R235" s="33">
        <f>ROUND(O235,0)</f>
        <v>158747</v>
      </c>
      <c r="S235" s="196">
        <f t="shared" si="79"/>
        <v>0</v>
      </c>
      <c r="T235" s="51"/>
    </row>
    <row r="236" spans="2:20" ht="90" x14ac:dyDescent="0.25">
      <c r="C236" s="200" t="s">
        <v>593</v>
      </c>
      <c r="D236" s="150" t="s">
        <v>594</v>
      </c>
      <c r="E236" s="70">
        <v>2137999</v>
      </c>
      <c r="F236" s="70">
        <f>F237+F238+F239</f>
        <v>2137999</v>
      </c>
      <c r="G236" s="56">
        <f t="shared" si="75"/>
        <v>0</v>
      </c>
      <c r="H236" s="143"/>
      <c r="I236" s="56">
        <f>I237+I238+I239</f>
        <v>2137999</v>
      </c>
      <c r="J236" s="56">
        <f t="shared" si="76"/>
        <v>0</v>
      </c>
      <c r="K236" s="143"/>
      <c r="L236" s="56">
        <f>L237+L238+L239</f>
        <v>2137999</v>
      </c>
      <c r="M236" s="56">
        <f t="shared" si="77"/>
        <v>0</v>
      </c>
      <c r="N236" s="143"/>
      <c r="O236" s="56">
        <f>O237+O238+O239</f>
        <v>2137999</v>
      </c>
      <c r="P236" s="56">
        <f t="shared" si="78"/>
        <v>0</v>
      </c>
      <c r="Q236" s="143"/>
      <c r="R236" s="56">
        <f>R237+R238+R239</f>
        <v>2435337</v>
      </c>
      <c r="S236" s="56">
        <f t="shared" si="79"/>
        <v>297338</v>
      </c>
      <c r="T236" s="195" t="s">
        <v>595</v>
      </c>
    </row>
    <row r="237" spans="2:20" s="202" customFormat="1" x14ac:dyDescent="0.25">
      <c r="B237" s="201" t="s">
        <v>596</v>
      </c>
      <c r="C237" s="203" t="s">
        <v>597</v>
      </c>
      <c r="D237" s="204" t="s">
        <v>598</v>
      </c>
      <c r="E237" s="34">
        <v>625207</v>
      </c>
      <c r="F237" s="34">
        <f>ROUND(E237,0)</f>
        <v>625207</v>
      </c>
      <c r="G237" s="196">
        <f t="shared" si="75"/>
        <v>0</v>
      </c>
      <c r="H237" s="35"/>
      <c r="I237" s="33">
        <f>ROUND(F237,0)</f>
        <v>625207</v>
      </c>
      <c r="J237" s="196">
        <f t="shared" si="76"/>
        <v>0</v>
      </c>
      <c r="K237" s="35"/>
      <c r="L237" s="33">
        <f>ROUND(I237,0)</f>
        <v>625207</v>
      </c>
      <c r="M237" s="196">
        <f t="shared" si="77"/>
        <v>0</v>
      </c>
      <c r="N237" s="35"/>
      <c r="O237" s="33">
        <f>ROUND(L237,0)</f>
        <v>625207</v>
      </c>
      <c r="P237" s="196">
        <f t="shared" si="78"/>
        <v>0</v>
      </c>
      <c r="Q237" s="35"/>
      <c r="R237" s="33">
        <f>ROUND(O237,0)-2770</f>
        <v>622437</v>
      </c>
      <c r="S237" s="196">
        <f t="shared" si="79"/>
        <v>-2770</v>
      </c>
      <c r="T237" s="51" t="s">
        <v>135</v>
      </c>
    </row>
    <row r="238" spans="2:20" s="202" customFormat="1" ht="16.149999999999999" customHeight="1" x14ac:dyDescent="0.25">
      <c r="B238" s="201" t="s">
        <v>599</v>
      </c>
      <c r="C238" s="203" t="s">
        <v>600</v>
      </c>
      <c r="D238" s="204" t="s">
        <v>601</v>
      </c>
      <c r="E238" s="34">
        <v>135000</v>
      </c>
      <c r="F238" s="34">
        <f>ROUND(E238,0)</f>
        <v>135000</v>
      </c>
      <c r="G238" s="196">
        <f t="shared" si="75"/>
        <v>0</v>
      </c>
      <c r="H238" s="35"/>
      <c r="I238" s="33">
        <f>ROUND(F238,0)</f>
        <v>135000</v>
      </c>
      <c r="J238" s="196">
        <f t="shared" si="76"/>
        <v>0</v>
      </c>
      <c r="K238" s="35"/>
      <c r="L238" s="33">
        <f>ROUND(I238,0)</f>
        <v>135000</v>
      </c>
      <c r="M238" s="196">
        <f t="shared" si="77"/>
        <v>0</v>
      </c>
      <c r="N238" s="35"/>
      <c r="O238" s="33">
        <f>ROUND(L238,0)</f>
        <v>135000</v>
      </c>
      <c r="P238" s="196">
        <f t="shared" si="78"/>
        <v>0</v>
      </c>
      <c r="Q238" s="35"/>
      <c r="R238" s="74">
        <f>ROUND(O238,0)+27810</f>
        <v>162810</v>
      </c>
      <c r="S238" s="205">
        <f t="shared" si="79"/>
        <v>27810</v>
      </c>
      <c r="T238" s="35"/>
    </row>
    <row r="239" spans="2:20" x14ac:dyDescent="0.25">
      <c r="B239" s="67" t="s">
        <v>599</v>
      </c>
      <c r="C239" s="148" t="s">
        <v>602</v>
      </c>
      <c r="D239" s="107" t="s">
        <v>603</v>
      </c>
      <c r="E239" s="34">
        <v>1377792</v>
      </c>
      <c r="F239" s="34">
        <f>ROUND(E239,0)</f>
        <v>1377792</v>
      </c>
      <c r="G239" s="196">
        <f t="shared" si="75"/>
        <v>0</v>
      </c>
      <c r="H239" s="35"/>
      <c r="I239" s="33">
        <f>ROUND(F239,0)</f>
        <v>1377792</v>
      </c>
      <c r="J239" s="196">
        <f t="shared" si="76"/>
        <v>0</v>
      </c>
      <c r="K239" s="35"/>
      <c r="L239" s="33">
        <f>ROUND(I239,0)</f>
        <v>1377792</v>
      </c>
      <c r="M239" s="196">
        <f t="shared" si="77"/>
        <v>0</v>
      </c>
      <c r="N239" s="35"/>
      <c r="O239" s="33">
        <f>ROUND(L239,0)</f>
        <v>1377792</v>
      </c>
      <c r="P239" s="196">
        <f t="shared" si="78"/>
        <v>0</v>
      </c>
      <c r="Q239" s="35"/>
      <c r="R239" s="74">
        <f>ROUND(O239,0)+47100+193098+32100</f>
        <v>1650090</v>
      </c>
      <c r="S239" s="205">
        <f t="shared" si="79"/>
        <v>272298</v>
      </c>
      <c r="T239" s="69"/>
    </row>
    <row r="240" spans="2:20" s="131" customFormat="1" ht="15.75" customHeight="1" x14ac:dyDescent="0.2">
      <c r="C240" s="200" t="s">
        <v>604</v>
      </c>
      <c r="D240" s="150" t="s">
        <v>605</v>
      </c>
      <c r="E240" s="152">
        <v>1977338.5930570001</v>
      </c>
      <c r="F240" s="152">
        <f t="shared" ref="F240" si="90">F241+F242+F243+F244+F245+F246+F247</f>
        <v>1974553</v>
      </c>
      <c r="G240" s="151">
        <f t="shared" si="75"/>
        <v>-2785.5930570000783</v>
      </c>
      <c r="H240" s="165"/>
      <c r="I240" s="151">
        <f>I241+I242+I243+I244+I245+I246+I247</f>
        <v>1979553</v>
      </c>
      <c r="J240" s="151">
        <f t="shared" si="76"/>
        <v>5000</v>
      </c>
      <c r="K240" s="165"/>
      <c r="L240" s="151">
        <f>L241+L242+L243+L244+L245+L246+L247</f>
        <v>1990205</v>
      </c>
      <c r="M240" s="151">
        <f t="shared" si="77"/>
        <v>10652</v>
      </c>
      <c r="N240" s="165"/>
      <c r="O240" s="151">
        <f>O241+O242+O243+O244+O245+O246+O247</f>
        <v>1993905</v>
      </c>
      <c r="P240" s="151">
        <f t="shared" si="78"/>
        <v>3700</v>
      </c>
      <c r="Q240" s="165"/>
      <c r="R240" s="151">
        <f>R241+R242+R243+R244+R245+R246+R247</f>
        <v>2044278</v>
      </c>
      <c r="S240" s="151">
        <f t="shared" si="79"/>
        <v>50373</v>
      </c>
      <c r="T240" s="165"/>
    </row>
    <row r="241" spans="2:20" s="30" customFormat="1" ht="17.25" customHeight="1" x14ac:dyDescent="0.25">
      <c r="B241" s="48" t="s">
        <v>606</v>
      </c>
      <c r="C241" s="148" t="s">
        <v>607</v>
      </c>
      <c r="D241" s="107" t="s">
        <v>566</v>
      </c>
      <c r="E241" s="34">
        <v>926167</v>
      </c>
      <c r="F241" s="34">
        <f>ROUND(E241,0)</f>
        <v>926167</v>
      </c>
      <c r="G241" s="33">
        <f t="shared" si="75"/>
        <v>0</v>
      </c>
      <c r="H241" s="51"/>
      <c r="I241" s="33">
        <f>ROUND(F241,0)</f>
        <v>926167</v>
      </c>
      <c r="J241" s="33">
        <f t="shared" si="76"/>
        <v>0</v>
      </c>
      <c r="K241" s="51"/>
      <c r="L241" s="33">
        <f>ROUND(I241,0)+10652</f>
        <v>936819</v>
      </c>
      <c r="M241" s="33">
        <f t="shared" si="77"/>
        <v>10652</v>
      </c>
      <c r="N241" s="51" t="s">
        <v>148</v>
      </c>
      <c r="O241" s="33">
        <f>ROUND(L241,0)</f>
        <v>936819</v>
      </c>
      <c r="P241" s="33">
        <f t="shared" si="78"/>
        <v>0</v>
      </c>
      <c r="Q241" s="51"/>
      <c r="R241" s="33">
        <f>ROUND(O241,0)+13121+33255</f>
        <v>983195</v>
      </c>
      <c r="S241" s="33">
        <f t="shared" si="79"/>
        <v>46376</v>
      </c>
      <c r="T241" s="51" t="s">
        <v>135</v>
      </c>
    </row>
    <row r="242" spans="2:20" s="30" customFormat="1" x14ac:dyDescent="0.25">
      <c r="B242" s="30" t="s">
        <v>606</v>
      </c>
      <c r="C242" s="148" t="s">
        <v>608</v>
      </c>
      <c r="D242" s="107" t="s">
        <v>609</v>
      </c>
      <c r="E242" s="34">
        <v>74869</v>
      </c>
      <c r="F242" s="34">
        <f>ROUND(E242,0)</f>
        <v>74869</v>
      </c>
      <c r="G242" s="33">
        <f t="shared" si="75"/>
        <v>0</v>
      </c>
      <c r="H242" s="51"/>
      <c r="I242" s="33">
        <f>ROUND(F242,0)</f>
        <v>74869</v>
      </c>
      <c r="J242" s="33">
        <f t="shared" si="76"/>
        <v>0</v>
      </c>
      <c r="K242" s="51"/>
      <c r="L242" s="33">
        <f t="shared" ref="L242:L248" si="91">ROUND(I242,0)</f>
        <v>74869</v>
      </c>
      <c r="M242" s="33">
        <f t="shared" si="77"/>
        <v>0</v>
      </c>
      <c r="N242" s="51"/>
      <c r="O242" s="33">
        <f t="shared" ref="O242:O247" si="92">ROUND(L242,0)</f>
        <v>74869</v>
      </c>
      <c r="P242" s="33">
        <f t="shared" si="78"/>
        <v>0</v>
      </c>
      <c r="Q242" s="51"/>
      <c r="R242" s="33">
        <f t="shared" ref="R242:R247" si="93">ROUND(O242,0)</f>
        <v>74869</v>
      </c>
      <c r="S242" s="33">
        <f t="shared" si="79"/>
        <v>0</v>
      </c>
      <c r="T242" s="51"/>
    </row>
    <row r="243" spans="2:20" s="30" customFormat="1" ht="17.25" customHeight="1" x14ac:dyDescent="0.25">
      <c r="B243" s="48" t="s">
        <v>610</v>
      </c>
      <c r="C243" s="148" t="s">
        <v>611</v>
      </c>
      <c r="D243" s="107" t="s">
        <v>569</v>
      </c>
      <c r="E243" s="34">
        <v>682154.59305699996</v>
      </c>
      <c r="F243" s="34">
        <f t="shared" ref="F243:F248" si="94">ROUND(E243,0)</f>
        <v>682155</v>
      </c>
      <c r="G243" s="33">
        <f t="shared" si="75"/>
        <v>0.40694300003815442</v>
      </c>
      <c r="H243" s="51"/>
      <c r="I243" s="33">
        <f>ROUND(F243,0)</f>
        <v>682155</v>
      </c>
      <c r="J243" s="33">
        <f t="shared" si="76"/>
        <v>0</v>
      </c>
      <c r="K243" s="51"/>
      <c r="L243" s="33">
        <f t="shared" si="91"/>
        <v>682155</v>
      </c>
      <c r="M243" s="33">
        <f t="shared" si="77"/>
        <v>0</v>
      </c>
      <c r="N243" s="51"/>
      <c r="O243" s="33">
        <f t="shared" si="92"/>
        <v>682155</v>
      </c>
      <c r="P243" s="33">
        <f t="shared" si="78"/>
        <v>0</v>
      </c>
      <c r="Q243" s="51"/>
      <c r="R243" s="33">
        <f t="shared" si="93"/>
        <v>682155</v>
      </c>
      <c r="S243" s="33">
        <f t="shared" si="79"/>
        <v>0</v>
      </c>
      <c r="T243" s="51"/>
    </row>
    <row r="244" spans="2:20" s="30" customFormat="1" ht="39.6" customHeight="1" x14ac:dyDescent="0.25">
      <c r="B244" s="48"/>
      <c r="C244" s="148" t="s">
        <v>612</v>
      </c>
      <c r="D244" s="107" t="s">
        <v>584</v>
      </c>
      <c r="E244" s="34">
        <v>241081</v>
      </c>
      <c r="F244" s="34">
        <f t="shared" si="94"/>
        <v>241081</v>
      </c>
      <c r="G244" s="33">
        <f t="shared" si="75"/>
        <v>0</v>
      </c>
      <c r="H244" s="51"/>
      <c r="I244" s="33">
        <f>ROUND(F244,0)</f>
        <v>241081</v>
      </c>
      <c r="J244" s="33">
        <f t="shared" si="76"/>
        <v>0</v>
      </c>
      <c r="K244" s="51"/>
      <c r="L244" s="33">
        <f t="shared" si="91"/>
        <v>241081</v>
      </c>
      <c r="M244" s="33">
        <f t="shared" si="77"/>
        <v>0</v>
      </c>
      <c r="N244" s="51"/>
      <c r="O244" s="33">
        <f>ROUND(L244,0)+3700</f>
        <v>244781</v>
      </c>
      <c r="P244" s="33">
        <f t="shared" si="78"/>
        <v>3700</v>
      </c>
      <c r="Q244" s="69" t="s">
        <v>613</v>
      </c>
      <c r="R244" s="33">
        <f t="shared" si="93"/>
        <v>244781</v>
      </c>
      <c r="S244" s="33">
        <f t="shared" si="79"/>
        <v>0</v>
      </c>
      <c r="T244" s="69"/>
    </row>
    <row r="245" spans="2:20" s="30" customFormat="1" ht="32.25" customHeight="1" x14ac:dyDescent="0.25">
      <c r="B245" s="48" t="s">
        <v>614</v>
      </c>
      <c r="C245" s="148" t="s">
        <v>615</v>
      </c>
      <c r="D245" s="107" t="s">
        <v>616</v>
      </c>
      <c r="E245" s="34">
        <v>6454</v>
      </c>
      <c r="F245" s="34">
        <f>ROUND(E245,0)-2786</f>
        <v>3668</v>
      </c>
      <c r="G245" s="33">
        <f t="shared" si="75"/>
        <v>-2786</v>
      </c>
      <c r="H245" s="35" t="s">
        <v>168</v>
      </c>
      <c r="I245" s="33">
        <f>ROUND(F245,0)</f>
        <v>3668</v>
      </c>
      <c r="J245" s="33">
        <f t="shared" si="76"/>
        <v>0</v>
      </c>
      <c r="K245" s="35"/>
      <c r="L245" s="33">
        <f t="shared" si="91"/>
        <v>3668</v>
      </c>
      <c r="M245" s="33">
        <f t="shared" si="77"/>
        <v>0</v>
      </c>
      <c r="N245" s="35"/>
      <c r="O245" s="33">
        <f t="shared" si="92"/>
        <v>3668</v>
      </c>
      <c r="P245" s="33">
        <f t="shared" si="78"/>
        <v>0</v>
      </c>
      <c r="Q245" s="35"/>
      <c r="R245" s="33">
        <f>ROUND(O245,0)+3997</f>
        <v>7665</v>
      </c>
      <c r="S245" s="33">
        <f t="shared" si="79"/>
        <v>3997</v>
      </c>
      <c r="T245" s="51" t="s">
        <v>169</v>
      </c>
    </row>
    <row r="246" spans="2:20" s="131" customFormat="1" ht="13.9" customHeight="1" x14ac:dyDescent="0.25">
      <c r="B246" s="67" t="s">
        <v>617</v>
      </c>
      <c r="C246" s="148" t="s">
        <v>618</v>
      </c>
      <c r="D246" s="107" t="s">
        <v>619</v>
      </c>
      <c r="E246" s="34">
        <v>46613</v>
      </c>
      <c r="F246" s="34">
        <f t="shared" si="94"/>
        <v>46613</v>
      </c>
      <c r="G246" s="33">
        <f t="shared" si="75"/>
        <v>0</v>
      </c>
      <c r="H246" s="35"/>
      <c r="I246" s="33">
        <f>ROUND(F246,0)+5000</f>
        <v>51613</v>
      </c>
      <c r="J246" s="33">
        <f t="shared" si="76"/>
        <v>5000</v>
      </c>
      <c r="K246" s="76" t="s">
        <v>236</v>
      </c>
      <c r="L246" s="33">
        <f t="shared" si="91"/>
        <v>51613</v>
      </c>
      <c r="M246" s="33">
        <f t="shared" si="77"/>
        <v>0</v>
      </c>
      <c r="N246" s="76"/>
      <c r="O246" s="33">
        <f t="shared" si="92"/>
        <v>51613</v>
      </c>
      <c r="P246" s="33">
        <f t="shared" si="78"/>
        <v>0</v>
      </c>
      <c r="Q246" s="76"/>
      <c r="R246" s="33">
        <f t="shared" si="93"/>
        <v>51613</v>
      </c>
      <c r="S246" s="33">
        <f t="shared" si="79"/>
        <v>0</v>
      </c>
      <c r="T246" s="76"/>
    </row>
    <row r="247" spans="2:20" s="131" customFormat="1" ht="15" customHeight="1" x14ac:dyDescent="0.25">
      <c r="B247" s="67" t="s">
        <v>620</v>
      </c>
      <c r="C247" s="148" t="s">
        <v>621</v>
      </c>
      <c r="D247" s="107" t="s">
        <v>622</v>
      </c>
      <c r="E247" s="34">
        <v>0</v>
      </c>
      <c r="F247" s="34">
        <f t="shared" si="94"/>
        <v>0</v>
      </c>
      <c r="G247" s="33">
        <f t="shared" si="75"/>
        <v>0</v>
      </c>
      <c r="H247" s="35"/>
      <c r="I247" s="33">
        <f>ROUND(F247,0)</f>
        <v>0</v>
      </c>
      <c r="J247" s="33">
        <f t="shared" si="76"/>
        <v>0</v>
      </c>
      <c r="K247" s="35"/>
      <c r="L247" s="33">
        <f t="shared" si="91"/>
        <v>0</v>
      </c>
      <c r="M247" s="33">
        <f t="shared" si="77"/>
        <v>0</v>
      </c>
      <c r="N247" s="35"/>
      <c r="O247" s="33">
        <f t="shared" si="92"/>
        <v>0</v>
      </c>
      <c r="P247" s="33">
        <f t="shared" si="78"/>
        <v>0</v>
      </c>
      <c r="Q247" s="35"/>
      <c r="R247" s="33">
        <f t="shared" si="93"/>
        <v>0</v>
      </c>
      <c r="S247" s="33">
        <f t="shared" si="79"/>
        <v>0</v>
      </c>
      <c r="T247" s="35"/>
    </row>
    <row r="248" spans="2:20" s="30" customFormat="1" ht="47.25" customHeight="1" x14ac:dyDescent="0.25">
      <c r="B248" s="67" t="s">
        <v>623</v>
      </c>
      <c r="C248" s="200" t="s">
        <v>624</v>
      </c>
      <c r="D248" s="150" t="s">
        <v>321</v>
      </c>
      <c r="E248" s="152">
        <v>836633.39</v>
      </c>
      <c r="F248" s="152">
        <f t="shared" si="94"/>
        <v>836633</v>
      </c>
      <c r="G248" s="151">
        <f>F248-E248</f>
        <v>-0.39000000001396984</v>
      </c>
      <c r="H248" s="71"/>
      <c r="I248" s="151">
        <f>ROUND(F248,0)</f>
        <v>836633</v>
      </c>
      <c r="J248" s="151">
        <f t="shared" si="76"/>
        <v>0</v>
      </c>
      <c r="K248" s="71"/>
      <c r="L248" s="151">
        <f t="shared" si="91"/>
        <v>836633</v>
      </c>
      <c r="M248" s="151">
        <f t="shared" si="77"/>
        <v>0</v>
      </c>
      <c r="N248" s="71"/>
      <c r="O248" s="151">
        <f>ROUND(L248,0)</f>
        <v>836633</v>
      </c>
      <c r="P248" s="151">
        <f t="shared" si="78"/>
        <v>0</v>
      </c>
      <c r="Q248" s="71"/>
      <c r="R248" s="151">
        <f>ROUND(O248,0)-30000</f>
        <v>806633</v>
      </c>
      <c r="S248" s="151">
        <f t="shared" si="79"/>
        <v>-30000</v>
      </c>
      <c r="T248" s="71" t="s">
        <v>625</v>
      </c>
    </row>
    <row r="249" spans="2:20" s="30" customFormat="1" ht="15.75" customHeight="1" x14ac:dyDescent="0.25">
      <c r="B249" s="48"/>
      <c r="C249" s="200" t="s">
        <v>626</v>
      </c>
      <c r="D249" s="150" t="s">
        <v>627</v>
      </c>
      <c r="E249" s="152">
        <v>7240446.2743386505</v>
      </c>
      <c r="F249" s="152">
        <f>F250+F251+F252+F253+F254+F255+F256+F257</f>
        <v>7249299</v>
      </c>
      <c r="G249" s="151">
        <f t="shared" si="75"/>
        <v>8852.7256613494828</v>
      </c>
      <c r="H249" s="71"/>
      <c r="I249" s="151">
        <f>I250+I251+I252+I253+I254+I255+I256+I257</f>
        <v>7335799</v>
      </c>
      <c r="J249" s="151">
        <f t="shared" si="76"/>
        <v>86500</v>
      </c>
      <c r="K249" s="71"/>
      <c r="L249" s="151">
        <f>L250+L251+L252+L253+L254+L255+L256+L257</f>
        <v>7378123</v>
      </c>
      <c r="M249" s="151">
        <f t="shared" si="77"/>
        <v>42324</v>
      </c>
      <c r="N249" s="71"/>
      <c r="O249" s="151">
        <f>O250+O251+O252+O253+O254+O255+O256+O257</f>
        <v>7378123</v>
      </c>
      <c r="P249" s="151">
        <f t="shared" si="78"/>
        <v>0</v>
      </c>
      <c r="Q249" s="71"/>
      <c r="R249" s="151">
        <f>R250+R251+R252+R253+R254+R255+R256+R257</f>
        <v>7424608</v>
      </c>
      <c r="S249" s="151">
        <f t="shared" si="79"/>
        <v>46485</v>
      </c>
      <c r="T249" s="71"/>
    </row>
    <row r="250" spans="2:20" s="30" customFormat="1" ht="17.25" customHeight="1" x14ac:dyDescent="0.25">
      <c r="B250" s="48" t="s">
        <v>628</v>
      </c>
      <c r="C250" s="148" t="s">
        <v>629</v>
      </c>
      <c r="D250" s="107" t="s">
        <v>566</v>
      </c>
      <c r="E250" s="34">
        <v>3750643</v>
      </c>
      <c r="F250" s="34">
        <f>ROUND(E250,0)</f>
        <v>3750643</v>
      </c>
      <c r="G250" s="33">
        <f t="shared" si="75"/>
        <v>0</v>
      </c>
      <c r="H250" s="51"/>
      <c r="I250" s="33">
        <f t="shared" ref="I250:I256" si="95">ROUND(F250,0)</f>
        <v>3750643</v>
      </c>
      <c r="J250" s="33">
        <f t="shared" si="76"/>
        <v>0</v>
      </c>
      <c r="K250" s="51"/>
      <c r="L250" s="33">
        <f>ROUND(I250,0)+41084</f>
        <v>3791727</v>
      </c>
      <c r="M250" s="33">
        <f t="shared" si="77"/>
        <v>41084</v>
      </c>
      <c r="N250" s="51" t="s">
        <v>148</v>
      </c>
      <c r="O250" s="33">
        <f>ROUND(L250,0)</f>
        <v>3791727</v>
      </c>
      <c r="P250" s="33">
        <f t="shared" si="78"/>
        <v>0</v>
      </c>
      <c r="Q250" s="51"/>
      <c r="R250" s="33">
        <f>ROUND(O250,0)-16862+34285+5175</f>
        <v>3814325</v>
      </c>
      <c r="S250" s="33">
        <f t="shared" si="79"/>
        <v>22598</v>
      </c>
      <c r="T250" s="51" t="s">
        <v>135</v>
      </c>
    </row>
    <row r="251" spans="2:20" s="30" customFormat="1" ht="63.75" customHeight="1" x14ac:dyDescent="0.25">
      <c r="B251" s="48" t="s">
        <v>630</v>
      </c>
      <c r="C251" s="148" t="s">
        <v>631</v>
      </c>
      <c r="D251" s="107" t="s">
        <v>569</v>
      </c>
      <c r="E251" s="34">
        <v>1425817.7494320502</v>
      </c>
      <c r="F251" s="34">
        <f>ROUND(E251,0)+10864</f>
        <v>1436682</v>
      </c>
      <c r="G251" s="33">
        <f t="shared" si="75"/>
        <v>10864.250567949843</v>
      </c>
      <c r="H251" s="51" t="s">
        <v>632</v>
      </c>
      <c r="I251" s="33">
        <f>ROUND(F251,0)+43000</f>
        <v>1479682</v>
      </c>
      <c r="J251" s="36">
        <f t="shared" si="76"/>
        <v>43000</v>
      </c>
      <c r="K251" s="52" t="s">
        <v>633</v>
      </c>
      <c r="L251" s="33">
        <f t="shared" ref="L251:L256" si="96">ROUND(I251,0)</f>
        <v>1479682</v>
      </c>
      <c r="M251" s="33">
        <f t="shared" si="77"/>
        <v>0</v>
      </c>
      <c r="N251" s="51"/>
      <c r="O251" s="33">
        <f t="shared" ref="O251:O256" si="97">ROUND(L251,0)</f>
        <v>1479682</v>
      </c>
      <c r="P251" s="33">
        <f t="shared" si="78"/>
        <v>0</v>
      </c>
      <c r="Q251" s="51"/>
      <c r="R251" s="33">
        <f>ROUND(O251,0)-9300-3500</f>
        <v>1466882</v>
      </c>
      <c r="S251" s="33">
        <f t="shared" si="79"/>
        <v>-12800</v>
      </c>
      <c r="T251" s="51" t="s">
        <v>634</v>
      </c>
    </row>
    <row r="252" spans="2:20" s="30" customFormat="1" ht="17.45" customHeight="1" x14ac:dyDescent="0.25">
      <c r="B252" s="30" t="s">
        <v>635</v>
      </c>
      <c r="C252" s="148" t="s">
        <v>636</v>
      </c>
      <c r="D252" s="107" t="s">
        <v>619</v>
      </c>
      <c r="E252" s="34">
        <v>250373</v>
      </c>
      <c r="F252" s="34">
        <f>ROUND(E252,0)</f>
        <v>250373</v>
      </c>
      <c r="G252" s="33">
        <f t="shared" si="75"/>
        <v>0</v>
      </c>
      <c r="H252" s="35"/>
      <c r="I252" s="33">
        <f t="shared" si="95"/>
        <v>250373</v>
      </c>
      <c r="J252" s="33">
        <f t="shared" si="76"/>
        <v>0</v>
      </c>
      <c r="K252" s="35"/>
      <c r="L252" s="33">
        <f t="shared" si="96"/>
        <v>250373</v>
      </c>
      <c r="M252" s="33">
        <f t="shared" si="77"/>
        <v>0</v>
      </c>
      <c r="N252" s="35"/>
      <c r="O252" s="33">
        <f t="shared" si="97"/>
        <v>250373</v>
      </c>
      <c r="P252" s="33">
        <f t="shared" si="78"/>
        <v>0</v>
      </c>
      <c r="Q252" s="35"/>
      <c r="R252" s="33">
        <f t="shared" ref="R252:R256" si="98">ROUND(O252,0)</f>
        <v>250373</v>
      </c>
      <c r="S252" s="33">
        <f t="shared" si="79"/>
        <v>0</v>
      </c>
      <c r="T252" s="35"/>
    </row>
    <row r="253" spans="2:20" s="30" customFormat="1" ht="30" customHeight="1" x14ac:dyDescent="0.25">
      <c r="B253" s="48" t="s">
        <v>637</v>
      </c>
      <c r="C253" s="148" t="s">
        <v>638</v>
      </c>
      <c r="D253" s="107" t="s">
        <v>616</v>
      </c>
      <c r="E253" s="34">
        <v>16158</v>
      </c>
      <c r="F253" s="34">
        <f>ROUND(E253,0)-2011</f>
        <v>14147</v>
      </c>
      <c r="G253" s="33">
        <f t="shared" si="75"/>
        <v>-2011</v>
      </c>
      <c r="H253" s="35" t="s">
        <v>168</v>
      </c>
      <c r="I253" s="33">
        <f t="shared" si="95"/>
        <v>14147</v>
      </c>
      <c r="J253" s="33">
        <f t="shared" si="76"/>
        <v>0</v>
      </c>
      <c r="K253" s="35"/>
      <c r="L253" s="33">
        <f t="shared" si="96"/>
        <v>14147</v>
      </c>
      <c r="M253" s="33">
        <f t="shared" si="77"/>
        <v>0</v>
      </c>
      <c r="N253" s="35"/>
      <c r="O253" s="33">
        <f t="shared" si="97"/>
        <v>14147</v>
      </c>
      <c r="P253" s="33">
        <f t="shared" si="78"/>
        <v>0</v>
      </c>
      <c r="Q253" s="35"/>
      <c r="R253" s="33">
        <f>ROUND(O253,0)+14485</f>
        <v>28632</v>
      </c>
      <c r="S253" s="33">
        <f t="shared" si="79"/>
        <v>14485</v>
      </c>
      <c r="T253" s="51" t="s">
        <v>169</v>
      </c>
    </row>
    <row r="254" spans="2:20" s="206" customFormat="1" ht="42.6" customHeight="1" x14ac:dyDescent="0.25">
      <c r="B254" s="48" t="s">
        <v>630</v>
      </c>
      <c r="C254" s="148" t="s">
        <v>639</v>
      </c>
      <c r="D254" s="107" t="s">
        <v>323</v>
      </c>
      <c r="E254" s="34">
        <v>390000</v>
      </c>
      <c r="F254" s="34">
        <f>ROUND(E254,0)</f>
        <v>390000</v>
      </c>
      <c r="G254" s="33">
        <f t="shared" si="75"/>
        <v>0</v>
      </c>
      <c r="H254" s="51"/>
      <c r="I254" s="33">
        <f>ROUND(F254,0)+43500</f>
        <v>433500</v>
      </c>
      <c r="J254" s="36">
        <f t="shared" si="76"/>
        <v>43500</v>
      </c>
      <c r="K254" s="52" t="s">
        <v>640</v>
      </c>
      <c r="L254" s="33">
        <f t="shared" si="96"/>
        <v>433500</v>
      </c>
      <c r="M254" s="33">
        <f t="shared" si="77"/>
        <v>0</v>
      </c>
      <c r="N254" s="51"/>
      <c r="O254" s="33">
        <f t="shared" si="97"/>
        <v>433500</v>
      </c>
      <c r="P254" s="33">
        <f t="shared" si="78"/>
        <v>0</v>
      </c>
      <c r="Q254" s="51"/>
      <c r="R254" s="33">
        <f t="shared" si="98"/>
        <v>433500</v>
      </c>
      <c r="S254" s="33">
        <f t="shared" si="79"/>
        <v>0</v>
      </c>
      <c r="T254" s="51"/>
    </row>
    <row r="255" spans="2:20" s="206" customFormat="1" ht="62.25" customHeight="1" x14ac:dyDescent="0.25">
      <c r="B255" s="207" t="s">
        <v>641</v>
      </c>
      <c r="C255" s="148" t="s">
        <v>642</v>
      </c>
      <c r="D255" s="107" t="s">
        <v>643</v>
      </c>
      <c r="E255" s="34">
        <v>838367.24456400005</v>
      </c>
      <c r="F255" s="34">
        <f>ROUND(E255,0)</f>
        <v>838367</v>
      </c>
      <c r="G255" s="33">
        <f t="shared" si="75"/>
        <v>-0.24456400005146861</v>
      </c>
      <c r="H255" s="51" t="s">
        <v>644</v>
      </c>
      <c r="I255" s="33">
        <f t="shared" si="95"/>
        <v>838367</v>
      </c>
      <c r="J255" s="33">
        <f t="shared" si="76"/>
        <v>0</v>
      </c>
      <c r="K255" s="51"/>
      <c r="L255" s="33">
        <f t="shared" si="96"/>
        <v>838367</v>
      </c>
      <c r="M255" s="33">
        <f t="shared" si="77"/>
        <v>0</v>
      </c>
      <c r="N255" s="51"/>
      <c r="O255" s="33">
        <f t="shared" si="97"/>
        <v>838367</v>
      </c>
      <c r="P255" s="33">
        <f t="shared" si="78"/>
        <v>0</v>
      </c>
      <c r="Q255" s="51"/>
      <c r="R255" s="33">
        <f>ROUND(O255,0)+9300+3500</f>
        <v>851167</v>
      </c>
      <c r="S255" s="33">
        <f t="shared" si="79"/>
        <v>12800</v>
      </c>
      <c r="T255" s="51" t="s">
        <v>634</v>
      </c>
    </row>
    <row r="256" spans="2:20" s="206" customFormat="1" ht="15" customHeight="1" x14ac:dyDescent="0.25">
      <c r="B256" s="48" t="s">
        <v>628</v>
      </c>
      <c r="C256" s="148" t="s">
        <v>645</v>
      </c>
      <c r="D256" s="107" t="s">
        <v>646</v>
      </c>
      <c r="E256" s="34">
        <v>173758</v>
      </c>
      <c r="F256" s="34">
        <f>ROUND(E256,0)</f>
        <v>173758</v>
      </c>
      <c r="G256" s="33">
        <f t="shared" si="75"/>
        <v>0</v>
      </c>
      <c r="H256" s="35"/>
      <c r="I256" s="33">
        <f t="shared" si="95"/>
        <v>173758</v>
      </c>
      <c r="J256" s="33">
        <f t="shared" si="76"/>
        <v>0</v>
      </c>
      <c r="K256" s="35"/>
      <c r="L256" s="33">
        <f t="shared" si="96"/>
        <v>173758</v>
      </c>
      <c r="M256" s="33">
        <f t="shared" si="77"/>
        <v>0</v>
      </c>
      <c r="N256" s="35"/>
      <c r="O256" s="33">
        <f t="shared" si="97"/>
        <v>173758</v>
      </c>
      <c r="P256" s="33">
        <f t="shared" si="78"/>
        <v>0</v>
      </c>
      <c r="Q256" s="35"/>
      <c r="R256" s="33">
        <f t="shared" si="98"/>
        <v>173758</v>
      </c>
      <c r="S256" s="33">
        <f t="shared" si="79"/>
        <v>0</v>
      </c>
      <c r="T256" s="35"/>
    </row>
    <row r="257" spans="2:20" s="212" customFormat="1" ht="13.9" customHeight="1" x14ac:dyDescent="0.25">
      <c r="B257" s="207"/>
      <c r="C257" s="208" t="s">
        <v>647</v>
      </c>
      <c r="D257" s="209" t="s">
        <v>648</v>
      </c>
      <c r="E257" s="211">
        <v>395329.28034260002</v>
      </c>
      <c r="F257" s="211">
        <f t="shared" ref="F257:G257" si="99">F258+F259</f>
        <v>395329</v>
      </c>
      <c r="G257" s="210">
        <f t="shared" si="99"/>
        <v>-0.28034260001732036</v>
      </c>
      <c r="H257" s="210"/>
      <c r="I257" s="210">
        <f>I258+I259</f>
        <v>395329</v>
      </c>
      <c r="J257" s="210">
        <f t="shared" si="76"/>
        <v>0</v>
      </c>
      <c r="K257" s="210"/>
      <c r="L257" s="210">
        <f>L258+L259</f>
        <v>396569</v>
      </c>
      <c r="M257" s="210">
        <f t="shared" si="77"/>
        <v>1240</v>
      </c>
      <c r="N257" s="210"/>
      <c r="O257" s="210">
        <f>O258+O259</f>
        <v>396569</v>
      </c>
      <c r="P257" s="210">
        <f t="shared" si="78"/>
        <v>0</v>
      </c>
      <c r="Q257" s="210"/>
      <c r="R257" s="210">
        <f>R258+R259</f>
        <v>405971</v>
      </c>
      <c r="S257" s="210">
        <f t="shared" si="79"/>
        <v>9402</v>
      </c>
      <c r="T257" s="210"/>
    </row>
    <row r="258" spans="2:20" s="206" customFormat="1" ht="12" customHeight="1" x14ac:dyDescent="0.25">
      <c r="B258" s="67" t="s">
        <v>649</v>
      </c>
      <c r="C258" s="213" t="s">
        <v>650</v>
      </c>
      <c r="D258" s="107" t="s">
        <v>651</v>
      </c>
      <c r="E258" s="34">
        <v>83788</v>
      </c>
      <c r="F258" s="34">
        <f>ROUND(E258,0)</f>
        <v>83788</v>
      </c>
      <c r="G258" s="33">
        <f t="shared" si="75"/>
        <v>0</v>
      </c>
      <c r="H258" s="51"/>
      <c r="I258" s="33">
        <f>ROUND(F258,0)</f>
        <v>83788</v>
      </c>
      <c r="J258" s="33">
        <f t="shared" si="76"/>
        <v>0</v>
      </c>
      <c r="K258" s="51"/>
      <c r="L258" s="33">
        <f>ROUND(I258,0)+1240</f>
        <v>85028</v>
      </c>
      <c r="M258" s="33">
        <f t="shared" si="77"/>
        <v>1240</v>
      </c>
      <c r="N258" s="51" t="s">
        <v>148</v>
      </c>
      <c r="O258" s="33">
        <f>ROUND(L258,0)</f>
        <v>85028</v>
      </c>
      <c r="P258" s="33">
        <f t="shared" si="78"/>
        <v>0</v>
      </c>
      <c r="Q258" s="51"/>
      <c r="R258" s="33">
        <f>ROUND(O258,0)+9402</f>
        <v>94430</v>
      </c>
      <c r="S258" s="33">
        <f t="shared" si="79"/>
        <v>9402</v>
      </c>
      <c r="T258" s="51" t="s">
        <v>135</v>
      </c>
    </row>
    <row r="259" spans="2:20" s="131" customFormat="1" ht="12.6" customHeight="1" x14ac:dyDescent="0.25">
      <c r="B259" s="207" t="s">
        <v>652</v>
      </c>
      <c r="C259" s="213" t="s">
        <v>653</v>
      </c>
      <c r="D259" s="107" t="s">
        <v>654</v>
      </c>
      <c r="E259" s="34">
        <v>311541.28034260002</v>
      </c>
      <c r="F259" s="34">
        <f>ROUND(E259,0)</f>
        <v>311541</v>
      </c>
      <c r="G259" s="33">
        <f t="shared" si="75"/>
        <v>-0.28034260001732036</v>
      </c>
      <c r="H259" s="35"/>
      <c r="I259" s="33">
        <f>ROUND(F259,0)</f>
        <v>311541</v>
      </c>
      <c r="J259" s="33">
        <f t="shared" si="76"/>
        <v>0</v>
      </c>
      <c r="K259" s="35"/>
      <c r="L259" s="33">
        <f>ROUND(I259,0)</f>
        <v>311541</v>
      </c>
      <c r="M259" s="33">
        <f t="shared" si="77"/>
        <v>0</v>
      </c>
      <c r="N259" s="35"/>
      <c r="O259" s="33">
        <f>ROUND(L259,0)</f>
        <v>311541</v>
      </c>
      <c r="P259" s="33">
        <f t="shared" si="78"/>
        <v>0</v>
      </c>
      <c r="Q259" s="35"/>
      <c r="R259" s="33">
        <f>ROUND(O259,0)</f>
        <v>311541</v>
      </c>
      <c r="S259" s="33">
        <f t="shared" si="79"/>
        <v>0</v>
      </c>
      <c r="T259" s="35"/>
    </row>
    <row r="260" spans="2:20" ht="18" customHeight="1" x14ac:dyDescent="0.25">
      <c r="C260" s="200" t="s">
        <v>655</v>
      </c>
      <c r="D260" s="150" t="s">
        <v>656</v>
      </c>
      <c r="E260" s="152">
        <v>1489092.9817770002</v>
      </c>
      <c r="F260" s="152">
        <f t="shared" ref="F260" si="100">F261+F262</f>
        <v>1541382</v>
      </c>
      <c r="G260" s="151">
        <f t="shared" si="75"/>
        <v>52289.018222999759</v>
      </c>
      <c r="H260" s="151"/>
      <c r="I260" s="151">
        <f>I261+I262</f>
        <v>1541382</v>
      </c>
      <c r="J260" s="151">
        <f t="shared" si="76"/>
        <v>0</v>
      </c>
      <c r="K260" s="151"/>
      <c r="L260" s="151">
        <f>L261+L262</f>
        <v>1541382</v>
      </c>
      <c r="M260" s="151">
        <f t="shared" si="77"/>
        <v>0</v>
      </c>
      <c r="N260" s="151"/>
      <c r="O260" s="151">
        <f>O261+O262</f>
        <v>1541382</v>
      </c>
      <c r="P260" s="151">
        <f t="shared" si="78"/>
        <v>0</v>
      </c>
      <c r="Q260" s="151"/>
      <c r="R260" s="151">
        <f>R261+R262</f>
        <v>1570960</v>
      </c>
      <c r="S260" s="151">
        <f t="shared" si="79"/>
        <v>29578</v>
      </c>
      <c r="T260" s="151"/>
    </row>
    <row r="261" spans="2:20" ht="13.5" customHeight="1" x14ac:dyDescent="0.25">
      <c r="C261" s="148" t="s">
        <v>657</v>
      </c>
      <c r="D261" s="107" t="s">
        <v>658</v>
      </c>
      <c r="E261" s="34">
        <v>593640</v>
      </c>
      <c r="F261" s="34">
        <f>ROUND(E261,0)+52289</f>
        <v>645929</v>
      </c>
      <c r="G261" s="33">
        <f t="shared" ref="G261:G280" si="101">F261-E261</f>
        <v>52289</v>
      </c>
      <c r="H261" s="51" t="s">
        <v>134</v>
      </c>
      <c r="I261" s="33">
        <f>ROUND(F261,0)</f>
        <v>645929</v>
      </c>
      <c r="J261" s="33">
        <f t="shared" si="76"/>
        <v>0</v>
      </c>
      <c r="K261" s="51"/>
      <c r="L261" s="33">
        <f>ROUND(I261,0)</f>
        <v>645929</v>
      </c>
      <c r="M261" s="33">
        <f t="shared" si="77"/>
        <v>0</v>
      </c>
      <c r="N261" s="51"/>
      <c r="O261" s="33">
        <f>ROUND(L261,0)</f>
        <v>645929</v>
      </c>
      <c r="P261" s="33">
        <f t="shared" si="78"/>
        <v>0</v>
      </c>
      <c r="Q261" s="51"/>
      <c r="R261" s="33">
        <f>ROUND(O261,0)+29578</f>
        <v>675507</v>
      </c>
      <c r="S261" s="33">
        <f t="shared" si="79"/>
        <v>29578</v>
      </c>
      <c r="T261" s="51" t="s">
        <v>135</v>
      </c>
    </row>
    <row r="262" spans="2:20" ht="28.9" customHeight="1" x14ac:dyDescent="0.25">
      <c r="C262" s="148" t="s">
        <v>659</v>
      </c>
      <c r="D262" s="107" t="s">
        <v>569</v>
      </c>
      <c r="E262" s="34">
        <v>895452.98177700012</v>
      </c>
      <c r="F262" s="34">
        <f>ROUND(E262,0)</f>
        <v>895453</v>
      </c>
      <c r="G262" s="33">
        <f t="shared" si="101"/>
        <v>1.8222999875433743E-2</v>
      </c>
      <c r="H262" s="214"/>
      <c r="I262" s="33">
        <f>ROUND(F262,0)</f>
        <v>895453</v>
      </c>
      <c r="J262" s="33">
        <f t="shared" ref="J262:J280" si="102">I262-F262</f>
        <v>0</v>
      </c>
      <c r="K262" s="214"/>
      <c r="L262" s="33">
        <f>ROUND(I262,0)</f>
        <v>895453</v>
      </c>
      <c r="M262" s="33">
        <f t="shared" ref="M262:M280" si="103">L262-I262</f>
        <v>0</v>
      </c>
      <c r="N262" s="214"/>
      <c r="O262" s="33">
        <f>ROUND(L262,0)</f>
        <v>895453</v>
      </c>
      <c r="P262" s="33">
        <f t="shared" ref="P262:P280" si="104">O262-L262</f>
        <v>0</v>
      </c>
      <c r="Q262" s="214"/>
      <c r="R262" s="33">
        <f>ROUND(O262,0)</f>
        <v>895453</v>
      </c>
      <c r="S262" s="33">
        <f t="shared" ref="S262:S280" si="105">R262-O262</f>
        <v>0</v>
      </c>
      <c r="T262" s="214"/>
    </row>
    <row r="263" spans="2:20" ht="16.149999999999999" customHeight="1" x14ac:dyDescent="0.25">
      <c r="C263" s="215" t="s">
        <v>660</v>
      </c>
      <c r="D263" s="150" t="s">
        <v>661</v>
      </c>
      <c r="E263" s="152">
        <v>643256.80554049998</v>
      </c>
      <c r="F263" s="152">
        <f>F264+F265</f>
        <v>643257</v>
      </c>
      <c r="G263" s="151">
        <f t="shared" si="101"/>
        <v>0.19445950002409518</v>
      </c>
      <c r="H263" s="165"/>
      <c r="I263" s="151">
        <f>I264+I265</f>
        <v>643257</v>
      </c>
      <c r="J263" s="151">
        <f t="shared" si="102"/>
        <v>0</v>
      </c>
      <c r="K263" s="165"/>
      <c r="L263" s="151">
        <f>L264+L265</f>
        <v>643257</v>
      </c>
      <c r="M263" s="151">
        <f t="shared" si="103"/>
        <v>0</v>
      </c>
      <c r="N263" s="165"/>
      <c r="O263" s="151">
        <f>O264+O265</f>
        <v>643257</v>
      </c>
      <c r="P263" s="151">
        <f t="shared" si="104"/>
        <v>0</v>
      </c>
      <c r="Q263" s="165"/>
      <c r="R263" s="151">
        <f>R264+R265</f>
        <v>656559</v>
      </c>
      <c r="S263" s="151">
        <f t="shared" si="105"/>
        <v>13302</v>
      </c>
      <c r="T263" s="165"/>
    </row>
    <row r="264" spans="2:20" ht="33" customHeight="1" x14ac:dyDescent="0.25">
      <c r="B264" s="67" t="s">
        <v>662</v>
      </c>
      <c r="C264" s="148" t="s">
        <v>663</v>
      </c>
      <c r="D264" s="107" t="s">
        <v>658</v>
      </c>
      <c r="E264" s="34">
        <v>299308</v>
      </c>
      <c r="F264" s="34">
        <f t="shared" ref="F264:F270" si="106">ROUND(E264,0)</f>
        <v>299308</v>
      </c>
      <c r="G264" s="33">
        <f t="shared" si="101"/>
        <v>0</v>
      </c>
      <c r="H264" s="35"/>
      <c r="I264" s="33">
        <f t="shared" ref="I264:I270" si="107">ROUND(F264,0)</f>
        <v>299308</v>
      </c>
      <c r="J264" s="33">
        <f t="shared" si="102"/>
        <v>0</v>
      </c>
      <c r="K264" s="35"/>
      <c r="L264" s="33">
        <f t="shared" ref="L264:L270" si="108">ROUND(I264,0)</f>
        <v>299308</v>
      </c>
      <c r="M264" s="33">
        <f t="shared" si="103"/>
        <v>0</v>
      </c>
      <c r="N264" s="35"/>
      <c r="O264" s="33">
        <f t="shared" ref="O264:O270" si="109">ROUND(L264,0)</f>
        <v>299308</v>
      </c>
      <c r="P264" s="33">
        <f t="shared" si="104"/>
        <v>0</v>
      </c>
      <c r="Q264" s="35"/>
      <c r="R264" s="33">
        <f>ROUND(O264,0)+13302</f>
        <v>312610</v>
      </c>
      <c r="S264" s="33">
        <f t="shared" si="105"/>
        <v>13302</v>
      </c>
      <c r="T264" s="51" t="s">
        <v>139</v>
      </c>
    </row>
    <row r="265" spans="2:20" ht="16.5" customHeight="1" x14ac:dyDescent="0.25">
      <c r="B265" s="67" t="s">
        <v>664</v>
      </c>
      <c r="C265" s="148" t="s">
        <v>665</v>
      </c>
      <c r="D265" s="107" t="s">
        <v>666</v>
      </c>
      <c r="E265" s="34">
        <v>343948.80554049998</v>
      </c>
      <c r="F265" s="34">
        <f t="shared" si="106"/>
        <v>343949</v>
      </c>
      <c r="G265" s="33">
        <f t="shared" si="101"/>
        <v>0.19445950002409518</v>
      </c>
      <c r="H265" s="51"/>
      <c r="I265" s="33">
        <f t="shared" si="107"/>
        <v>343949</v>
      </c>
      <c r="J265" s="33">
        <f t="shared" si="102"/>
        <v>0</v>
      </c>
      <c r="K265" s="51"/>
      <c r="L265" s="33">
        <f t="shared" si="108"/>
        <v>343949</v>
      </c>
      <c r="M265" s="33">
        <f t="shared" si="103"/>
        <v>0</v>
      </c>
      <c r="N265" s="51"/>
      <c r="O265" s="33">
        <f t="shared" si="109"/>
        <v>343949</v>
      </c>
      <c r="P265" s="33">
        <f t="shared" si="104"/>
        <v>0</v>
      </c>
      <c r="Q265" s="51"/>
      <c r="R265" s="33">
        <f t="shared" ref="R265:R270" si="110">ROUND(O265,0)</f>
        <v>343949</v>
      </c>
      <c r="S265" s="33">
        <f t="shared" si="105"/>
        <v>0</v>
      </c>
      <c r="T265" s="51"/>
    </row>
    <row r="266" spans="2:20" ht="46.15" customHeight="1" x14ac:dyDescent="0.25">
      <c r="B266" s="67" t="s">
        <v>667</v>
      </c>
      <c r="C266" s="215" t="s">
        <v>668</v>
      </c>
      <c r="D266" s="150" t="s">
        <v>669</v>
      </c>
      <c r="E266" s="70">
        <v>316025.5193245</v>
      </c>
      <c r="F266" s="70">
        <f t="shared" si="106"/>
        <v>316026</v>
      </c>
      <c r="G266" s="56">
        <f t="shared" si="101"/>
        <v>0.48067550000268966</v>
      </c>
      <c r="H266" s="71"/>
      <c r="I266" s="56">
        <f t="shared" si="107"/>
        <v>316026</v>
      </c>
      <c r="J266" s="56">
        <f t="shared" si="102"/>
        <v>0</v>
      </c>
      <c r="K266" s="71"/>
      <c r="L266" s="56">
        <f t="shared" si="108"/>
        <v>316026</v>
      </c>
      <c r="M266" s="56">
        <f t="shared" si="103"/>
        <v>0</v>
      </c>
      <c r="N266" s="71"/>
      <c r="O266" s="56">
        <f>ROUND(L266,0)+9820</f>
        <v>325846</v>
      </c>
      <c r="P266" s="56">
        <f t="shared" si="104"/>
        <v>9820</v>
      </c>
      <c r="Q266" s="71" t="s">
        <v>524</v>
      </c>
      <c r="R266" s="56">
        <f t="shared" si="110"/>
        <v>325846</v>
      </c>
      <c r="S266" s="56">
        <f t="shared" si="105"/>
        <v>0</v>
      </c>
      <c r="T266" s="71"/>
    </row>
    <row r="267" spans="2:20" ht="32.450000000000003" customHeight="1" x14ac:dyDescent="0.25">
      <c r="B267" s="67"/>
      <c r="C267" s="215" t="s">
        <v>670</v>
      </c>
      <c r="D267" s="150" t="s">
        <v>671</v>
      </c>
      <c r="E267" s="70">
        <v>3000</v>
      </c>
      <c r="F267" s="70">
        <f t="shared" si="106"/>
        <v>3000</v>
      </c>
      <c r="G267" s="56"/>
      <c r="H267" s="71"/>
      <c r="I267" s="56">
        <f t="shared" si="107"/>
        <v>3000</v>
      </c>
      <c r="J267" s="56">
        <f t="shared" si="102"/>
        <v>0</v>
      </c>
      <c r="K267" s="71"/>
      <c r="L267" s="56">
        <f t="shared" si="108"/>
        <v>3000</v>
      </c>
      <c r="M267" s="56">
        <f t="shared" si="103"/>
        <v>0</v>
      </c>
      <c r="N267" s="71"/>
      <c r="O267" s="56">
        <f t="shared" si="109"/>
        <v>3000</v>
      </c>
      <c r="P267" s="56">
        <f t="shared" si="104"/>
        <v>0</v>
      </c>
      <c r="Q267" s="71"/>
      <c r="R267" s="56">
        <f t="shared" si="110"/>
        <v>3000</v>
      </c>
      <c r="S267" s="56">
        <f t="shared" si="105"/>
        <v>0</v>
      </c>
      <c r="T267" s="71"/>
    </row>
    <row r="268" spans="2:20" ht="31.9" customHeight="1" x14ac:dyDescent="0.25">
      <c r="B268" s="67" t="s">
        <v>672</v>
      </c>
      <c r="C268" s="215" t="s">
        <v>673</v>
      </c>
      <c r="D268" s="150" t="s">
        <v>674</v>
      </c>
      <c r="E268" s="70">
        <v>16292</v>
      </c>
      <c r="F268" s="70">
        <f t="shared" si="106"/>
        <v>16292</v>
      </c>
      <c r="G268" s="56">
        <f t="shared" si="101"/>
        <v>0</v>
      </c>
      <c r="H268" s="71"/>
      <c r="I268" s="56">
        <f t="shared" si="107"/>
        <v>16292</v>
      </c>
      <c r="J268" s="56">
        <f t="shared" si="102"/>
        <v>0</v>
      </c>
      <c r="K268" s="71"/>
      <c r="L268" s="56">
        <f t="shared" si="108"/>
        <v>16292</v>
      </c>
      <c r="M268" s="56">
        <f t="shared" si="103"/>
        <v>0</v>
      </c>
      <c r="N268" s="71"/>
      <c r="O268" s="56">
        <f t="shared" si="109"/>
        <v>16292</v>
      </c>
      <c r="P268" s="56">
        <f t="shared" si="104"/>
        <v>0</v>
      </c>
      <c r="Q268" s="71"/>
      <c r="R268" s="56">
        <f t="shared" si="110"/>
        <v>16292</v>
      </c>
      <c r="S268" s="56">
        <f t="shared" si="105"/>
        <v>0</v>
      </c>
      <c r="T268" s="71"/>
    </row>
    <row r="269" spans="2:20" ht="27" customHeight="1" x14ac:dyDescent="0.25">
      <c r="B269" s="67" t="s">
        <v>675</v>
      </c>
      <c r="C269" s="215" t="s">
        <v>676</v>
      </c>
      <c r="D269" s="150" t="s">
        <v>226</v>
      </c>
      <c r="E269" s="70">
        <v>1049</v>
      </c>
      <c r="F269" s="70">
        <f t="shared" si="106"/>
        <v>1049</v>
      </c>
      <c r="G269" s="56">
        <f t="shared" si="101"/>
        <v>0</v>
      </c>
      <c r="H269" s="71"/>
      <c r="I269" s="56">
        <f t="shared" si="107"/>
        <v>1049</v>
      </c>
      <c r="J269" s="56">
        <f t="shared" si="102"/>
        <v>0</v>
      </c>
      <c r="K269" s="71"/>
      <c r="L269" s="56">
        <f t="shared" si="108"/>
        <v>1049</v>
      </c>
      <c r="M269" s="56">
        <f t="shared" si="103"/>
        <v>0</v>
      </c>
      <c r="N269" s="71"/>
      <c r="O269" s="56">
        <f t="shared" si="109"/>
        <v>1049</v>
      </c>
      <c r="P269" s="56">
        <f t="shared" si="104"/>
        <v>0</v>
      </c>
      <c r="Q269" s="71"/>
      <c r="R269" s="56">
        <f t="shared" si="110"/>
        <v>1049</v>
      </c>
      <c r="S269" s="56">
        <f t="shared" si="105"/>
        <v>0</v>
      </c>
      <c r="T269" s="71"/>
    </row>
    <row r="270" spans="2:20" ht="57.6" customHeight="1" x14ac:dyDescent="0.25">
      <c r="B270" s="67" t="s">
        <v>677</v>
      </c>
      <c r="C270" s="215" t="s">
        <v>678</v>
      </c>
      <c r="D270" s="150" t="s">
        <v>679</v>
      </c>
      <c r="E270" s="70">
        <v>7000</v>
      </c>
      <c r="F270" s="70">
        <f t="shared" si="106"/>
        <v>7000</v>
      </c>
      <c r="G270" s="56">
        <f t="shared" si="101"/>
        <v>0</v>
      </c>
      <c r="H270" s="71"/>
      <c r="I270" s="56">
        <f t="shared" si="107"/>
        <v>7000</v>
      </c>
      <c r="J270" s="56">
        <f t="shared" si="102"/>
        <v>0</v>
      </c>
      <c r="K270" s="71"/>
      <c r="L270" s="56">
        <f t="shared" si="108"/>
        <v>7000</v>
      </c>
      <c r="M270" s="56">
        <f t="shared" si="103"/>
        <v>0</v>
      </c>
      <c r="N270" s="71"/>
      <c r="O270" s="56">
        <f t="shared" si="109"/>
        <v>7000</v>
      </c>
      <c r="P270" s="56">
        <f t="shared" si="104"/>
        <v>0</v>
      </c>
      <c r="Q270" s="71"/>
      <c r="R270" s="56">
        <f t="shared" si="110"/>
        <v>7000</v>
      </c>
      <c r="S270" s="56">
        <f t="shared" si="105"/>
        <v>0</v>
      </c>
      <c r="T270" s="71"/>
    </row>
    <row r="271" spans="2:20" ht="27" customHeight="1" x14ac:dyDescent="0.25">
      <c r="C271" s="200" t="s">
        <v>680</v>
      </c>
      <c r="D271" s="150" t="s">
        <v>214</v>
      </c>
      <c r="E271" s="188">
        <v>106243</v>
      </c>
      <c r="F271" s="188">
        <f>F272+F273</f>
        <v>106243</v>
      </c>
      <c r="G271" s="56">
        <f t="shared" si="101"/>
        <v>0</v>
      </c>
      <c r="H271" s="71"/>
      <c r="I271" s="187">
        <f>I272+I273</f>
        <v>106243</v>
      </c>
      <c r="J271" s="56">
        <f t="shared" si="102"/>
        <v>0</v>
      </c>
      <c r="K271" s="71"/>
      <c r="L271" s="187">
        <f>L272+L273</f>
        <v>106243</v>
      </c>
      <c r="M271" s="56">
        <f t="shared" si="103"/>
        <v>0</v>
      </c>
      <c r="N271" s="71"/>
      <c r="O271" s="187">
        <f>O272+O273</f>
        <v>106243</v>
      </c>
      <c r="P271" s="56">
        <f t="shared" si="104"/>
        <v>0</v>
      </c>
      <c r="Q271" s="71"/>
      <c r="R271" s="187">
        <f>R272+R273</f>
        <v>106243</v>
      </c>
      <c r="S271" s="56">
        <f t="shared" si="105"/>
        <v>0</v>
      </c>
      <c r="T271" s="71"/>
    </row>
    <row r="272" spans="2:20" ht="14.45" customHeight="1" x14ac:dyDescent="0.25">
      <c r="B272" s="67" t="s">
        <v>681</v>
      </c>
      <c r="C272" s="148" t="s">
        <v>682</v>
      </c>
      <c r="D272" s="107" t="s">
        <v>683</v>
      </c>
      <c r="E272" s="34">
        <v>70943</v>
      </c>
      <c r="F272" s="34">
        <f>ROUND(E272,0)</f>
        <v>70943</v>
      </c>
      <c r="G272" s="33">
        <f t="shared" si="101"/>
        <v>0</v>
      </c>
      <c r="H272" s="51"/>
      <c r="I272" s="33">
        <f>ROUND(F272,0)</f>
        <v>70943</v>
      </c>
      <c r="J272" s="33">
        <f t="shared" si="102"/>
        <v>0</v>
      </c>
      <c r="K272" s="51"/>
      <c r="L272" s="33">
        <f>ROUND(I272,0)</f>
        <v>70943</v>
      </c>
      <c r="M272" s="33">
        <f t="shared" si="103"/>
        <v>0</v>
      </c>
      <c r="N272" s="51"/>
      <c r="O272" s="33">
        <f>ROUND(L272,0)</f>
        <v>70943</v>
      </c>
      <c r="P272" s="33">
        <f t="shared" si="104"/>
        <v>0</v>
      </c>
      <c r="Q272" s="51"/>
      <c r="R272" s="33">
        <f>ROUND(O272,0)</f>
        <v>70943</v>
      </c>
      <c r="S272" s="33">
        <f t="shared" si="105"/>
        <v>0</v>
      </c>
      <c r="T272" s="51"/>
    </row>
    <row r="273" spans="2:20" s="131" customFormat="1" ht="15" customHeight="1" thickBot="1" x14ac:dyDescent="0.3">
      <c r="B273" s="67" t="s">
        <v>684</v>
      </c>
      <c r="C273" s="148" t="s">
        <v>685</v>
      </c>
      <c r="D273" s="107" t="s">
        <v>686</v>
      </c>
      <c r="E273" s="34">
        <v>35300</v>
      </c>
      <c r="F273" s="34">
        <f>ROUND(E273,0)</f>
        <v>35300</v>
      </c>
      <c r="G273" s="33">
        <f t="shared" si="101"/>
        <v>0</v>
      </c>
      <c r="H273" s="51"/>
      <c r="I273" s="33">
        <f>ROUND(F273,0)</f>
        <v>35300</v>
      </c>
      <c r="J273" s="33">
        <f t="shared" si="102"/>
        <v>0</v>
      </c>
      <c r="K273" s="51"/>
      <c r="L273" s="33">
        <f>ROUND(I273,0)</f>
        <v>35300</v>
      </c>
      <c r="M273" s="33">
        <f t="shared" si="103"/>
        <v>0</v>
      </c>
      <c r="N273" s="51"/>
      <c r="O273" s="33">
        <f>ROUND(L273,0)</f>
        <v>35300</v>
      </c>
      <c r="P273" s="33">
        <f t="shared" si="104"/>
        <v>0</v>
      </c>
      <c r="Q273" s="51"/>
      <c r="R273" s="33">
        <f>ROUND(O273,0)</f>
        <v>35300</v>
      </c>
      <c r="S273" s="33">
        <f t="shared" si="105"/>
        <v>0</v>
      </c>
      <c r="T273" s="51"/>
    </row>
    <row r="274" spans="2:20" s="131" customFormat="1" ht="17.45" hidden="1" customHeight="1" outlineLevel="1" thickBot="1" x14ac:dyDescent="0.25">
      <c r="C274" s="144" t="s">
        <v>687</v>
      </c>
      <c r="D274" s="145" t="s">
        <v>688</v>
      </c>
      <c r="E274" s="40">
        <v>0</v>
      </c>
      <c r="F274" s="40">
        <f>SUM(F275:F276)</f>
        <v>0</v>
      </c>
      <c r="G274" s="39">
        <f t="shared" si="101"/>
        <v>0</v>
      </c>
      <c r="H274" s="41"/>
      <c r="I274" s="39">
        <f>SUM(I275:I276)</f>
        <v>0</v>
      </c>
      <c r="J274" s="39">
        <f t="shared" si="102"/>
        <v>0</v>
      </c>
      <c r="K274" s="41"/>
      <c r="L274" s="39">
        <f>SUM(L275:L276)</f>
        <v>0</v>
      </c>
      <c r="M274" s="39">
        <f t="shared" si="103"/>
        <v>0</v>
      </c>
      <c r="N274" s="41"/>
      <c r="O274" s="39">
        <f>SUM(O275:O276)</f>
        <v>0</v>
      </c>
      <c r="P274" s="39">
        <f t="shared" si="104"/>
        <v>0</v>
      </c>
      <c r="Q274" s="41"/>
      <c r="R274" s="39">
        <f>SUM(R275:R276)</f>
        <v>0</v>
      </c>
      <c r="S274" s="39">
        <f t="shared" si="105"/>
        <v>0</v>
      </c>
      <c r="T274" s="41"/>
    </row>
    <row r="275" spans="2:20" ht="17.25" hidden="1" customHeight="1" outlineLevel="1" thickBot="1" x14ac:dyDescent="0.3">
      <c r="C275" s="139" t="s">
        <v>128</v>
      </c>
      <c r="D275" s="140" t="s">
        <v>689</v>
      </c>
      <c r="E275" s="70"/>
      <c r="F275" s="70"/>
      <c r="G275" s="56">
        <f t="shared" si="101"/>
        <v>0</v>
      </c>
      <c r="H275" s="71"/>
      <c r="I275" s="56"/>
      <c r="J275" s="56">
        <f t="shared" si="102"/>
        <v>0</v>
      </c>
      <c r="K275" s="71"/>
      <c r="L275" s="56"/>
      <c r="M275" s="56">
        <f t="shared" si="103"/>
        <v>0</v>
      </c>
      <c r="N275" s="71"/>
      <c r="O275" s="56"/>
      <c r="P275" s="56">
        <f t="shared" si="104"/>
        <v>0</v>
      </c>
      <c r="Q275" s="71"/>
      <c r="R275" s="56"/>
      <c r="S275" s="56">
        <f t="shared" si="105"/>
        <v>0</v>
      </c>
      <c r="T275" s="71"/>
    </row>
    <row r="276" spans="2:20" ht="15.75" hidden="1" outlineLevel="1" thickBot="1" x14ac:dyDescent="0.3">
      <c r="C276" s="139" t="s">
        <v>194</v>
      </c>
      <c r="D276" s="140" t="s">
        <v>690</v>
      </c>
      <c r="E276" s="70"/>
      <c r="F276" s="70"/>
      <c r="G276" s="56">
        <f t="shared" si="101"/>
        <v>0</v>
      </c>
      <c r="H276" s="71"/>
      <c r="I276" s="56"/>
      <c r="J276" s="56">
        <f t="shared" si="102"/>
        <v>0</v>
      </c>
      <c r="K276" s="71"/>
      <c r="L276" s="56"/>
      <c r="M276" s="56">
        <f t="shared" si="103"/>
        <v>0</v>
      </c>
      <c r="N276" s="71"/>
      <c r="O276" s="56"/>
      <c r="P276" s="56">
        <f t="shared" si="104"/>
        <v>0</v>
      </c>
      <c r="Q276" s="71"/>
      <c r="R276" s="56"/>
      <c r="S276" s="56">
        <f t="shared" si="105"/>
        <v>0</v>
      </c>
      <c r="T276" s="71"/>
    </row>
    <row r="277" spans="2:20" s="131" customFormat="1" ht="30" customHeight="1" collapsed="1" thickBot="1" x14ac:dyDescent="0.25">
      <c r="C277" s="216"/>
      <c r="D277" s="217" t="s">
        <v>691</v>
      </c>
      <c r="E277" s="219">
        <v>54533532.808720239</v>
      </c>
      <c r="F277" s="219">
        <f>F133+F143+F145+F146+F151+F153+F188+F201+F220+F274+0.5</f>
        <v>54591888.5</v>
      </c>
      <c r="G277" s="218">
        <f t="shared" si="101"/>
        <v>58355.691279761493</v>
      </c>
      <c r="H277" s="220"/>
      <c r="I277" s="218">
        <f>I133+I143+I145+I146+I151+I153+I188+I201+I220+I274+0.5</f>
        <v>55068746.5</v>
      </c>
      <c r="J277" s="218">
        <f t="shared" si="102"/>
        <v>476858</v>
      </c>
      <c r="K277" s="220"/>
      <c r="L277" s="218">
        <f>L133+L143+L145+L146+L151+L153+L188+L201+L220+L274+0.5</f>
        <v>55226538.5</v>
      </c>
      <c r="M277" s="218">
        <f t="shared" si="103"/>
        <v>157792</v>
      </c>
      <c r="N277" s="220"/>
      <c r="O277" s="218">
        <f>O133+O143+O145+O146+O151+O153+O188+O201+O220+O274+0.5</f>
        <v>55344618.5</v>
      </c>
      <c r="P277" s="218">
        <f t="shared" si="104"/>
        <v>118080</v>
      </c>
      <c r="Q277" s="220"/>
      <c r="R277" s="218">
        <f>R133+R143+R145+R146+R151+R153+R188+R201+R220+R274+0.5</f>
        <v>53843714.5</v>
      </c>
      <c r="S277" s="218">
        <f t="shared" si="105"/>
        <v>-1500904</v>
      </c>
      <c r="T277" s="220"/>
    </row>
    <row r="278" spans="2:20" s="30" customFormat="1" ht="15.75" customHeight="1" thickBot="1" x14ac:dyDescent="0.3">
      <c r="C278" s="144" t="s">
        <v>252</v>
      </c>
      <c r="D278" s="145" t="s">
        <v>692</v>
      </c>
      <c r="E278" s="40">
        <v>3601890.1379218102</v>
      </c>
      <c r="F278" s="40">
        <f>ROUND(E278,0)</f>
        <v>3601890</v>
      </c>
      <c r="G278" s="39">
        <f t="shared" si="101"/>
        <v>-0.13792181015014648</v>
      </c>
      <c r="H278" s="49"/>
      <c r="I278" s="39">
        <f>ROUND(F278,0)</f>
        <v>3601890</v>
      </c>
      <c r="J278" s="39">
        <f t="shared" si="102"/>
        <v>0</v>
      </c>
      <c r="K278" s="49"/>
      <c r="L278" s="39">
        <f>ROUND(I278,0)</f>
        <v>3601890</v>
      </c>
      <c r="M278" s="39">
        <f t="shared" si="103"/>
        <v>0</v>
      </c>
      <c r="N278" s="49"/>
      <c r="O278" s="39">
        <f>ROUND(L278,0)</f>
        <v>3601890</v>
      </c>
      <c r="P278" s="39">
        <f t="shared" si="104"/>
        <v>0</v>
      </c>
      <c r="Q278" s="49"/>
      <c r="R278" s="39">
        <f>ROUND(O278,0)</f>
        <v>3601890</v>
      </c>
      <c r="S278" s="39">
        <f t="shared" si="105"/>
        <v>0</v>
      </c>
      <c r="T278" s="49"/>
    </row>
    <row r="279" spans="2:20" ht="15.75" thickBot="1" x14ac:dyDescent="0.3">
      <c r="C279" s="216"/>
      <c r="D279" s="217" t="s">
        <v>693</v>
      </c>
      <c r="E279" s="222">
        <v>58135422.946642049</v>
      </c>
      <c r="F279" s="222">
        <f>F277+F278</f>
        <v>58193778.5</v>
      </c>
      <c r="G279" s="221">
        <f t="shared" si="101"/>
        <v>58355.553357951343</v>
      </c>
      <c r="H279" s="223"/>
      <c r="I279" s="221">
        <f>I277+I278</f>
        <v>58670636.5</v>
      </c>
      <c r="J279" s="221">
        <f t="shared" si="102"/>
        <v>476858</v>
      </c>
      <c r="K279" s="223"/>
      <c r="L279" s="221">
        <f>L277+L278</f>
        <v>58828428.5</v>
      </c>
      <c r="M279" s="221">
        <f t="shared" si="103"/>
        <v>157792</v>
      </c>
      <c r="N279" s="223"/>
      <c r="O279" s="221">
        <f>O277+O278</f>
        <v>58946508.5</v>
      </c>
      <c r="P279" s="221">
        <f t="shared" si="104"/>
        <v>118080</v>
      </c>
      <c r="Q279" s="223"/>
      <c r="R279" s="221">
        <f>R277+R278</f>
        <v>57445604.5</v>
      </c>
      <c r="S279" s="221">
        <f t="shared" si="105"/>
        <v>-1500904</v>
      </c>
      <c r="T279" s="223"/>
    </row>
    <row r="280" spans="2:20" ht="16.5" thickTop="1" thickBot="1" x14ac:dyDescent="0.3">
      <c r="C280" s="224" t="s">
        <v>694</v>
      </c>
      <c r="D280" s="225" t="s">
        <v>695</v>
      </c>
      <c r="E280" s="227">
        <v>26873.285557955503</v>
      </c>
      <c r="F280" s="227">
        <f>F127-F279-0.2</f>
        <v>26873.3</v>
      </c>
      <c r="G280" s="226">
        <f t="shared" si="101"/>
        <v>1.4442044495808659E-2</v>
      </c>
      <c r="H280" s="228"/>
      <c r="I280" s="226">
        <f>I127-I279-0.2</f>
        <v>43996.3</v>
      </c>
      <c r="J280" s="226">
        <f t="shared" si="102"/>
        <v>17123.000000000004</v>
      </c>
      <c r="K280" s="228"/>
      <c r="L280" s="226">
        <f>L127-L279-0.2</f>
        <v>47155.3</v>
      </c>
      <c r="M280" s="226">
        <f t="shared" si="103"/>
        <v>3159</v>
      </c>
      <c r="N280" s="228"/>
      <c r="O280" s="226">
        <f>O127-O279-0.2</f>
        <v>47075.3</v>
      </c>
      <c r="P280" s="226">
        <f t="shared" si="104"/>
        <v>-80</v>
      </c>
      <c r="Q280" s="228"/>
      <c r="R280" s="226">
        <f>R127-R279-0.2</f>
        <v>44190.3</v>
      </c>
      <c r="S280" s="226">
        <f t="shared" si="105"/>
        <v>-2885</v>
      </c>
      <c r="T280" s="228"/>
    </row>
  </sheetData>
  <mergeCells count="6">
    <mergeCell ref="T57:T58"/>
    <mergeCell ref="C130:D130"/>
    <mergeCell ref="C131:D131"/>
    <mergeCell ref="K166:K167"/>
    <mergeCell ref="C2:D2"/>
    <mergeCell ref="C3:D3"/>
  </mergeCells>
  <conditionalFormatting sqref="E280:G280">
    <cfRule type="cellIs" dxfId="4" priority="6" operator="lessThan">
      <formula>0</formula>
    </cfRule>
  </conditionalFormatting>
  <conditionalFormatting sqref="I280:J280">
    <cfRule type="cellIs" dxfId="3" priority="4" operator="lessThan">
      <formula>0</formula>
    </cfRule>
  </conditionalFormatting>
  <conditionalFormatting sqref="L280:M280">
    <cfRule type="cellIs" dxfId="2" priority="3" operator="lessThan">
      <formula>0</formula>
    </cfRule>
  </conditionalFormatting>
  <conditionalFormatting sqref="O280:P280">
    <cfRule type="cellIs" dxfId="1" priority="2" operator="lessThan">
      <formula>0</formula>
    </cfRule>
  </conditionalFormatting>
  <conditionalFormatting sqref="R280:S280">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5E064-8FC3-4AD9-957F-12A8FBA3338E}">
  <sheetPr>
    <tabColor rgb="FF7030A0"/>
    <pageSetUpPr fitToPage="1"/>
  </sheetPr>
  <dimension ref="A1:BF184"/>
  <sheetViews>
    <sheetView topLeftCell="C1" zoomScaleNormal="100" workbookViewId="0">
      <pane ySplit="5" topLeftCell="A6" activePane="bottomLeft" state="frozen"/>
      <selection pane="bottomLeft" activeCell="A126" sqref="A126:XFD127"/>
    </sheetView>
  </sheetViews>
  <sheetFormatPr defaultRowHeight="15" outlineLevelRow="1" outlineLevelCol="1" x14ac:dyDescent="0.25"/>
  <cols>
    <col min="1" max="1" width="5" style="229" hidden="1" customWidth="1" outlineLevel="1"/>
    <col min="2" max="2" width="3.5703125" style="229" hidden="1" customWidth="1" outlineLevel="1"/>
    <col min="3" max="3" width="10.85546875" style="229" customWidth="1" collapsed="1"/>
    <col min="4" max="4" width="37.28515625" style="229" customWidth="1"/>
    <col min="5" max="5" width="13.7109375" style="229" customWidth="1"/>
    <col min="6" max="6" width="11.85546875" style="229" customWidth="1"/>
    <col min="7" max="7" width="11.28515625" style="229" customWidth="1"/>
    <col min="8" max="8" width="12.7109375" style="229" customWidth="1"/>
    <col min="9" max="9" width="6.42578125" style="229" customWidth="1"/>
    <col min="10" max="10" width="13.28515625" style="229" customWidth="1"/>
    <col min="11" max="12" width="13.28515625" style="229" hidden="1" customWidth="1" outlineLevel="1"/>
    <col min="13" max="13" width="6" style="229" hidden="1" customWidth="1" outlineLevel="1"/>
    <col min="14" max="16" width="13.28515625" style="229" hidden="1" customWidth="1" outlineLevel="1"/>
    <col min="17" max="17" width="17.5703125" style="229" customWidth="1" collapsed="1"/>
    <col min="18" max="18" width="11.7109375" style="229" hidden="1" customWidth="1" outlineLevel="1"/>
    <col min="19" max="19" width="11.7109375" style="233" hidden="1" customWidth="1" outlineLevel="1"/>
    <col min="20" max="20" width="12.28515625" style="233" customWidth="1" collapsed="1"/>
    <col min="21" max="26" width="13.28515625" style="229" bestFit="1" customWidth="1"/>
    <col min="27" max="29" width="13.28515625" style="229" hidden="1" customWidth="1" outlineLevel="1"/>
    <col min="30" max="44" width="13.140625" style="229" hidden="1" customWidth="1" outlineLevel="1"/>
    <col min="45" max="47" width="11.7109375" style="229" hidden="1" customWidth="1" outlineLevel="1"/>
    <col min="48" max="50" width="10.7109375" style="229" hidden="1" customWidth="1" outlineLevel="1"/>
    <col min="51" max="51" width="12" style="229" hidden="1" customWidth="1" outlineLevel="1"/>
    <col min="52" max="52" width="8.85546875" style="229" hidden="1" customWidth="1" outlineLevel="1"/>
    <col min="53" max="54" width="13.28515625" style="229" bestFit="1" customWidth="1" collapsed="1"/>
    <col min="55" max="55" width="9.140625" style="229"/>
    <col min="56" max="56" width="9.140625" style="229" hidden="1" customWidth="1" outlineLevel="1"/>
    <col min="57" max="57" width="10.7109375" style="229" hidden="1" customWidth="1" outlineLevel="1"/>
    <col min="58" max="58" width="9.140625" style="229" collapsed="1"/>
    <col min="59" max="16384" width="9.140625" style="229"/>
  </cols>
  <sheetData>
    <row r="1" spans="2:57" ht="18.75" x14ac:dyDescent="0.3">
      <c r="C1" s="230" t="s">
        <v>696</v>
      </c>
      <c r="K1" s="231"/>
      <c r="L1" s="231"/>
      <c r="M1" s="231"/>
      <c r="N1" s="231"/>
      <c r="O1" s="231"/>
      <c r="Q1" s="232"/>
      <c r="R1" s="232"/>
    </row>
    <row r="2" spans="2:57" ht="18.75" x14ac:dyDescent="0.3">
      <c r="C2" s="230"/>
      <c r="K2" s="232"/>
      <c r="L2" s="232"/>
      <c r="M2" s="232"/>
      <c r="N2" s="232"/>
      <c r="O2" s="232"/>
      <c r="Q2" s="232"/>
      <c r="R2" s="232"/>
      <c r="S2" s="232" t="s">
        <v>697</v>
      </c>
      <c r="T2" s="232"/>
      <c r="U2" s="234"/>
      <c r="V2" s="234"/>
      <c r="W2" s="234"/>
      <c r="X2" s="234"/>
      <c r="Y2" s="234"/>
      <c r="Z2" s="234"/>
      <c r="BA2" s="234"/>
    </row>
    <row r="3" spans="2:57" ht="15.75" x14ac:dyDescent="0.25">
      <c r="C3" s="235" t="s">
        <v>698</v>
      </c>
      <c r="K3" s="231"/>
      <c r="L3" s="231"/>
      <c r="M3" s="231"/>
      <c r="N3" s="231"/>
      <c r="O3" s="231"/>
      <c r="P3" s="231"/>
      <c r="Q3" s="232"/>
      <c r="R3" s="232"/>
      <c r="S3" s="232"/>
      <c r="T3" s="232"/>
      <c r="AC3" s="236"/>
      <c r="AD3" s="237"/>
    </row>
    <row r="4" spans="2:57" hidden="1" outlineLevel="1" x14ac:dyDescent="0.25">
      <c r="C4" s="238"/>
      <c r="K4" s="239"/>
      <c r="L4" s="239"/>
      <c r="M4" s="239"/>
      <c r="N4" s="239"/>
      <c r="O4" s="239"/>
      <c r="P4" s="240">
        <v>0</v>
      </c>
      <c r="Q4" s="232"/>
      <c r="R4" s="232"/>
      <c r="S4" s="232"/>
      <c r="T4" s="232"/>
      <c r="V4" s="234"/>
      <c r="W4" s="234"/>
      <c r="X4" s="234"/>
      <c r="Y4" s="234"/>
      <c r="Z4" s="234"/>
      <c r="AA4" s="234"/>
      <c r="AB4" s="234"/>
      <c r="AC4" s="234"/>
      <c r="AD4" s="234"/>
    </row>
    <row r="5" spans="2:57" s="248" customFormat="1" ht="71.25" collapsed="1" x14ac:dyDescent="0.2">
      <c r="B5" s="241" t="s">
        <v>699</v>
      </c>
      <c r="C5" s="241" t="s">
        <v>700</v>
      </c>
      <c r="D5" s="241" t="s">
        <v>701</v>
      </c>
      <c r="E5" s="242" t="s">
        <v>702</v>
      </c>
      <c r="F5" s="242" t="s">
        <v>703</v>
      </c>
      <c r="G5" s="242" t="s">
        <v>704</v>
      </c>
      <c r="H5" s="242" t="s">
        <v>705</v>
      </c>
      <c r="I5" s="242" t="s">
        <v>706</v>
      </c>
      <c r="J5" s="242" t="s">
        <v>707</v>
      </c>
      <c r="K5" s="243" t="s">
        <v>708</v>
      </c>
      <c r="L5" s="243" t="s">
        <v>709</v>
      </c>
      <c r="M5" s="243" t="s">
        <v>710</v>
      </c>
      <c r="N5" s="243" t="s">
        <v>711</v>
      </c>
      <c r="O5" s="243" t="s">
        <v>712</v>
      </c>
      <c r="P5" s="243" t="s">
        <v>713</v>
      </c>
      <c r="Q5" s="244" t="s">
        <v>714</v>
      </c>
      <c r="R5" s="245" t="s">
        <v>715</v>
      </c>
      <c r="S5" s="246" t="s">
        <v>716</v>
      </c>
      <c r="T5" s="247">
        <v>2023</v>
      </c>
      <c r="U5" s="241">
        <v>2024</v>
      </c>
      <c r="V5" s="241">
        <v>2025</v>
      </c>
      <c r="W5" s="241">
        <v>2026</v>
      </c>
      <c r="X5" s="241">
        <v>2027</v>
      </c>
      <c r="Y5" s="241">
        <v>2028</v>
      </c>
      <c r="Z5" s="241">
        <v>2029</v>
      </c>
      <c r="AA5" s="241">
        <v>2030</v>
      </c>
      <c r="AB5" s="241">
        <v>2031</v>
      </c>
      <c r="AC5" s="241">
        <v>2032</v>
      </c>
      <c r="AD5" s="241">
        <v>2033</v>
      </c>
      <c r="AE5" s="241">
        <v>2034</v>
      </c>
      <c r="AF5" s="241">
        <v>2035</v>
      </c>
      <c r="AG5" s="241">
        <v>2036</v>
      </c>
      <c r="AH5" s="241">
        <v>2037</v>
      </c>
      <c r="AI5" s="241">
        <v>2038</v>
      </c>
      <c r="AJ5" s="241">
        <v>2039</v>
      </c>
      <c r="AK5" s="241">
        <v>2040</v>
      </c>
      <c r="AL5" s="241">
        <v>2041</v>
      </c>
      <c r="AM5" s="241">
        <v>2042</v>
      </c>
      <c r="AN5" s="241">
        <v>2043</v>
      </c>
      <c r="AO5" s="241">
        <v>2044</v>
      </c>
      <c r="AP5" s="241">
        <v>2045</v>
      </c>
      <c r="AQ5" s="241">
        <v>2046</v>
      </c>
      <c r="AR5" s="241">
        <v>2047</v>
      </c>
      <c r="AS5" s="241">
        <v>2048</v>
      </c>
      <c r="AT5" s="241">
        <v>2049</v>
      </c>
      <c r="AU5" s="241">
        <v>2050</v>
      </c>
      <c r="AV5" s="241">
        <v>2051</v>
      </c>
      <c r="AW5" s="241">
        <v>2052</v>
      </c>
      <c r="AX5" s="241">
        <v>2053</v>
      </c>
      <c r="AY5" s="242" t="s">
        <v>717</v>
      </c>
      <c r="BA5" s="249" t="s">
        <v>718</v>
      </c>
      <c r="BB5" s="242" t="s">
        <v>719</v>
      </c>
    </row>
    <row r="6" spans="2:57" s="257" customFormat="1" x14ac:dyDescent="0.25">
      <c r="B6" s="250" t="s">
        <v>720</v>
      </c>
      <c r="C6" s="250">
        <v>1</v>
      </c>
      <c r="D6" s="250" t="s">
        <v>721</v>
      </c>
      <c r="E6" s="250" t="s">
        <v>722</v>
      </c>
      <c r="F6" s="250" t="s">
        <v>723</v>
      </c>
      <c r="G6" s="250" t="s">
        <v>724</v>
      </c>
      <c r="H6" s="250" t="s">
        <v>725</v>
      </c>
      <c r="I6" s="250" t="s">
        <v>726</v>
      </c>
      <c r="J6" s="251">
        <v>2099988.0499999998</v>
      </c>
      <c r="K6" s="251">
        <v>1343825.59</v>
      </c>
      <c r="L6" s="251"/>
      <c r="M6" s="251"/>
      <c r="N6" s="250"/>
      <c r="O6" s="250"/>
      <c r="P6" s="250"/>
      <c r="Q6" s="252" t="s">
        <v>727</v>
      </c>
      <c r="R6" s="253">
        <v>48972.4</v>
      </c>
      <c r="S6" s="253">
        <v>48972.4</v>
      </c>
      <c r="T6" s="254">
        <f t="shared" ref="T6:T37" si="0">SUM(R6:S6)</f>
        <v>97944.8</v>
      </c>
      <c r="U6" s="254">
        <v>97944.8</v>
      </c>
      <c r="V6" s="254">
        <v>97944.8</v>
      </c>
      <c r="W6" s="254">
        <v>97944.8</v>
      </c>
      <c r="X6" s="254">
        <v>97944.8</v>
      </c>
      <c r="Y6" s="254">
        <v>97944.8</v>
      </c>
      <c r="Z6" s="254">
        <v>97944.8</v>
      </c>
      <c r="AA6" s="254">
        <v>97944.8</v>
      </c>
      <c r="AB6" s="254">
        <v>97944.8</v>
      </c>
      <c r="AC6" s="254">
        <v>97944.8</v>
      </c>
      <c r="AD6" s="254">
        <v>113829.75999999999</v>
      </c>
      <c r="AE6" s="254">
        <v>113829.75999999999</v>
      </c>
      <c r="AF6" s="254">
        <v>113829.75999999999</v>
      </c>
      <c r="AG6" s="254">
        <v>71860.709999999992</v>
      </c>
      <c r="AH6" s="254">
        <v>0</v>
      </c>
      <c r="AI6" s="254">
        <v>0</v>
      </c>
      <c r="AJ6" s="254">
        <v>0</v>
      </c>
      <c r="AK6" s="254">
        <v>0</v>
      </c>
      <c r="AL6" s="254">
        <v>0</v>
      </c>
      <c r="AM6" s="254">
        <v>0</v>
      </c>
      <c r="AN6" s="254">
        <v>0</v>
      </c>
      <c r="AO6" s="254">
        <v>0</v>
      </c>
      <c r="AP6" s="254">
        <v>0</v>
      </c>
      <c r="AQ6" s="254">
        <v>0</v>
      </c>
      <c r="AR6" s="254">
        <v>0</v>
      </c>
      <c r="AS6" s="254">
        <v>0</v>
      </c>
      <c r="AT6" s="254">
        <v>0</v>
      </c>
      <c r="AU6" s="254">
        <v>0</v>
      </c>
      <c r="AV6" s="254">
        <v>0</v>
      </c>
      <c r="AW6" s="254"/>
      <c r="AX6" s="254"/>
      <c r="AY6" s="255">
        <f t="shared" ref="AY6:AY37" si="1">SUM(T6:AX6)</f>
        <v>1392797.9900000002</v>
      </c>
      <c r="AZ6" s="236">
        <f t="shared" ref="AZ6:AZ37" si="2">AY6-SUM(T6:AX6)</f>
        <v>0</v>
      </c>
      <c r="BA6" s="256">
        <f t="shared" ref="BA6:BA69" si="3">SUM(AA6:AX6)</f>
        <v>707184.39</v>
      </c>
      <c r="BB6" s="255">
        <f t="shared" ref="BB6:BB69" si="4">SUM(T6:Z6,BA6)</f>
        <v>1392797.9900000002</v>
      </c>
      <c r="BD6" s="257" t="b">
        <f t="shared" ref="BD6:BD69" si="5">AY6=BB6</f>
        <v>1</v>
      </c>
      <c r="BE6" s="258">
        <f>BB6-K6-R6</f>
        <v>1.3824319466948509E-10</v>
      </c>
    </row>
    <row r="7" spans="2:57" x14ac:dyDescent="0.25">
      <c r="B7" s="259" t="s">
        <v>720</v>
      </c>
      <c r="C7" s="259"/>
      <c r="D7" s="259"/>
      <c r="E7" s="259"/>
      <c r="F7" s="259"/>
      <c r="G7" s="259"/>
      <c r="H7" s="259"/>
      <c r="I7" s="259"/>
      <c r="J7" s="260"/>
      <c r="K7" s="260"/>
      <c r="L7" s="260" t="s">
        <v>728</v>
      </c>
      <c r="M7" s="260"/>
      <c r="N7" s="261">
        <f>SUM(O7:P7)</f>
        <v>3.8879999999999999</v>
      </c>
      <c r="O7" s="261">
        <v>3.8879999999999999</v>
      </c>
      <c r="P7" s="261">
        <f>$P$4</f>
        <v>0</v>
      </c>
      <c r="Q7" s="261" t="s">
        <v>729</v>
      </c>
      <c r="R7" s="262">
        <v>11605.25</v>
      </c>
      <c r="S7" s="262">
        <v>12466.47</v>
      </c>
      <c r="T7" s="263">
        <f t="shared" si="0"/>
        <v>24071.72</v>
      </c>
      <c r="U7" s="263">
        <f>SUM(U6:$AV6)*$N7/100</f>
        <v>50343.892027200003</v>
      </c>
      <c r="V7" s="263">
        <f>SUM(V6:$AV6)*$N7/100</f>
        <v>46535.7982032</v>
      </c>
      <c r="W7" s="263">
        <f>SUM(W6:$AV6)*$N7/100</f>
        <v>42727.704379200004</v>
      </c>
      <c r="X7" s="263">
        <f>SUM(X6:$AV6)*$N7/100</f>
        <v>38919.610555200001</v>
      </c>
      <c r="Y7" s="263">
        <f>SUM(Y6:$AV6)*$N7/100</f>
        <v>35111.516731199998</v>
      </c>
      <c r="Z7" s="263">
        <f>SUM(Z6:$AV6)*$N7/100</f>
        <v>31303.422907199998</v>
      </c>
      <c r="AA7" s="263">
        <f>SUM(AA6:$AV6)*$N7/100</f>
        <v>27495.329083199998</v>
      </c>
      <c r="AB7" s="263">
        <f>SUM(AB6:$AV6)*$N7/100</f>
        <v>23687.235259199999</v>
      </c>
      <c r="AC7" s="263">
        <f>SUM(AC6:$AV6)*$N7/100</f>
        <v>19879.141435200003</v>
      </c>
      <c r="AD7" s="263">
        <f>SUM(AD6:$AV6)*$N7/100</f>
        <v>16071.0476112</v>
      </c>
      <c r="AE7" s="263">
        <f>SUM(AE6:$AV6)*$N7/100</f>
        <v>11645.346542399999</v>
      </c>
      <c r="AF7" s="263">
        <f>SUM(AF6:$AV6)*$N7/100</f>
        <v>7219.6454735999987</v>
      </c>
      <c r="AG7" s="263">
        <f>SUM(AG6:$AV6)*$N7/100</f>
        <v>2793.9444048</v>
      </c>
      <c r="AH7" s="263">
        <v>0</v>
      </c>
      <c r="AI7" s="263">
        <v>0</v>
      </c>
      <c r="AJ7" s="263">
        <v>0</v>
      </c>
      <c r="AK7" s="263">
        <v>0</v>
      </c>
      <c r="AL7" s="263">
        <v>0</v>
      </c>
      <c r="AM7" s="263">
        <v>0</v>
      </c>
      <c r="AN7" s="263">
        <v>0</v>
      </c>
      <c r="AO7" s="263">
        <v>0</v>
      </c>
      <c r="AP7" s="263">
        <v>0</v>
      </c>
      <c r="AQ7" s="263">
        <v>0</v>
      </c>
      <c r="AR7" s="263">
        <v>0</v>
      </c>
      <c r="AS7" s="263">
        <v>0</v>
      </c>
      <c r="AT7" s="263">
        <v>0</v>
      </c>
      <c r="AU7" s="263">
        <v>0</v>
      </c>
      <c r="AV7" s="263">
        <v>0</v>
      </c>
      <c r="AW7" s="263"/>
      <c r="AX7" s="263"/>
      <c r="AY7" s="264">
        <f t="shared" si="1"/>
        <v>377805.35461280006</v>
      </c>
      <c r="AZ7" s="236">
        <f t="shared" si="2"/>
        <v>0</v>
      </c>
      <c r="BA7" s="265">
        <f t="shared" si="3"/>
        <v>108791.68980960001</v>
      </c>
      <c r="BB7" s="264">
        <f t="shared" si="4"/>
        <v>377805.3546128</v>
      </c>
      <c r="BD7" s="257" t="b">
        <f t="shared" si="5"/>
        <v>1</v>
      </c>
    </row>
    <row r="8" spans="2:57" s="257" customFormat="1" x14ac:dyDescent="0.25">
      <c r="B8" s="250" t="s">
        <v>720</v>
      </c>
      <c r="C8" s="250">
        <v>2</v>
      </c>
      <c r="D8" s="250" t="s">
        <v>730</v>
      </c>
      <c r="E8" s="250" t="s">
        <v>731</v>
      </c>
      <c r="F8" s="250" t="s">
        <v>732</v>
      </c>
      <c r="G8" s="250" t="s">
        <v>733</v>
      </c>
      <c r="H8" s="250" t="s">
        <v>734</v>
      </c>
      <c r="I8" s="250" t="s">
        <v>726</v>
      </c>
      <c r="J8" s="251">
        <v>6628759.9400000004</v>
      </c>
      <c r="K8" s="251">
        <v>3337088.24</v>
      </c>
      <c r="L8" s="251"/>
      <c r="M8" s="251"/>
      <c r="N8" s="252"/>
      <c r="O8" s="252">
        <v>2.3380000000000001</v>
      </c>
      <c r="P8" s="252"/>
      <c r="Q8" s="252" t="s">
        <v>727</v>
      </c>
      <c r="R8" s="253">
        <v>196299.4</v>
      </c>
      <c r="S8" s="253">
        <v>196299.4</v>
      </c>
      <c r="T8" s="254">
        <f t="shared" si="0"/>
        <v>392598.8</v>
      </c>
      <c r="U8" s="254">
        <v>392598.8</v>
      </c>
      <c r="V8" s="254">
        <v>392598.8</v>
      </c>
      <c r="W8" s="254">
        <v>392598.8</v>
      </c>
      <c r="X8" s="254">
        <v>392598.8</v>
      </c>
      <c r="Y8" s="254">
        <v>392598.8</v>
      </c>
      <c r="Z8" s="254">
        <v>392598.8</v>
      </c>
      <c r="AA8" s="254">
        <v>392598.8</v>
      </c>
      <c r="AB8" s="254">
        <v>392597.24</v>
      </c>
      <c r="AC8" s="254">
        <v>0</v>
      </c>
      <c r="AD8" s="254">
        <v>0</v>
      </c>
      <c r="AE8" s="254">
        <v>0</v>
      </c>
      <c r="AF8" s="254">
        <v>0</v>
      </c>
      <c r="AG8" s="254">
        <v>0</v>
      </c>
      <c r="AH8" s="254">
        <v>0</v>
      </c>
      <c r="AI8" s="254">
        <v>0</v>
      </c>
      <c r="AJ8" s="254">
        <v>0</v>
      </c>
      <c r="AK8" s="254">
        <v>0</v>
      </c>
      <c r="AL8" s="254">
        <v>0</v>
      </c>
      <c r="AM8" s="254">
        <v>0</v>
      </c>
      <c r="AN8" s="254">
        <v>0</v>
      </c>
      <c r="AO8" s="254">
        <v>0</v>
      </c>
      <c r="AP8" s="254">
        <v>0</v>
      </c>
      <c r="AQ8" s="254">
        <v>0</v>
      </c>
      <c r="AR8" s="254">
        <v>0</v>
      </c>
      <c r="AS8" s="254">
        <v>0</v>
      </c>
      <c r="AT8" s="254">
        <v>0</v>
      </c>
      <c r="AU8" s="254">
        <v>0</v>
      </c>
      <c r="AV8" s="254">
        <v>0</v>
      </c>
      <c r="AW8" s="254"/>
      <c r="AX8" s="254"/>
      <c r="AY8" s="255">
        <f t="shared" si="1"/>
        <v>3533387.6399999997</v>
      </c>
      <c r="AZ8" s="236">
        <f t="shared" si="2"/>
        <v>0</v>
      </c>
      <c r="BA8" s="256">
        <f t="shared" si="3"/>
        <v>785196.04</v>
      </c>
      <c r="BB8" s="255">
        <f t="shared" si="4"/>
        <v>3533387.6399999997</v>
      </c>
      <c r="BD8" s="257" t="b">
        <f t="shared" si="5"/>
        <v>1</v>
      </c>
      <c r="BE8" s="258">
        <f>BB8-K8-R8</f>
        <v>-5.5297277867794037E-10</v>
      </c>
    </row>
    <row r="9" spans="2:57" x14ac:dyDescent="0.25">
      <c r="B9" s="259" t="s">
        <v>720</v>
      </c>
      <c r="C9" s="259"/>
      <c r="D9" s="259"/>
      <c r="E9" s="259"/>
      <c r="F9" s="259"/>
      <c r="G9" s="259"/>
      <c r="H9" s="259"/>
      <c r="I9" s="259"/>
      <c r="J9" s="260"/>
      <c r="K9" s="260"/>
      <c r="L9" s="266" t="s">
        <v>735</v>
      </c>
      <c r="M9" s="266"/>
      <c r="N9" s="261">
        <f>SUM(O9:P9)</f>
        <v>4.1500000000000004</v>
      </c>
      <c r="O9" s="267">
        <v>4.1500000000000004</v>
      </c>
      <c r="P9" s="261">
        <f>$P$4</f>
        <v>0</v>
      </c>
      <c r="Q9" s="261" t="s">
        <v>729</v>
      </c>
      <c r="R9" s="262">
        <v>62557.14</v>
      </c>
      <c r="S9" s="262">
        <v>21380.09</v>
      </c>
      <c r="T9" s="263">
        <f t="shared" si="0"/>
        <v>83937.23</v>
      </c>
      <c r="U9" s="263">
        <f>SUM(U8:$AV8)*$N9/100</f>
        <v>130342.73686</v>
      </c>
      <c r="V9" s="263">
        <f>SUM(V8:$AV8)*$N9/100</f>
        <v>114049.88666000002</v>
      </c>
      <c r="W9" s="263">
        <f>SUM(W8:$AV8)*$N9/100</f>
        <v>97757.036460000018</v>
      </c>
      <c r="X9" s="263">
        <f>SUM(X8:$AV8)*$N9/100</f>
        <v>81464.186260000002</v>
      </c>
      <c r="Y9" s="263">
        <f>SUM(Y8:$AV8)*$N9/100</f>
        <v>65171.336059999994</v>
      </c>
      <c r="Z9" s="263">
        <f>SUM(Z8:$AV8)*$N9/100</f>
        <v>48878.485860000001</v>
      </c>
      <c r="AA9" s="263">
        <f>SUM(AA8:$AV8)*$N9/100</f>
        <v>32585.635660000007</v>
      </c>
      <c r="AB9" s="263">
        <f>SUM(AB8:$AV8)*$N9/100</f>
        <v>16292.785460000001</v>
      </c>
      <c r="AC9" s="263">
        <f>SUM(AC8:$AV8)*$N9/100</f>
        <v>0</v>
      </c>
      <c r="AD9" s="263">
        <v>0</v>
      </c>
      <c r="AE9" s="263">
        <v>0</v>
      </c>
      <c r="AF9" s="263">
        <v>0</v>
      </c>
      <c r="AG9" s="263">
        <v>0</v>
      </c>
      <c r="AH9" s="263">
        <v>0</v>
      </c>
      <c r="AI9" s="263">
        <v>0</v>
      </c>
      <c r="AJ9" s="263">
        <v>0</v>
      </c>
      <c r="AK9" s="263">
        <v>0</v>
      </c>
      <c r="AL9" s="263">
        <v>0</v>
      </c>
      <c r="AM9" s="263">
        <v>0</v>
      </c>
      <c r="AN9" s="263">
        <v>0</v>
      </c>
      <c r="AO9" s="263">
        <v>0</v>
      </c>
      <c r="AP9" s="263">
        <v>0</v>
      </c>
      <c r="AQ9" s="263">
        <v>0</v>
      </c>
      <c r="AR9" s="263">
        <v>0</v>
      </c>
      <c r="AS9" s="263">
        <v>0</v>
      </c>
      <c r="AT9" s="263">
        <v>0</v>
      </c>
      <c r="AU9" s="263">
        <v>0</v>
      </c>
      <c r="AV9" s="263">
        <v>0</v>
      </c>
      <c r="AW9" s="263"/>
      <c r="AX9" s="263"/>
      <c r="AY9" s="264">
        <f t="shared" si="1"/>
        <v>670479.31928000005</v>
      </c>
      <c r="AZ9" s="236">
        <f t="shared" si="2"/>
        <v>0</v>
      </c>
      <c r="BA9" s="265">
        <f t="shared" si="3"/>
        <v>48878.421120000006</v>
      </c>
      <c r="BB9" s="264">
        <f t="shared" si="4"/>
        <v>670479.31927999994</v>
      </c>
      <c r="BD9" s="257" t="b">
        <f t="shared" si="5"/>
        <v>1</v>
      </c>
    </row>
    <row r="10" spans="2:57" s="257" customFormat="1" x14ac:dyDescent="0.25">
      <c r="B10" s="250" t="s">
        <v>720</v>
      </c>
      <c r="C10" s="250">
        <v>3</v>
      </c>
      <c r="D10" s="250" t="s">
        <v>736</v>
      </c>
      <c r="E10" s="250" t="s">
        <v>737</v>
      </c>
      <c r="F10" s="250" t="s">
        <v>738</v>
      </c>
      <c r="G10" s="250" t="s">
        <v>739</v>
      </c>
      <c r="H10" s="250" t="s">
        <v>740</v>
      </c>
      <c r="I10" s="250" t="s">
        <v>726</v>
      </c>
      <c r="J10" s="251">
        <v>871076.43</v>
      </c>
      <c r="K10" s="251">
        <v>453250.01</v>
      </c>
      <c r="L10" s="251"/>
      <c r="M10" s="251"/>
      <c r="N10" s="252"/>
      <c r="O10" s="252">
        <v>1.1990000000000001</v>
      </c>
      <c r="P10" s="252"/>
      <c r="Q10" s="252" t="s">
        <v>727</v>
      </c>
      <c r="R10" s="253">
        <v>26661.78</v>
      </c>
      <c r="S10" s="253">
        <v>26661.78</v>
      </c>
      <c r="T10" s="254">
        <f t="shared" si="0"/>
        <v>53323.56</v>
      </c>
      <c r="U10" s="254">
        <v>53323.56</v>
      </c>
      <c r="V10" s="254">
        <v>53323.56</v>
      </c>
      <c r="W10" s="254">
        <v>53323.56</v>
      </c>
      <c r="X10" s="254">
        <v>53323.56</v>
      </c>
      <c r="Y10" s="254">
        <v>53323.56</v>
      </c>
      <c r="Z10" s="254">
        <v>53323.56</v>
      </c>
      <c r="AA10" s="254">
        <v>53323.56</v>
      </c>
      <c r="AB10" s="254">
        <v>51223.4</v>
      </c>
      <c r="AC10" s="254">
        <v>2099.91</v>
      </c>
      <c r="AD10" s="254">
        <v>0</v>
      </c>
      <c r="AE10" s="254">
        <v>0</v>
      </c>
      <c r="AF10" s="254">
        <v>0</v>
      </c>
      <c r="AG10" s="254">
        <v>0</v>
      </c>
      <c r="AH10" s="254">
        <v>0</v>
      </c>
      <c r="AI10" s="254">
        <v>0</v>
      </c>
      <c r="AJ10" s="254">
        <v>0</v>
      </c>
      <c r="AK10" s="254">
        <v>0</v>
      </c>
      <c r="AL10" s="254">
        <v>0</v>
      </c>
      <c r="AM10" s="254">
        <v>0</v>
      </c>
      <c r="AN10" s="254">
        <v>0</v>
      </c>
      <c r="AO10" s="254">
        <v>0</v>
      </c>
      <c r="AP10" s="254">
        <v>0</v>
      </c>
      <c r="AQ10" s="254">
        <v>0</v>
      </c>
      <c r="AR10" s="254">
        <v>0</v>
      </c>
      <c r="AS10" s="254">
        <v>0</v>
      </c>
      <c r="AT10" s="254">
        <v>0</v>
      </c>
      <c r="AU10" s="254">
        <v>0</v>
      </c>
      <c r="AV10" s="254">
        <v>0</v>
      </c>
      <c r="AW10" s="254"/>
      <c r="AX10" s="254"/>
      <c r="AY10" s="255">
        <f t="shared" si="1"/>
        <v>479911.79</v>
      </c>
      <c r="AZ10" s="236">
        <f t="shared" si="2"/>
        <v>0</v>
      </c>
      <c r="BA10" s="256">
        <f t="shared" si="3"/>
        <v>106646.87</v>
      </c>
      <c r="BB10" s="255">
        <f t="shared" si="4"/>
        <v>479911.79</v>
      </c>
      <c r="BD10" s="257" t="b">
        <f t="shared" si="5"/>
        <v>1</v>
      </c>
      <c r="BE10" s="258">
        <f>BB10-K10-R10</f>
        <v>-2.9103830456733704E-11</v>
      </c>
    </row>
    <row r="11" spans="2:57" x14ac:dyDescent="0.25">
      <c r="B11" s="259" t="s">
        <v>720</v>
      </c>
      <c r="C11" s="259"/>
      <c r="D11" s="259"/>
      <c r="E11" s="259"/>
      <c r="F11" s="259"/>
      <c r="G11" s="259"/>
      <c r="H11" s="259"/>
      <c r="I11" s="259"/>
      <c r="J11" s="260"/>
      <c r="K11" s="260"/>
      <c r="L11" s="260" t="s">
        <v>741</v>
      </c>
      <c r="M11" s="260"/>
      <c r="N11" s="261">
        <f>SUM(O11:P11)</f>
        <v>4.1500000000000004</v>
      </c>
      <c r="O11" s="267">
        <v>4.1500000000000004</v>
      </c>
      <c r="P11" s="261">
        <f>$P$4</f>
        <v>0</v>
      </c>
      <c r="Q11" s="261" t="s">
        <v>729</v>
      </c>
      <c r="R11" s="262">
        <v>4357.3500000000004</v>
      </c>
      <c r="S11" s="262">
        <v>4578.09</v>
      </c>
      <c r="T11" s="263">
        <f t="shared" si="0"/>
        <v>8935.44</v>
      </c>
      <c r="U11" s="263">
        <f>SUM(U10:$AV10)*$N11/100</f>
        <v>17703.411545000003</v>
      </c>
      <c r="V11" s="263">
        <v>15376.41</v>
      </c>
      <c r="W11" s="263">
        <v>13137.43</v>
      </c>
      <c r="X11" s="263">
        <v>10896.919999999998</v>
      </c>
      <c r="Y11" s="263">
        <v>8679.44</v>
      </c>
      <c r="Z11" s="263">
        <v>6409.7699999999995</v>
      </c>
      <c r="AA11" s="263">
        <v>4166.21</v>
      </c>
      <c r="AB11" s="263">
        <v>1941.92</v>
      </c>
      <c r="AC11" s="263">
        <v>173.87</v>
      </c>
      <c r="AD11" s="263">
        <v>0</v>
      </c>
      <c r="AE11" s="263">
        <v>0</v>
      </c>
      <c r="AF11" s="263">
        <v>0</v>
      </c>
      <c r="AG11" s="263">
        <v>0</v>
      </c>
      <c r="AH11" s="263">
        <v>0</v>
      </c>
      <c r="AI11" s="263">
        <v>0</v>
      </c>
      <c r="AJ11" s="263">
        <v>0</v>
      </c>
      <c r="AK11" s="263">
        <v>0</v>
      </c>
      <c r="AL11" s="263">
        <v>0</v>
      </c>
      <c r="AM11" s="263">
        <v>0</v>
      </c>
      <c r="AN11" s="263">
        <v>0</v>
      </c>
      <c r="AO11" s="263">
        <v>0</v>
      </c>
      <c r="AP11" s="263">
        <v>0</v>
      </c>
      <c r="AQ11" s="263">
        <v>0</v>
      </c>
      <c r="AR11" s="263">
        <v>0</v>
      </c>
      <c r="AS11" s="263">
        <v>0</v>
      </c>
      <c r="AT11" s="263">
        <v>0</v>
      </c>
      <c r="AU11" s="263">
        <v>0</v>
      </c>
      <c r="AV11" s="263">
        <v>0</v>
      </c>
      <c r="AW11" s="263"/>
      <c r="AX11" s="263"/>
      <c r="AY11" s="264">
        <f t="shared" si="1"/>
        <v>87420.821544999999</v>
      </c>
      <c r="AZ11" s="236">
        <f t="shared" si="2"/>
        <v>0</v>
      </c>
      <c r="BA11" s="265">
        <f t="shared" si="3"/>
        <v>6282</v>
      </c>
      <c r="BB11" s="264">
        <f t="shared" si="4"/>
        <v>87420.821544999999</v>
      </c>
      <c r="BD11" s="257" t="b">
        <f t="shared" si="5"/>
        <v>1</v>
      </c>
    </row>
    <row r="12" spans="2:57" s="257" customFormat="1" x14ac:dyDescent="0.25">
      <c r="B12" s="250" t="s">
        <v>720</v>
      </c>
      <c r="C12" s="250">
        <v>4</v>
      </c>
      <c r="D12" s="250" t="s">
        <v>742</v>
      </c>
      <c r="E12" s="250" t="s">
        <v>743</v>
      </c>
      <c r="F12" s="250" t="s">
        <v>744</v>
      </c>
      <c r="G12" s="250" t="s">
        <v>745</v>
      </c>
      <c r="H12" s="250" t="s">
        <v>746</v>
      </c>
      <c r="I12" s="250" t="s">
        <v>726</v>
      </c>
      <c r="J12" s="251">
        <v>520921.91</v>
      </c>
      <c r="K12" s="251">
        <v>28941.09</v>
      </c>
      <c r="L12" s="251"/>
      <c r="M12" s="251"/>
      <c r="N12" s="252"/>
      <c r="O12" s="252"/>
      <c r="P12" s="252"/>
      <c r="Q12" s="252" t="s">
        <v>727</v>
      </c>
      <c r="R12" s="253">
        <v>28941.22</v>
      </c>
      <c r="S12" s="253">
        <v>28941.09</v>
      </c>
      <c r="T12" s="254">
        <f t="shared" si="0"/>
        <v>57882.31</v>
      </c>
      <c r="U12" s="254">
        <v>0</v>
      </c>
      <c r="V12" s="254">
        <v>0</v>
      </c>
      <c r="W12" s="254">
        <v>0</v>
      </c>
      <c r="X12" s="254">
        <v>0</v>
      </c>
      <c r="Y12" s="254">
        <v>0</v>
      </c>
      <c r="Z12" s="254">
        <v>0</v>
      </c>
      <c r="AA12" s="254">
        <v>0</v>
      </c>
      <c r="AB12" s="254">
        <v>0</v>
      </c>
      <c r="AC12" s="254">
        <v>0</v>
      </c>
      <c r="AD12" s="254">
        <v>0</v>
      </c>
      <c r="AE12" s="254">
        <v>0</v>
      </c>
      <c r="AF12" s="254">
        <v>0</v>
      </c>
      <c r="AG12" s="254">
        <v>0</v>
      </c>
      <c r="AH12" s="254">
        <v>0</v>
      </c>
      <c r="AI12" s="254">
        <v>0</v>
      </c>
      <c r="AJ12" s="254">
        <v>0</v>
      </c>
      <c r="AK12" s="254">
        <v>0</v>
      </c>
      <c r="AL12" s="254">
        <v>0</v>
      </c>
      <c r="AM12" s="254">
        <v>0</v>
      </c>
      <c r="AN12" s="254">
        <v>0</v>
      </c>
      <c r="AO12" s="254">
        <v>0</v>
      </c>
      <c r="AP12" s="254">
        <v>0</v>
      </c>
      <c r="AQ12" s="254">
        <v>0</v>
      </c>
      <c r="AR12" s="254">
        <v>0</v>
      </c>
      <c r="AS12" s="254">
        <v>0</v>
      </c>
      <c r="AT12" s="254">
        <v>0</v>
      </c>
      <c r="AU12" s="254">
        <v>0</v>
      </c>
      <c r="AV12" s="254">
        <v>0</v>
      </c>
      <c r="AW12" s="254"/>
      <c r="AX12" s="254"/>
      <c r="AY12" s="255">
        <f t="shared" si="1"/>
        <v>57882.31</v>
      </c>
      <c r="AZ12" s="236">
        <f t="shared" si="2"/>
        <v>0</v>
      </c>
      <c r="BA12" s="256">
        <f t="shared" si="3"/>
        <v>0</v>
      </c>
      <c r="BB12" s="255">
        <f t="shared" si="4"/>
        <v>57882.31</v>
      </c>
      <c r="BD12" s="257" t="b">
        <f t="shared" si="5"/>
        <v>1</v>
      </c>
      <c r="BE12" s="258">
        <f>BB12-K12-R12</f>
        <v>0</v>
      </c>
    </row>
    <row r="13" spans="2:57" x14ac:dyDescent="0.25">
      <c r="B13" s="259" t="s">
        <v>720</v>
      </c>
      <c r="C13" s="259"/>
      <c r="D13" s="259"/>
      <c r="E13" s="259"/>
      <c r="F13" s="259"/>
      <c r="G13" s="259"/>
      <c r="H13" s="259"/>
      <c r="I13" s="259"/>
      <c r="J13" s="260"/>
      <c r="K13" s="260"/>
      <c r="L13" s="260" t="s">
        <v>747</v>
      </c>
      <c r="M13" s="260"/>
      <c r="N13" s="261">
        <f>SUM(O13:P13)</f>
        <v>3.0870000000000002</v>
      </c>
      <c r="O13" s="261">
        <v>3.0870000000000002</v>
      </c>
      <c r="P13" s="261">
        <f>$P$4</f>
        <v>0</v>
      </c>
      <c r="Q13" s="261" t="s">
        <v>729</v>
      </c>
      <c r="R13" s="262">
        <v>932.81</v>
      </c>
      <c r="S13" s="262">
        <v>202.98</v>
      </c>
      <c r="T13" s="263">
        <f t="shared" si="0"/>
        <v>1135.79</v>
      </c>
      <c r="U13" s="263">
        <v>0</v>
      </c>
      <c r="V13" s="263">
        <v>0</v>
      </c>
      <c r="W13" s="263">
        <v>0</v>
      </c>
      <c r="X13" s="263">
        <v>0</v>
      </c>
      <c r="Y13" s="263">
        <v>0</v>
      </c>
      <c r="Z13" s="263">
        <v>0</v>
      </c>
      <c r="AA13" s="263">
        <v>0</v>
      </c>
      <c r="AB13" s="263">
        <v>0</v>
      </c>
      <c r="AC13" s="263">
        <v>0</v>
      </c>
      <c r="AD13" s="263">
        <v>0</v>
      </c>
      <c r="AE13" s="263">
        <v>0</v>
      </c>
      <c r="AF13" s="263">
        <v>0</v>
      </c>
      <c r="AG13" s="263">
        <v>0</v>
      </c>
      <c r="AH13" s="263">
        <v>0</v>
      </c>
      <c r="AI13" s="263">
        <v>0</v>
      </c>
      <c r="AJ13" s="263">
        <v>0</v>
      </c>
      <c r="AK13" s="263">
        <v>0</v>
      </c>
      <c r="AL13" s="263">
        <v>0</v>
      </c>
      <c r="AM13" s="263">
        <v>0</v>
      </c>
      <c r="AN13" s="263">
        <v>0</v>
      </c>
      <c r="AO13" s="263">
        <v>0</v>
      </c>
      <c r="AP13" s="263">
        <v>0</v>
      </c>
      <c r="AQ13" s="263">
        <v>0</v>
      </c>
      <c r="AR13" s="263">
        <v>0</v>
      </c>
      <c r="AS13" s="263">
        <v>0</v>
      </c>
      <c r="AT13" s="263">
        <v>0</v>
      </c>
      <c r="AU13" s="263">
        <v>0</v>
      </c>
      <c r="AV13" s="263">
        <v>0</v>
      </c>
      <c r="AW13" s="263"/>
      <c r="AX13" s="263"/>
      <c r="AY13" s="264">
        <f t="shared" si="1"/>
        <v>1135.79</v>
      </c>
      <c r="AZ13" s="236">
        <f t="shared" si="2"/>
        <v>0</v>
      </c>
      <c r="BA13" s="265">
        <f t="shared" si="3"/>
        <v>0</v>
      </c>
      <c r="BB13" s="264">
        <f t="shared" si="4"/>
        <v>1135.79</v>
      </c>
      <c r="BD13" s="257" t="b">
        <f t="shared" si="5"/>
        <v>1</v>
      </c>
    </row>
    <row r="14" spans="2:57" s="257" customFormat="1" x14ac:dyDescent="0.25">
      <c r="B14" s="250" t="s">
        <v>720</v>
      </c>
      <c r="C14" s="250">
        <v>5</v>
      </c>
      <c r="D14" s="250" t="s">
        <v>748</v>
      </c>
      <c r="E14" s="250" t="s">
        <v>749</v>
      </c>
      <c r="F14" s="250" t="s">
        <v>750</v>
      </c>
      <c r="G14" s="250" t="s">
        <v>751</v>
      </c>
      <c r="H14" s="250" t="s">
        <v>752</v>
      </c>
      <c r="I14" s="250" t="s">
        <v>726</v>
      </c>
      <c r="J14" s="251">
        <v>1925611</v>
      </c>
      <c r="K14" s="251">
        <v>1195236</v>
      </c>
      <c r="L14" s="251"/>
      <c r="M14" s="251"/>
      <c r="N14" s="252"/>
      <c r="O14" s="252"/>
      <c r="P14" s="252"/>
      <c r="Q14" s="252" t="s">
        <v>727</v>
      </c>
      <c r="R14" s="253">
        <v>66402</v>
      </c>
      <c r="S14" s="253">
        <v>66402</v>
      </c>
      <c r="T14" s="254">
        <f t="shared" si="0"/>
        <v>132804</v>
      </c>
      <c r="U14" s="254">
        <v>132804</v>
      </c>
      <c r="V14" s="254">
        <v>132804</v>
      </c>
      <c r="W14" s="254">
        <v>132804</v>
      </c>
      <c r="X14" s="254">
        <v>132804</v>
      </c>
      <c r="Y14" s="254">
        <v>132804</v>
      </c>
      <c r="Z14" s="254">
        <v>132804</v>
      </c>
      <c r="AA14" s="254">
        <v>132804</v>
      </c>
      <c r="AB14" s="254">
        <v>132804</v>
      </c>
      <c r="AC14" s="254">
        <v>66402</v>
      </c>
      <c r="AD14" s="254">
        <v>0</v>
      </c>
      <c r="AE14" s="254">
        <v>0</v>
      </c>
      <c r="AF14" s="254">
        <v>0</v>
      </c>
      <c r="AG14" s="254">
        <v>0</v>
      </c>
      <c r="AH14" s="254">
        <v>0</v>
      </c>
      <c r="AI14" s="254">
        <v>0</v>
      </c>
      <c r="AJ14" s="254">
        <v>0</v>
      </c>
      <c r="AK14" s="254">
        <v>0</v>
      </c>
      <c r="AL14" s="254">
        <v>0</v>
      </c>
      <c r="AM14" s="254">
        <v>0</v>
      </c>
      <c r="AN14" s="254">
        <v>0</v>
      </c>
      <c r="AO14" s="254">
        <v>0</v>
      </c>
      <c r="AP14" s="254">
        <v>0</v>
      </c>
      <c r="AQ14" s="254">
        <v>0</v>
      </c>
      <c r="AR14" s="254">
        <v>0</v>
      </c>
      <c r="AS14" s="254">
        <v>0</v>
      </c>
      <c r="AT14" s="254">
        <v>0</v>
      </c>
      <c r="AU14" s="254">
        <v>0</v>
      </c>
      <c r="AV14" s="254">
        <v>0</v>
      </c>
      <c r="AW14" s="254"/>
      <c r="AX14" s="254"/>
      <c r="AY14" s="255">
        <f t="shared" si="1"/>
        <v>1261638</v>
      </c>
      <c r="AZ14" s="236">
        <f t="shared" si="2"/>
        <v>0</v>
      </c>
      <c r="BA14" s="256">
        <f t="shared" si="3"/>
        <v>332010</v>
      </c>
      <c r="BB14" s="255">
        <f t="shared" si="4"/>
        <v>1261638</v>
      </c>
      <c r="BD14" s="257" t="b">
        <f t="shared" si="5"/>
        <v>1</v>
      </c>
      <c r="BE14" s="258">
        <f>BB14-K14-R14</f>
        <v>0</v>
      </c>
    </row>
    <row r="15" spans="2:57" x14ac:dyDescent="0.25">
      <c r="B15" s="259" t="s">
        <v>720</v>
      </c>
      <c r="C15" s="259"/>
      <c r="D15" s="259"/>
      <c r="E15" s="259"/>
      <c r="F15" s="259"/>
      <c r="G15" s="259"/>
      <c r="H15" s="259"/>
      <c r="I15" s="259"/>
      <c r="J15" s="260"/>
      <c r="K15" s="260"/>
      <c r="L15" s="260" t="s">
        <v>753</v>
      </c>
      <c r="M15" s="260"/>
      <c r="N15" s="261">
        <f>SUM(O15:P15)</f>
        <v>4.0579999999999998</v>
      </c>
      <c r="O15" s="261">
        <v>4.0579999999999998</v>
      </c>
      <c r="P15" s="261">
        <f>$P$4</f>
        <v>0</v>
      </c>
      <c r="Q15" s="261" t="s">
        <v>729</v>
      </c>
      <c r="R15" s="262">
        <v>7392.3300000000008</v>
      </c>
      <c r="S15" s="262">
        <v>11592.87</v>
      </c>
      <c r="T15" s="263">
        <f t="shared" si="0"/>
        <v>18985.2</v>
      </c>
      <c r="U15" s="263">
        <f>SUM(U14:$AV14)*$N15/100</f>
        <v>45808.083719999995</v>
      </c>
      <c r="V15" s="263">
        <f>SUM(V14:$AV14)*$N15/100</f>
        <v>40418.897399999994</v>
      </c>
      <c r="W15" s="263">
        <f>SUM(W14:$AV14)*$N15/100</f>
        <v>35029.711080000001</v>
      </c>
      <c r="X15" s="263">
        <f>SUM(X14:$AV14)*$N15/100</f>
        <v>29640.524759999997</v>
      </c>
      <c r="Y15" s="263">
        <f>SUM(Y14:$AV14)*$N15/100</f>
        <v>24251.33844</v>
      </c>
      <c r="Z15" s="263">
        <f>SUM(Z14:$AV14)*$N15/100</f>
        <v>18862.152119999999</v>
      </c>
      <c r="AA15" s="263">
        <f>SUM(AA14:$AV14)*$N15/100</f>
        <v>13472.965799999998</v>
      </c>
      <c r="AB15" s="263">
        <f>SUM(AB14:$AV14)*$N15/100</f>
        <v>8083.7794800000001</v>
      </c>
      <c r="AC15" s="263">
        <f>SUM(AC14:$AV14)*$N15/100</f>
        <v>2694.5931599999999</v>
      </c>
      <c r="AD15" s="263">
        <v>0</v>
      </c>
      <c r="AE15" s="263">
        <v>0</v>
      </c>
      <c r="AF15" s="263">
        <v>0</v>
      </c>
      <c r="AG15" s="263">
        <v>0</v>
      </c>
      <c r="AH15" s="263">
        <v>0</v>
      </c>
      <c r="AI15" s="263">
        <v>0</v>
      </c>
      <c r="AJ15" s="263">
        <v>0</v>
      </c>
      <c r="AK15" s="263">
        <v>0</v>
      </c>
      <c r="AL15" s="263">
        <v>0</v>
      </c>
      <c r="AM15" s="263">
        <v>0</v>
      </c>
      <c r="AN15" s="263">
        <v>0</v>
      </c>
      <c r="AO15" s="263">
        <v>0</v>
      </c>
      <c r="AP15" s="263">
        <v>0</v>
      </c>
      <c r="AQ15" s="263">
        <v>0</v>
      </c>
      <c r="AR15" s="263">
        <v>0</v>
      </c>
      <c r="AS15" s="263">
        <v>0</v>
      </c>
      <c r="AT15" s="263">
        <v>0</v>
      </c>
      <c r="AU15" s="263">
        <v>0</v>
      </c>
      <c r="AV15" s="263">
        <v>0</v>
      </c>
      <c r="AW15" s="263"/>
      <c r="AX15" s="263"/>
      <c r="AY15" s="264">
        <f t="shared" si="1"/>
        <v>237247.24596</v>
      </c>
      <c r="AZ15" s="236">
        <f t="shared" si="2"/>
        <v>0</v>
      </c>
      <c r="BA15" s="265">
        <f t="shared" si="3"/>
        <v>24251.33844</v>
      </c>
      <c r="BB15" s="264">
        <f t="shared" si="4"/>
        <v>237247.24596</v>
      </c>
      <c r="BD15" s="257" t="b">
        <f t="shared" si="5"/>
        <v>1</v>
      </c>
    </row>
    <row r="16" spans="2:57" s="257" customFormat="1" x14ac:dyDescent="0.25">
      <c r="B16" s="250" t="s">
        <v>720</v>
      </c>
      <c r="C16" s="250">
        <v>6</v>
      </c>
      <c r="D16" s="250" t="s">
        <v>754</v>
      </c>
      <c r="E16" s="250" t="s">
        <v>755</v>
      </c>
      <c r="F16" s="250" t="s">
        <v>756</v>
      </c>
      <c r="G16" s="250" t="s">
        <v>757</v>
      </c>
      <c r="H16" s="250" t="s">
        <v>758</v>
      </c>
      <c r="I16" s="250" t="s">
        <v>726</v>
      </c>
      <c r="J16" s="251">
        <v>154450.12</v>
      </c>
      <c r="K16" s="251">
        <v>96866</v>
      </c>
      <c r="L16" s="251"/>
      <c r="M16" s="251"/>
      <c r="N16" s="252"/>
      <c r="O16" s="252"/>
      <c r="P16" s="252"/>
      <c r="Q16" s="252" t="s">
        <v>727</v>
      </c>
      <c r="R16" s="253">
        <v>5236</v>
      </c>
      <c r="S16" s="253">
        <v>5236</v>
      </c>
      <c r="T16" s="254">
        <f t="shared" si="0"/>
        <v>10472</v>
      </c>
      <c r="U16" s="254">
        <v>10472</v>
      </c>
      <c r="V16" s="254">
        <v>10472</v>
      </c>
      <c r="W16" s="254">
        <v>10472</v>
      </c>
      <c r="X16" s="254">
        <v>10472</v>
      </c>
      <c r="Y16" s="254">
        <v>10472</v>
      </c>
      <c r="Z16" s="254">
        <v>10472</v>
      </c>
      <c r="AA16" s="254">
        <v>10472</v>
      </c>
      <c r="AB16" s="254">
        <v>10472</v>
      </c>
      <c r="AC16" s="254">
        <v>7854</v>
      </c>
      <c r="AD16" s="254">
        <v>0</v>
      </c>
      <c r="AE16" s="254">
        <v>0</v>
      </c>
      <c r="AF16" s="254">
        <v>0</v>
      </c>
      <c r="AG16" s="254">
        <v>0</v>
      </c>
      <c r="AH16" s="254">
        <v>0</v>
      </c>
      <c r="AI16" s="254">
        <v>0</v>
      </c>
      <c r="AJ16" s="254">
        <v>0</v>
      </c>
      <c r="AK16" s="254">
        <v>0</v>
      </c>
      <c r="AL16" s="254">
        <v>0</v>
      </c>
      <c r="AM16" s="254">
        <v>0</v>
      </c>
      <c r="AN16" s="254">
        <v>0</v>
      </c>
      <c r="AO16" s="254">
        <v>0</v>
      </c>
      <c r="AP16" s="254">
        <v>0</v>
      </c>
      <c r="AQ16" s="254">
        <v>0</v>
      </c>
      <c r="AR16" s="254">
        <v>0</v>
      </c>
      <c r="AS16" s="254">
        <v>0</v>
      </c>
      <c r="AT16" s="254">
        <v>0</v>
      </c>
      <c r="AU16" s="254">
        <v>0</v>
      </c>
      <c r="AV16" s="254">
        <v>0</v>
      </c>
      <c r="AW16" s="254"/>
      <c r="AX16" s="254"/>
      <c r="AY16" s="255">
        <f t="shared" si="1"/>
        <v>102102</v>
      </c>
      <c r="AZ16" s="236">
        <f t="shared" si="2"/>
        <v>0</v>
      </c>
      <c r="BA16" s="256">
        <f t="shared" si="3"/>
        <v>28798</v>
      </c>
      <c r="BB16" s="255">
        <f t="shared" si="4"/>
        <v>102102</v>
      </c>
      <c r="BD16" s="257" t="b">
        <f t="shared" si="5"/>
        <v>1</v>
      </c>
      <c r="BE16" s="258">
        <f>BB16-K16-R16</f>
        <v>0</v>
      </c>
    </row>
    <row r="17" spans="2:57" x14ac:dyDescent="0.25">
      <c r="B17" s="259" t="s">
        <v>720</v>
      </c>
      <c r="C17" s="259"/>
      <c r="D17" s="259"/>
      <c r="E17" s="259"/>
      <c r="F17" s="259"/>
      <c r="G17" s="259"/>
      <c r="H17" s="259"/>
      <c r="I17" s="259"/>
      <c r="J17" s="260"/>
      <c r="K17" s="260"/>
      <c r="L17" s="260" t="s">
        <v>759</v>
      </c>
      <c r="M17" s="260"/>
      <c r="N17" s="261">
        <f>SUM(O17:P17)</f>
        <v>4.3659999999999997</v>
      </c>
      <c r="O17" s="261">
        <v>4.3659999999999997</v>
      </c>
      <c r="P17" s="261">
        <f>$P$4</f>
        <v>0</v>
      </c>
      <c r="Q17" s="261" t="s">
        <v>729</v>
      </c>
      <c r="R17" s="262">
        <v>887.57999999999993</v>
      </c>
      <c r="S17" s="262">
        <v>632.54</v>
      </c>
      <c r="T17" s="263">
        <f t="shared" si="0"/>
        <v>1520.12</v>
      </c>
      <c r="U17" s="263">
        <f>SUM(U16:$AV16)*$N17/100</f>
        <v>4000.5657999999994</v>
      </c>
      <c r="V17" s="263">
        <f>SUM(V16:$AV16)*$N17/100</f>
        <v>3543.3582799999999</v>
      </c>
      <c r="W17" s="263">
        <f>SUM(W16:$AV16)*$N17/100</f>
        <v>3086.15076</v>
      </c>
      <c r="X17" s="263">
        <f>SUM(X16:$AV16)*$N17/100</f>
        <v>2628.9432399999996</v>
      </c>
      <c r="Y17" s="263">
        <f>SUM(Y16:$AV16)*$N17/100</f>
        <v>2171.7357199999997</v>
      </c>
      <c r="Z17" s="263">
        <f>SUM(Z16:$AV16)*$N17/100</f>
        <v>1714.5281999999997</v>
      </c>
      <c r="AA17" s="263">
        <f>SUM(AA16:$AV16)*$N17/100</f>
        <v>1257.3206799999998</v>
      </c>
      <c r="AB17" s="263">
        <f>SUM(AB16:$AV16)*$N17/100</f>
        <v>800.11315999999988</v>
      </c>
      <c r="AC17" s="263">
        <f>SUM(AC16:$AV16)*$N17/100</f>
        <v>342.90564000000001</v>
      </c>
      <c r="AD17" s="263">
        <v>0</v>
      </c>
      <c r="AE17" s="263">
        <v>0</v>
      </c>
      <c r="AF17" s="263">
        <v>0</v>
      </c>
      <c r="AG17" s="263">
        <v>0</v>
      </c>
      <c r="AH17" s="263">
        <v>0</v>
      </c>
      <c r="AI17" s="263">
        <v>0</v>
      </c>
      <c r="AJ17" s="263">
        <v>0</v>
      </c>
      <c r="AK17" s="263">
        <v>0</v>
      </c>
      <c r="AL17" s="263">
        <v>0</v>
      </c>
      <c r="AM17" s="263">
        <v>0</v>
      </c>
      <c r="AN17" s="263">
        <v>0</v>
      </c>
      <c r="AO17" s="263">
        <v>0</v>
      </c>
      <c r="AP17" s="263">
        <v>0</v>
      </c>
      <c r="AQ17" s="263">
        <v>0</v>
      </c>
      <c r="AR17" s="263">
        <v>0</v>
      </c>
      <c r="AS17" s="263">
        <v>0</v>
      </c>
      <c r="AT17" s="263">
        <v>0</v>
      </c>
      <c r="AU17" s="263">
        <v>0</v>
      </c>
      <c r="AV17" s="263">
        <v>0</v>
      </c>
      <c r="AW17" s="263"/>
      <c r="AX17" s="263"/>
      <c r="AY17" s="264">
        <f t="shared" si="1"/>
        <v>21065.741480000004</v>
      </c>
      <c r="AZ17" s="236">
        <f t="shared" si="2"/>
        <v>0</v>
      </c>
      <c r="BA17" s="265">
        <f t="shared" si="3"/>
        <v>2400.3394799999996</v>
      </c>
      <c r="BB17" s="264">
        <f t="shared" si="4"/>
        <v>21065.741480000001</v>
      </c>
      <c r="BD17" s="257" t="b">
        <f t="shared" si="5"/>
        <v>1</v>
      </c>
    </row>
    <row r="18" spans="2:57" s="257" customFormat="1" x14ac:dyDescent="0.25">
      <c r="B18" s="250" t="s">
        <v>720</v>
      </c>
      <c r="C18" s="250">
        <v>7</v>
      </c>
      <c r="D18" s="250" t="s">
        <v>760</v>
      </c>
      <c r="E18" s="250" t="s">
        <v>761</v>
      </c>
      <c r="F18" s="250" t="s">
        <v>762</v>
      </c>
      <c r="G18" s="250" t="s">
        <v>763</v>
      </c>
      <c r="H18" s="250" t="s">
        <v>764</v>
      </c>
      <c r="I18" s="250" t="s">
        <v>726</v>
      </c>
      <c r="J18" s="251">
        <v>11123368</v>
      </c>
      <c r="K18" s="251">
        <v>9499600</v>
      </c>
      <c r="L18" s="251"/>
      <c r="M18" s="251"/>
      <c r="N18" s="252"/>
      <c r="O18" s="252"/>
      <c r="P18" s="252"/>
      <c r="Q18" s="252" t="s">
        <v>727</v>
      </c>
      <c r="R18" s="253">
        <v>189992</v>
      </c>
      <c r="S18" s="253">
        <v>189992</v>
      </c>
      <c r="T18" s="254">
        <f t="shared" si="0"/>
        <v>379984</v>
      </c>
      <c r="U18" s="254">
        <v>379984</v>
      </c>
      <c r="V18" s="254">
        <v>379984</v>
      </c>
      <c r="W18" s="254">
        <v>379984</v>
      </c>
      <c r="X18" s="254">
        <v>379984</v>
      </c>
      <c r="Y18" s="254">
        <v>379984</v>
      </c>
      <c r="Z18" s="254">
        <v>379984</v>
      </c>
      <c r="AA18" s="254">
        <v>379984</v>
      </c>
      <c r="AB18" s="254">
        <v>379984</v>
      </c>
      <c r="AC18" s="254">
        <v>379984</v>
      </c>
      <c r="AD18" s="254">
        <v>379984</v>
      </c>
      <c r="AE18" s="254">
        <v>379984</v>
      </c>
      <c r="AF18" s="254">
        <v>379984</v>
      </c>
      <c r="AG18" s="254">
        <v>379984</v>
      </c>
      <c r="AH18" s="254">
        <v>379984</v>
      </c>
      <c r="AI18" s="254">
        <v>379984</v>
      </c>
      <c r="AJ18" s="254">
        <v>379984</v>
      </c>
      <c r="AK18" s="254">
        <v>379984</v>
      </c>
      <c r="AL18" s="254">
        <v>379984</v>
      </c>
      <c r="AM18" s="254">
        <v>379984</v>
      </c>
      <c r="AN18" s="254">
        <v>379984</v>
      </c>
      <c r="AO18" s="254">
        <v>379984</v>
      </c>
      <c r="AP18" s="254">
        <v>379984</v>
      </c>
      <c r="AQ18" s="254">
        <v>379984</v>
      </c>
      <c r="AR18" s="254">
        <v>379984</v>
      </c>
      <c r="AS18" s="254">
        <v>189992</v>
      </c>
      <c r="AT18" s="254">
        <v>0</v>
      </c>
      <c r="AU18" s="254">
        <v>0</v>
      </c>
      <c r="AV18" s="254">
        <v>0</v>
      </c>
      <c r="AW18" s="254"/>
      <c r="AX18" s="254"/>
      <c r="AY18" s="255">
        <f t="shared" si="1"/>
        <v>9689592</v>
      </c>
      <c r="AZ18" s="236">
        <f t="shared" si="2"/>
        <v>0</v>
      </c>
      <c r="BA18" s="256">
        <f t="shared" si="3"/>
        <v>7029704</v>
      </c>
      <c r="BB18" s="255">
        <f t="shared" si="4"/>
        <v>9689592</v>
      </c>
      <c r="BD18" s="257" t="b">
        <f t="shared" si="5"/>
        <v>1</v>
      </c>
      <c r="BE18" s="258">
        <f>BB18-K18-R18</f>
        <v>0</v>
      </c>
    </row>
    <row r="19" spans="2:57" x14ac:dyDescent="0.25">
      <c r="B19" s="259" t="s">
        <v>720</v>
      </c>
      <c r="C19" s="259"/>
      <c r="D19" s="259"/>
      <c r="E19" s="259"/>
      <c r="F19" s="259"/>
      <c r="G19" s="259"/>
      <c r="H19" s="259"/>
      <c r="I19" s="259"/>
      <c r="J19" s="260"/>
      <c r="K19" s="260"/>
      <c r="L19" s="260" t="s">
        <v>765</v>
      </c>
      <c r="M19" s="260"/>
      <c r="N19" s="261">
        <f>SUM(O19:P19)</f>
        <v>3.8719999999999999</v>
      </c>
      <c r="O19" s="261">
        <v>3.8719999999999999</v>
      </c>
      <c r="P19" s="261">
        <f>$P$4</f>
        <v>0</v>
      </c>
      <c r="Q19" s="261" t="s">
        <v>729</v>
      </c>
      <c r="R19" s="262">
        <v>93779.03</v>
      </c>
      <c r="S19" s="262">
        <v>87825.27</v>
      </c>
      <c r="T19" s="263">
        <f t="shared" si="0"/>
        <v>181604.3</v>
      </c>
      <c r="U19" s="263">
        <f>SUM(U18:$AV18)*$N19/100</f>
        <v>360468.02175999997</v>
      </c>
      <c r="V19" s="263">
        <f>SUM(V18:$AV18)*$N19/100</f>
        <v>345755.04128</v>
      </c>
      <c r="W19" s="263">
        <f>SUM(W18:$AV18)*$N19/100</f>
        <v>331042.06079999998</v>
      </c>
      <c r="X19" s="263">
        <f>SUM(X18:$AV18)*$N19/100</f>
        <v>316329.08031999995</v>
      </c>
      <c r="Y19" s="263">
        <f>SUM(Y18:$AV18)*$N19/100</f>
        <v>301616.09983999998</v>
      </c>
      <c r="Z19" s="263">
        <f>SUM(Z18:$AV18)*$N19/100</f>
        <v>286903.11936000001</v>
      </c>
      <c r="AA19" s="263">
        <f>SUM(AA18:$AV18)*$N19/100</f>
        <v>272190.13887999998</v>
      </c>
      <c r="AB19" s="263">
        <f>SUM(AB18:$AV18)*$N19/100</f>
        <v>257477.15839999999</v>
      </c>
      <c r="AC19" s="263">
        <f>SUM(AC18:$AV18)*$N19/100</f>
        <v>242764.17791999999</v>
      </c>
      <c r="AD19" s="263">
        <f>SUM(AD18:$AV18)*$N19/100</f>
        <v>228051.19743999999</v>
      </c>
      <c r="AE19" s="263">
        <f>SUM(AE18:$AV18)*$N19/100</f>
        <v>213338.21695999999</v>
      </c>
      <c r="AF19" s="263">
        <f>SUM(AF18:$AV18)*$N19/100</f>
        <v>198625.23647999999</v>
      </c>
      <c r="AG19" s="263">
        <f>SUM(AG18:$AV18)*$N19/100</f>
        <v>183912.25599999996</v>
      </c>
      <c r="AH19" s="263">
        <f>SUM(AH18:$AV18)*$N19/100</f>
        <v>169199.27552000002</v>
      </c>
      <c r="AI19" s="263">
        <f>SUM(AI18:$AV18)*$N19/100</f>
        <v>154486.29504</v>
      </c>
      <c r="AJ19" s="263">
        <f>SUM(AJ18:$AV18)*$N19/100</f>
        <v>139773.31456</v>
      </c>
      <c r="AK19" s="263">
        <f>SUM(AK18:$AV18)*$N19/100</f>
        <v>125060.33408</v>
      </c>
      <c r="AL19" s="263">
        <f>SUM(AL18:$AV18)*$N19/100</f>
        <v>110347.35359999999</v>
      </c>
      <c r="AM19" s="263">
        <f>SUM(AM18:$AV18)*$N19/100</f>
        <v>95634.373119999989</v>
      </c>
      <c r="AN19" s="263">
        <f>SUM(AN18:$AV18)*$N19/100</f>
        <v>80921.392639999991</v>
      </c>
      <c r="AO19" s="263">
        <f>SUM(AO18:$AV18)*$N19/100</f>
        <v>66208.412160000007</v>
      </c>
      <c r="AP19" s="263">
        <f>SUM(AP18:$AV18)*$N19/100</f>
        <v>51495.431679999994</v>
      </c>
      <c r="AQ19" s="263">
        <f>SUM(AQ18:$AV18)*$N19/100</f>
        <v>36782.451200000003</v>
      </c>
      <c r="AR19" s="263">
        <f>SUM(AR18:$AV18)*$N19/100</f>
        <v>22069.470720000001</v>
      </c>
      <c r="AS19" s="263">
        <f>SUM(AS18:$AV18)*$N19/100</f>
        <v>7356.4902400000001</v>
      </c>
      <c r="AT19" s="263">
        <v>0</v>
      </c>
      <c r="AU19" s="263">
        <v>0</v>
      </c>
      <c r="AV19" s="263">
        <v>0</v>
      </c>
      <c r="AW19" s="263"/>
      <c r="AX19" s="263"/>
      <c r="AY19" s="264">
        <f t="shared" si="1"/>
        <v>4779410.7</v>
      </c>
      <c r="AZ19" s="236">
        <f t="shared" si="2"/>
        <v>0</v>
      </c>
      <c r="BA19" s="265">
        <f t="shared" si="3"/>
        <v>2655692.9766400005</v>
      </c>
      <c r="BB19" s="264">
        <f t="shared" si="4"/>
        <v>4779410.7</v>
      </c>
      <c r="BD19" s="257" t="b">
        <f t="shared" si="5"/>
        <v>1</v>
      </c>
    </row>
    <row r="20" spans="2:57" s="257" customFormat="1" x14ac:dyDescent="0.25">
      <c r="B20" s="250" t="s">
        <v>766</v>
      </c>
      <c r="C20" s="250">
        <v>8</v>
      </c>
      <c r="D20" s="250" t="s">
        <v>767</v>
      </c>
      <c r="E20" s="250" t="s">
        <v>768</v>
      </c>
      <c r="F20" s="250" t="s">
        <v>769</v>
      </c>
      <c r="G20" s="250" t="s">
        <v>770</v>
      </c>
      <c r="H20" s="250" t="s">
        <v>771</v>
      </c>
      <c r="I20" s="250" t="s">
        <v>726</v>
      </c>
      <c r="J20" s="251">
        <v>484935.32</v>
      </c>
      <c r="K20" s="251">
        <v>299602</v>
      </c>
      <c r="L20" s="251"/>
      <c r="M20" s="251"/>
      <c r="N20" s="252"/>
      <c r="O20" s="252"/>
      <c r="P20" s="252"/>
      <c r="Q20" s="252" t="s">
        <v>727</v>
      </c>
      <c r="R20" s="253">
        <v>10156</v>
      </c>
      <c r="S20" s="253">
        <v>10156</v>
      </c>
      <c r="T20" s="254">
        <f t="shared" si="0"/>
        <v>20312</v>
      </c>
      <c r="U20" s="254">
        <v>20312</v>
      </c>
      <c r="V20" s="254">
        <v>20312</v>
      </c>
      <c r="W20" s="254">
        <v>20312</v>
      </c>
      <c r="X20" s="254">
        <v>20312</v>
      </c>
      <c r="Y20" s="254">
        <v>20312</v>
      </c>
      <c r="Z20" s="254">
        <v>20312</v>
      </c>
      <c r="AA20" s="254">
        <v>20312</v>
      </c>
      <c r="AB20" s="254">
        <v>20312</v>
      </c>
      <c r="AC20" s="254">
        <v>20312</v>
      </c>
      <c r="AD20" s="254">
        <v>20312</v>
      </c>
      <c r="AE20" s="254">
        <v>20312</v>
      </c>
      <c r="AF20" s="254">
        <v>20312</v>
      </c>
      <c r="AG20" s="254">
        <v>20312</v>
      </c>
      <c r="AH20" s="254">
        <v>20312</v>
      </c>
      <c r="AI20" s="254">
        <v>5078</v>
      </c>
      <c r="AJ20" s="254">
        <v>0</v>
      </c>
      <c r="AK20" s="254">
        <v>0</v>
      </c>
      <c r="AL20" s="254">
        <v>0</v>
      </c>
      <c r="AM20" s="254">
        <v>0</v>
      </c>
      <c r="AN20" s="254">
        <v>0</v>
      </c>
      <c r="AO20" s="254">
        <v>0</v>
      </c>
      <c r="AP20" s="254">
        <v>0</v>
      </c>
      <c r="AQ20" s="254">
        <v>0</v>
      </c>
      <c r="AR20" s="254">
        <v>0</v>
      </c>
      <c r="AS20" s="254">
        <v>0</v>
      </c>
      <c r="AT20" s="254">
        <v>0</v>
      </c>
      <c r="AU20" s="254">
        <v>0</v>
      </c>
      <c r="AV20" s="254">
        <v>0</v>
      </c>
      <c r="AW20" s="254"/>
      <c r="AX20" s="254"/>
      <c r="AY20" s="255">
        <f t="shared" si="1"/>
        <v>309758</v>
      </c>
      <c r="AZ20" s="236">
        <f t="shared" si="2"/>
        <v>0</v>
      </c>
      <c r="BA20" s="256">
        <f t="shared" si="3"/>
        <v>167574</v>
      </c>
      <c r="BB20" s="255">
        <f t="shared" si="4"/>
        <v>309758</v>
      </c>
      <c r="BD20" s="257" t="b">
        <f t="shared" si="5"/>
        <v>1</v>
      </c>
      <c r="BE20" s="258">
        <f>BB20-K20-R20</f>
        <v>0</v>
      </c>
    </row>
    <row r="21" spans="2:57" x14ac:dyDescent="0.25">
      <c r="B21" s="259" t="s">
        <v>766</v>
      </c>
      <c r="C21" s="259"/>
      <c r="D21" s="259"/>
      <c r="E21" s="259"/>
      <c r="F21" s="259"/>
      <c r="G21" s="259"/>
      <c r="H21" s="259"/>
      <c r="I21" s="259"/>
      <c r="J21" s="260"/>
      <c r="K21" s="260"/>
      <c r="L21" s="260" t="s">
        <v>772</v>
      </c>
      <c r="M21" s="260"/>
      <c r="N21" s="261">
        <f>SUM(O21:P21)</f>
        <v>3.613</v>
      </c>
      <c r="O21" s="261">
        <v>3.613</v>
      </c>
      <c r="P21" s="261">
        <f>$P$4</f>
        <v>0</v>
      </c>
      <c r="Q21" s="261" t="s">
        <v>729</v>
      </c>
      <c r="R21" s="262">
        <v>4344.29</v>
      </c>
      <c r="S21" s="262">
        <v>2569.66</v>
      </c>
      <c r="T21" s="263">
        <f t="shared" si="0"/>
        <v>6913.95</v>
      </c>
      <c r="U21" s="263">
        <f>SUM(U20:$AV20)*$N21/100</f>
        <v>10457.68398</v>
      </c>
      <c r="V21" s="263">
        <f>SUM(V20:$AV20)*$N21/100</f>
        <v>9723.81142</v>
      </c>
      <c r="W21" s="263">
        <f>SUM(W20:$AV20)*$N21/100</f>
        <v>8989.9388600000002</v>
      </c>
      <c r="X21" s="263">
        <f>SUM(X20:$AV20)*$N21/100</f>
        <v>8256.0663000000004</v>
      </c>
      <c r="Y21" s="263">
        <f>SUM(Y20:$AV20)*$N21/100</f>
        <v>7522.1937399999997</v>
      </c>
      <c r="Z21" s="263">
        <f>SUM(Z20:$AV20)*$N21/100</f>
        <v>6788.3211799999999</v>
      </c>
      <c r="AA21" s="263">
        <f>SUM(AA20:$AV20)*$N21/100</f>
        <v>6054.4486199999992</v>
      </c>
      <c r="AB21" s="263">
        <f>SUM(AB20:$AV20)*$N21/100</f>
        <v>5320.5760600000003</v>
      </c>
      <c r="AC21" s="263">
        <f>SUM(AC20:$AV20)*$N21/100</f>
        <v>4586.7034999999996</v>
      </c>
      <c r="AD21" s="263">
        <f>SUM(AD20:$AV20)*$N21/100</f>
        <v>3852.8309399999998</v>
      </c>
      <c r="AE21" s="263">
        <f>SUM(AE20:$AV20)*$N21/100</f>
        <v>3118.95838</v>
      </c>
      <c r="AF21" s="263">
        <f>SUM(AF20:$AV20)*$N21/100</f>
        <v>2385.0858199999998</v>
      </c>
      <c r="AG21" s="263">
        <f>SUM(AG20:$AV20)*$N21/100</f>
        <v>1651.21326</v>
      </c>
      <c r="AH21" s="263">
        <f>SUM(AH20:$AV20)*$N21/100</f>
        <v>917.34070000000008</v>
      </c>
      <c r="AI21" s="263">
        <f>SUM(AI20:$AV20)*$N21/100</f>
        <v>183.46813999999998</v>
      </c>
      <c r="AJ21" s="263">
        <v>0</v>
      </c>
      <c r="AK21" s="263">
        <v>0</v>
      </c>
      <c r="AL21" s="263">
        <v>0</v>
      </c>
      <c r="AM21" s="263">
        <v>0</v>
      </c>
      <c r="AN21" s="263">
        <v>0</v>
      </c>
      <c r="AO21" s="263">
        <v>0</v>
      </c>
      <c r="AP21" s="263">
        <v>0</v>
      </c>
      <c r="AQ21" s="263">
        <v>0</v>
      </c>
      <c r="AR21" s="263">
        <v>0</v>
      </c>
      <c r="AS21" s="263">
        <v>0</v>
      </c>
      <c r="AT21" s="263">
        <v>0</v>
      </c>
      <c r="AU21" s="263">
        <v>0</v>
      </c>
      <c r="AV21" s="263">
        <v>0</v>
      </c>
      <c r="AW21" s="263"/>
      <c r="AX21" s="263"/>
      <c r="AY21" s="264">
        <f t="shared" si="1"/>
        <v>86722.590899999996</v>
      </c>
      <c r="AZ21" s="236">
        <f t="shared" si="2"/>
        <v>0</v>
      </c>
      <c r="BA21" s="265">
        <f t="shared" si="3"/>
        <v>28070.62542</v>
      </c>
      <c r="BB21" s="264">
        <f t="shared" si="4"/>
        <v>86722.590899999996</v>
      </c>
      <c r="BD21" s="257" t="b">
        <f t="shared" si="5"/>
        <v>1</v>
      </c>
    </row>
    <row r="22" spans="2:57" s="257" customFormat="1" x14ac:dyDescent="0.25">
      <c r="B22" s="250" t="s">
        <v>766</v>
      </c>
      <c r="C22" s="250">
        <v>9</v>
      </c>
      <c r="D22" s="250" t="s">
        <v>773</v>
      </c>
      <c r="E22" s="250" t="s">
        <v>774</v>
      </c>
      <c r="F22" s="250" t="s">
        <v>775</v>
      </c>
      <c r="G22" s="250" t="s">
        <v>776</v>
      </c>
      <c r="H22" s="250" t="s">
        <v>777</v>
      </c>
      <c r="I22" s="250" t="s">
        <v>726</v>
      </c>
      <c r="J22" s="251">
        <v>278611.39</v>
      </c>
      <c r="K22" s="251">
        <v>217140</v>
      </c>
      <c r="L22" s="251"/>
      <c r="M22" s="251"/>
      <c r="N22" s="252"/>
      <c r="O22" s="252"/>
      <c r="P22" s="252"/>
      <c r="Q22" s="252" t="s">
        <v>727</v>
      </c>
      <c r="R22" s="253">
        <v>7238</v>
      </c>
      <c r="S22" s="253">
        <v>7238</v>
      </c>
      <c r="T22" s="254">
        <f t="shared" si="0"/>
        <v>14476</v>
      </c>
      <c r="U22" s="254">
        <v>14476</v>
      </c>
      <c r="V22" s="254">
        <v>14476</v>
      </c>
      <c r="W22" s="254">
        <v>14476</v>
      </c>
      <c r="X22" s="254">
        <v>14476</v>
      </c>
      <c r="Y22" s="254">
        <v>14476</v>
      </c>
      <c r="Z22" s="254">
        <v>14476</v>
      </c>
      <c r="AA22" s="254">
        <v>14476</v>
      </c>
      <c r="AB22" s="254">
        <v>14476</v>
      </c>
      <c r="AC22" s="254">
        <v>14476</v>
      </c>
      <c r="AD22" s="254">
        <v>14476</v>
      </c>
      <c r="AE22" s="254">
        <v>14476</v>
      </c>
      <c r="AF22" s="254">
        <v>14476</v>
      </c>
      <c r="AG22" s="254">
        <v>14476</v>
      </c>
      <c r="AH22" s="254">
        <v>14476</v>
      </c>
      <c r="AI22" s="254">
        <v>7238</v>
      </c>
      <c r="AJ22" s="254">
        <v>0</v>
      </c>
      <c r="AK22" s="254">
        <v>0</v>
      </c>
      <c r="AL22" s="254">
        <v>0</v>
      </c>
      <c r="AM22" s="254">
        <v>0</v>
      </c>
      <c r="AN22" s="254">
        <v>0</v>
      </c>
      <c r="AO22" s="254">
        <v>0</v>
      </c>
      <c r="AP22" s="254">
        <v>0</v>
      </c>
      <c r="AQ22" s="254">
        <v>0</v>
      </c>
      <c r="AR22" s="254">
        <v>0</v>
      </c>
      <c r="AS22" s="254">
        <v>0</v>
      </c>
      <c r="AT22" s="254">
        <v>0</v>
      </c>
      <c r="AU22" s="254">
        <v>0</v>
      </c>
      <c r="AV22" s="254">
        <v>0</v>
      </c>
      <c r="AW22" s="254"/>
      <c r="AX22" s="254"/>
      <c r="AY22" s="255">
        <f t="shared" si="1"/>
        <v>224378</v>
      </c>
      <c r="AZ22" s="236">
        <f t="shared" si="2"/>
        <v>0</v>
      </c>
      <c r="BA22" s="256">
        <f t="shared" si="3"/>
        <v>123046</v>
      </c>
      <c r="BB22" s="255">
        <f t="shared" si="4"/>
        <v>224378</v>
      </c>
      <c r="BD22" s="257" t="b">
        <f t="shared" si="5"/>
        <v>1</v>
      </c>
      <c r="BE22" s="258">
        <f>BB22-K22-R22</f>
        <v>0</v>
      </c>
    </row>
    <row r="23" spans="2:57" x14ac:dyDescent="0.25">
      <c r="B23" s="259" t="s">
        <v>766</v>
      </c>
      <c r="C23" s="259"/>
      <c r="D23" s="259"/>
      <c r="E23" s="259"/>
      <c r="F23" s="259"/>
      <c r="G23" s="259"/>
      <c r="H23" s="259"/>
      <c r="I23" s="259"/>
      <c r="J23" s="260"/>
      <c r="K23" s="260"/>
      <c r="L23" s="260" t="s">
        <v>778</v>
      </c>
      <c r="M23" s="260"/>
      <c r="N23" s="261">
        <f>SUM(O23:P23)</f>
        <v>4.0570000000000004</v>
      </c>
      <c r="O23" s="261">
        <v>4.0570000000000004</v>
      </c>
      <c r="P23" s="261">
        <f>$P$4</f>
        <v>0</v>
      </c>
      <c r="Q23" s="261" t="s">
        <v>729</v>
      </c>
      <c r="R23" s="262">
        <v>1758.2300000000002</v>
      </c>
      <c r="S23" s="262">
        <v>2108.35</v>
      </c>
      <c r="T23" s="263">
        <f t="shared" si="0"/>
        <v>3866.58</v>
      </c>
      <c r="U23" s="263">
        <f>SUM(U22:$AV22)*$N23/100</f>
        <v>8515.7241400000003</v>
      </c>
      <c r="V23" s="263">
        <f>SUM(V22:$AV22)*$N23/100</f>
        <v>7928.4328200000009</v>
      </c>
      <c r="W23" s="263">
        <f>SUM(W22:$AV22)*$N23/100</f>
        <v>7341.1415000000006</v>
      </c>
      <c r="X23" s="263">
        <f>SUM(X22:$AV22)*$N23/100</f>
        <v>6753.8501800000004</v>
      </c>
      <c r="Y23" s="263">
        <f>SUM(Y22:$AV22)*$N23/100</f>
        <v>6166.558860000001</v>
      </c>
      <c r="Z23" s="263">
        <f>SUM(Z22:$AV22)*$N23/100</f>
        <v>5579.2675400000007</v>
      </c>
      <c r="AA23" s="263">
        <f>SUM(AA22:$AV22)*$N23/100</f>
        <v>4991.9762200000005</v>
      </c>
      <c r="AB23" s="263">
        <f>SUM(AB22:$AV22)*$N23/100</f>
        <v>4404.6849000000002</v>
      </c>
      <c r="AC23" s="263">
        <f>SUM(AC22:$AV22)*$N23/100</f>
        <v>3817.3935799999999</v>
      </c>
      <c r="AD23" s="263">
        <f>SUM(AD22:$AV22)*$N23/100</f>
        <v>3230.1022600000001</v>
      </c>
      <c r="AE23" s="263">
        <f>SUM(AE22:$AV22)*$N23/100</f>
        <v>2642.8109400000003</v>
      </c>
      <c r="AF23" s="263">
        <f>SUM(AF22:$AV22)*$N23/100</f>
        <v>2055.5196200000005</v>
      </c>
      <c r="AG23" s="263">
        <f>SUM(AG22:$AV22)*$N23/100</f>
        <v>1468.2283000000002</v>
      </c>
      <c r="AH23" s="263">
        <f>SUM(AH22:$AV22)*$N23/100</f>
        <v>880.93698000000006</v>
      </c>
      <c r="AI23" s="263">
        <f>SUM(AI22:$AV22)*$N23/100</f>
        <v>293.64566000000002</v>
      </c>
      <c r="AJ23" s="263">
        <v>0</v>
      </c>
      <c r="AK23" s="263">
        <v>0</v>
      </c>
      <c r="AL23" s="263">
        <v>0</v>
      </c>
      <c r="AM23" s="263">
        <v>0</v>
      </c>
      <c r="AN23" s="263">
        <v>0</v>
      </c>
      <c r="AO23" s="263">
        <v>0</v>
      </c>
      <c r="AP23" s="263">
        <v>0</v>
      </c>
      <c r="AQ23" s="263">
        <v>0</v>
      </c>
      <c r="AR23" s="263">
        <v>0</v>
      </c>
      <c r="AS23" s="263">
        <v>0</v>
      </c>
      <c r="AT23" s="263">
        <v>0</v>
      </c>
      <c r="AU23" s="263">
        <v>0</v>
      </c>
      <c r="AV23" s="263">
        <v>0</v>
      </c>
      <c r="AW23" s="263"/>
      <c r="AX23" s="263"/>
      <c r="AY23" s="264">
        <f t="shared" si="1"/>
        <v>69936.853499999997</v>
      </c>
      <c r="AZ23" s="236">
        <f t="shared" si="2"/>
        <v>0</v>
      </c>
      <c r="BA23" s="265">
        <f t="shared" si="3"/>
        <v>23785.298459999995</v>
      </c>
      <c r="BB23" s="264">
        <f t="shared" si="4"/>
        <v>69936.853499999997</v>
      </c>
      <c r="BD23" s="257" t="b">
        <f t="shared" si="5"/>
        <v>1</v>
      </c>
    </row>
    <row r="24" spans="2:57" s="257" customFormat="1" x14ac:dyDescent="0.25">
      <c r="B24" s="250" t="s">
        <v>766</v>
      </c>
      <c r="C24" s="250">
        <v>10</v>
      </c>
      <c r="D24" s="250" t="s">
        <v>779</v>
      </c>
      <c r="E24" s="250" t="s">
        <v>780</v>
      </c>
      <c r="F24" s="250" t="s">
        <v>781</v>
      </c>
      <c r="G24" s="250" t="s">
        <v>776</v>
      </c>
      <c r="H24" s="250" t="s">
        <v>782</v>
      </c>
      <c r="I24" s="250" t="s">
        <v>726</v>
      </c>
      <c r="J24" s="251">
        <v>55899</v>
      </c>
      <c r="K24" s="251">
        <v>17888</v>
      </c>
      <c r="L24" s="251"/>
      <c r="M24" s="251"/>
      <c r="N24" s="252"/>
      <c r="O24" s="252"/>
      <c r="P24" s="252"/>
      <c r="Q24" s="252" t="s">
        <v>727</v>
      </c>
      <c r="R24" s="253">
        <v>4472</v>
      </c>
      <c r="S24" s="253">
        <v>4472</v>
      </c>
      <c r="T24" s="254">
        <f t="shared" si="0"/>
        <v>8944</v>
      </c>
      <c r="U24" s="254">
        <v>8944</v>
      </c>
      <c r="V24" s="254">
        <v>4472</v>
      </c>
      <c r="W24" s="254">
        <v>0</v>
      </c>
      <c r="X24" s="254">
        <v>0</v>
      </c>
      <c r="Y24" s="254">
        <v>0</v>
      </c>
      <c r="Z24" s="254">
        <v>0</v>
      </c>
      <c r="AA24" s="254">
        <v>0</v>
      </c>
      <c r="AB24" s="254">
        <v>0</v>
      </c>
      <c r="AC24" s="254">
        <v>0</v>
      </c>
      <c r="AD24" s="254">
        <v>0</v>
      </c>
      <c r="AE24" s="254">
        <v>0</v>
      </c>
      <c r="AF24" s="254">
        <v>0</v>
      </c>
      <c r="AG24" s="254">
        <v>0</v>
      </c>
      <c r="AH24" s="254">
        <v>0</v>
      </c>
      <c r="AI24" s="254">
        <v>0</v>
      </c>
      <c r="AJ24" s="254">
        <v>0</v>
      </c>
      <c r="AK24" s="254">
        <v>0</v>
      </c>
      <c r="AL24" s="254">
        <v>0</v>
      </c>
      <c r="AM24" s="254">
        <v>0</v>
      </c>
      <c r="AN24" s="254">
        <v>0</v>
      </c>
      <c r="AO24" s="254">
        <v>0</v>
      </c>
      <c r="AP24" s="254">
        <v>0</v>
      </c>
      <c r="AQ24" s="254">
        <v>0</v>
      </c>
      <c r="AR24" s="254">
        <v>0</v>
      </c>
      <c r="AS24" s="254">
        <v>0</v>
      </c>
      <c r="AT24" s="254">
        <v>0</v>
      </c>
      <c r="AU24" s="254">
        <v>0</v>
      </c>
      <c r="AV24" s="254">
        <v>0</v>
      </c>
      <c r="AW24" s="254"/>
      <c r="AX24" s="254"/>
      <c r="AY24" s="255">
        <f t="shared" si="1"/>
        <v>22360</v>
      </c>
      <c r="AZ24" s="236">
        <f t="shared" si="2"/>
        <v>0</v>
      </c>
      <c r="BA24" s="256">
        <f t="shared" si="3"/>
        <v>0</v>
      </c>
      <c r="BB24" s="255">
        <f t="shared" si="4"/>
        <v>22360</v>
      </c>
      <c r="BD24" s="257" t="b">
        <f t="shared" si="5"/>
        <v>1</v>
      </c>
      <c r="BE24" s="258">
        <f>BB24-K24-R24</f>
        <v>0</v>
      </c>
    </row>
    <row r="25" spans="2:57" x14ac:dyDescent="0.25">
      <c r="B25" s="259" t="s">
        <v>766</v>
      </c>
      <c r="C25" s="259"/>
      <c r="D25" s="259"/>
      <c r="E25" s="259"/>
      <c r="F25" s="259"/>
      <c r="G25" s="259"/>
      <c r="H25" s="259"/>
      <c r="I25" s="259"/>
      <c r="J25" s="260"/>
      <c r="K25" s="260"/>
      <c r="L25" s="260" t="s">
        <v>778</v>
      </c>
      <c r="M25" s="260"/>
      <c r="N25" s="261">
        <f>SUM(O25:P25)</f>
        <v>4.0570000000000004</v>
      </c>
      <c r="O25" s="261">
        <v>4.0570000000000004</v>
      </c>
      <c r="P25" s="261">
        <f>$P$4</f>
        <v>0</v>
      </c>
      <c r="Q25" s="261" t="s">
        <v>729</v>
      </c>
      <c r="R25" s="262">
        <v>165.95999999999998</v>
      </c>
      <c r="S25" s="262">
        <v>171.43</v>
      </c>
      <c r="T25" s="263">
        <f t="shared" si="0"/>
        <v>337.39</v>
      </c>
      <c r="U25" s="263">
        <f>SUM(U24:$AV24)*$N25/100</f>
        <v>544.28712000000007</v>
      </c>
      <c r="V25" s="263">
        <f>SUM(V24:$AV24)*$N25/100</f>
        <v>181.42904000000001</v>
      </c>
      <c r="W25" s="263">
        <v>0</v>
      </c>
      <c r="X25" s="263">
        <v>0</v>
      </c>
      <c r="Y25" s="263">
        <v>0</v>
      </c>
      <c r="Z25" s="263">
        <v>0</v>
      </c>
      <c r="AA25" s="263">
        <v>0</v>
      </c>
      <c r="AB25" s="263">
        <v>0</v>
      </c>
      <c r="AC25" s="263">
        <v>0</v>
      </c>
      <c r="AD25" s="263">
        <v>0</v>
      </c>
      <c r="AE25" s="263">
        <v>0</v>
      </c>
      <c r="AF25" s="263">
        <v>0</v>
      </c>
      <c r="AG25" s="263">
        <v>0</v>
      </c>
      <c r="AH25" s="263">
        <v>0</v>
      </c>
      <c r="AI25" s="263">
        <v>0</v>
      </c>
      <c r="AJ25" s="263">
        <v>0</v>
      </c>
      <c r="AK25" s="263">
        <v>0</v>
      </c>
      <c r="AL25" s="263">
        <v>0</v>
      </c>
      <c r="AM25" s="263">
        <v>0</v>
      </c>
      <c r="AN25" s="263">
        <v>0</v>
      </c>
      <c r="AO25" s="263">
        <v>0</v>
      </c>
      <c r="AP25" s="263">
        <v>0</v>
      </c>
      <c r="AQ25" s="263">
        <v>0</v>
      </c>
      <c r="AR25" s="263">
        <v>0</v>
      </c>
      <c r="AS25" s="263">
        <v>0</v>
      </c>
      <c r="AT25" s="263">
        <v>0</v>
      </c>
      <c r="AU25" s="263">
        <v>0</v>
      </c>
      <c r="AV25" s="263">
        <v>0</v>
      </c>
      <c r="AW25" s="263"/>
      <c r="AX25" s="263"/>
      <c r="AY25" s="264">
        <f t="shared" si="1"/>
        <v>1063.10616</v>
      </c>
      <c r="AZ25" s="236">
        <f t="shared" si="2"/>
        <v>0</v>
      </c>
      <c r="BA25" s="265">
        <f t="shared" si="3"/>
        <v>0</v>
      </c>
      <c r="BB25" s="264">
        <f t="shared" si="4"/>
        <v>1063.10616</v>
      </c>
      <c r="BD25" s="257" t="b">
        <f t="shared" si="5"/>
        <v>1</v>
      </c>
    </row>
    <row r="26" spans="2:57" s="257" customFormat="1" x14ac:dyDescent="0.25">
      <c r="B26" s="250" t="s">
        <v>766</v>
      </c>
      <c r="C26" s="250">
        <v>11</v>
      </c>
      <c r="D26" s="250" t="s">
        <v>783</v>
      </c>
      <c r="E26" s="250" t="s">
        <v>784</v>
      </c>
      <c r="F26" s="250" t="s">
        <v>785</v>
      </c>
      <c r="G26" s="250" t="s">
        <v>776</v>
      </c>
      <c r="H26" s="250" t="s">
        <v>786</v>
      </c>
      <c r="I26" s="250" t="s">
        <v>726</v>
      </c>
      <c r="J26" s="251">
        <v>49472</v>
      </c>
      <c r="K26" s="251">
        <v>14800</v>
      </c>
      <c r="L26" s="251"/>
      <c r="M26" s="251"/>
      <c r="N26" s="252"/>
      <c r="O26" s="252"/>
      <c r="P26" s="252"/>
      <c r="Q26" s="252" t="s">
        <v>727</v>
      </c>
      <c r="R26" s="253">
        <v>740</v>
      </c>
      <c r="S26" s="253">
        <v>740</v>
      </c>
      <c r="T26" s="254">
        <f t="shared" si="0"/>
        <v>1480</v>
      </c>
      <c r="U26" s="254">
        <v>1480</v>
      </c>
      <c r="V26" s="254">
        <v>1480</v>
      </c>
      <c r="W26" s="254">
        <v>1480</v>
      </c>
      <c r="X26" s="254">
        <v>1480</v>
      </c>
      <c r="Y26" s="254">
        <v>1480</v>
      </c>
      <c r="Z26" s="254">
        <v>1480</v>
      </c>
      <c r="AA26" s="254">
        <v>1480</v>
      </c>
      <c r="AB26" s="254">
        <v>1480</v>
      </c>
      <c r="AC26" s="254">
        <v>1480</v>
      </c>
      <c r="AD26" s="254">
        <v>740</v>
      </c>
      <c r="AE26" s="254">
        <v>0</v>
      </c>
      <c r="AF26" s="254">
        <v>0</v>
      </c>
      <c r="AG26" s="254">
        <v>0</v>
      </c>
      <c r="AH26" s="254">
        <v>0</v>
      </c>
      <c r="AI26" s="254">
        <v>0</v>
      </c>
      <c r="AJ26" s="254">
        <v>0</v>
      </c>
      <c r="AK26" s="254">
        <v>0</v>
      </c>
      <c r="AL26" s="254">
        <v>0</v>
      </c>
      <c r="AM26" s="254">
        <v>0</v>
      </c>
      <c r="AN26" s="254">
        <v>0</v>
      </c>
      <c r="AO26" s="254">
        <v>0</v>
      </c>
      <c r="AP26" s="254">
        <v>0</v>
      </c>
      <c r="AQ26" s="254">
        <v>0</v>
      </c>
      <c r="AR26" s="254">
        <v>0</v>
      </c>
      <c r="AS26" s="254">
        <v>0</v>
      </c>
      <c r="AT26" s="254">
        <v>0</v>
      </c>
      <c r="AU26" s="254">
        <v>0</v>
      </c>
      <c r="AV26" s="254">
        <v>0</v>
      </c>
      <c r="AW26" s="254"/>
      <c r="AX26" s="254"/>
      <c r="AY26" s="255">
        <f t="shared" si="1"/>
        <v>15540</v>
      </c>
      <c r="AZ26" s="236">
        <f t="shared" si="2"/>
        <v>0</v>
      </c>
      <c r="BA26" s="256">
        <f t="shared" si="3"/>
        <v>5180</v>
      </c>
      <c r="BB26" s="255">
        <f t="shared" si="4"/>
        <v>15540</v>
      </c>
      <c r="BD26" s="257" t="b">
        <f t="shared" si="5"/>
        <v>1</v>
      </c>
      <c r="BE26" s="258">
        <f>BB26-K26-R26</f>
        <v>0</v>
      </c>
    </row>
    <row r="27" spans="2:57" x14ac:dyDescent="0.25">
      <c r="B27" s="259" t="s">
        <v>766</v>
      </c>
      <c r="C27" s="259"/>
      <c r="D27" s="259"/>
      <c r="E27" s="259"/>
      <c r="F27" s="259"/>
      <c r="G27" s="259"/>
      <c r="H27" s="259"/>
      <c r="I27" s="259"/>
      <c r="J27" s="260"/>
      <c r="K27" s="260"/>
      <c r="L27" s="260" t="s">
        <v>778</v>
      </c>
      <c r="M27" s="260"/>
      <c r="N27" s="261">
        <f>SUM(O27:P27)</f>
        <v>4.0570000000000004</v>
      </c>
      <c r="O27" s="261">
        <v>4.0570000000000004</v>
      </c>
      <c r="P27" s="261">
        <f>$P$4</f>
        <v>0</v>
      </c>
      <c r="Q27" s="261" t="s">
        <v>729</v>
      </c>
      <c r="R27" s="262">
        <v>121.18</v>
      </c>
      <c r="S27" s="262">
        <v>143.56</v>
      </c>
      <c r="T27" s="263">
        <f t="shared" si="0"/>
        <v>264.74</v>
      </c>
      <c r="U27" s="263">
        <f>SUM(U26:$AV26)*$N27/100</f>
        <v>570.41420000000005</v>
      </c>
      <c r="V27" s="263">
        <f>SUM(V26:$AV26)*$N27/100</f>
        <v>510.37060000000002</v>
      </c>
      <c r="W27" s="263">
        <f>SUM(W26:$AV26)*$N27/100</f>
        <v>450.32700000000006</v>
      </c>
      <c r="X27" s="263">
        <f>SUM(X26:$AV26)*$N27/100</f>
        <v>390.28340000000003</v>
      </c>
      <c r="Y27" s="263">
        <f>SUM(Y26:$AV26)*$N27/100</f>
        <v>330.23980000000006</v>
      </c>
      <c r="Z27" s="263">
        <f>SUM(Z26:$AV26)*$N27/100</f>
        <v>270.19620000000003</v>
      </c>
      <c r="AA27" s="263">
        <f>SUM(AA26:$AV26)*$N27/100</f>
        <v>210.15260000000001</v>
      </c>
      <c r="AB27" s="263">
        <f>SUM(AB26:$AV26)*$N27/100</f>
        <v>150.10900000000001</v>
      </c>
      <c r="AC27" s="263">
        <f>SUM(AC26:$AV26)*$N27/100</f>
        <v>90.065400000000011</v>
      </c>
      <c r="AD27" s="263">
        <f>SUM(AD26:$AV26)*$N27/100</f>
        <v>30.021800000000002</v>
      </c>
      <c r="AE27" s="263">
        <v>0</v>
      </c>
      <c r="AF27" s="263">
        <v>0</v>
      </c>
      <c r="AG27" s="263">
        <v>0</v>
      </c>
      <c r="AH27" s="263">
        <v>0</v>
      </c>
      <c r="AI27" s="263">
        <v>0</v>
      </c>
      <c r="AJ27" s="263">
        <v>0</v>
      </c>
      <c r="AK27" s="263">
        <v>0</v>
      </c>
      <c r="AL27" s="263">
        <v>0</v>
      </c>
      <c r="AM27" s="263">
        <v>0</v>
      </c>
      <c r="AN27" s="263">
        <v>0</v>
      </c>
      <c r="AO27" s="263">
        <v>0</v>
      </c>
      <c r="AP27" s="263">
        <v>0</v>
      </c>
      <c r="AQ27" s="263">
        <v>0</v>
      </c>
      <c r="AR27" s="263">
        <v>0</v>
      </c>
      <c r="AS27" s="263">
        <v>0</v>
      </c>
      <c r="AT27" s="263">
        <v>0</v>
      </c>
      <c r="AU27" s="263">
        <v>0</v>
      </c>
      <c r="AV27" s="263">
        <v>0</v>
      </c>
      <c r="AW27" s="263"/>
      <c r="AX27" s="263"/>
      <c r="AY27" s="264">
        <f t="shared" si="1"/>
        <v>3266.9199999999996</v>
      </c>
      <c r="AZ27" s="236">
        <f t="shared" si="2"/>
        <v>0</v>
      </c>
      <c r="BA27" s="265">
        <f t="shared" si="3"/>
        <v>480.34880000000004</v>
      </c>
      <c r="BB27" s="264">
        <f t="shared" si="4"/>
        <v>3266.92</v>
      </c>
      <c r="BD27" s="257" t="b">
        <f t="shared" si="5"/>
        <v>1</v>
      </c>
    </row>
    <row r="28" spans="2:57" s="257" customFormat="1" x14ac:dyDescent="0.25">
      <c r="B28" s="250" t="s">
        <v>766</v>
      </c>
      <c r="C28" s="250">
        <v>12</v>
      </c>
      <c r="D28" s="250" t="s">
        <v>787</v>
      </c>
      <c r="E28" s="250" t="s">
        <v>788</v>
      </c>
      <c r="F28" s="250" t="s">
        <v>789</v>
      </c>
      <c r="G28" s="250" t="s">
        <v>776</v>
      </c>
      <c r="H28" s="250" t="s">
        <v>777</v>
      </c>
      <c r="I28" s="250" t="s">
        <v>726</v>
      </c>
      <c r="J28" s="251">
        <v>238897.15</v>
      </c>
      <c r="K28" s="251">
        <v>159000</v>
      </c>
      <c r="L28" s="251"/>
      <c r="M28" s="251"/>
      <c r="N28" s="252"/>
      <c r="O28" s="252"/>
      <c r="P28" s="252"/>
      <c r="Q28" s="252" t="s">
        <v>727</v>
      </c>
      <c r="R28" s="253">
        <v>5300</v>
      </c>
      <c r="S28" s="253">
        <v>5300</v>
      </c>
      <c r="T28" s="254">
        <f t="shared" si="0"/>
        <v>10600</v>
      </c>
      <c r="U28" s="254">
        <v>10600</v>
      </c>
      <c r="V28" s="254">
        <v>10600</v>
      </c>
      <c r="W28" s="254">
        <v>10600</v>
      </c>
      <c r="X28" s="254">
        <v>10600</v>
      </c>
      <c r="Y28" s="254">
        <v>10600</v>
      </c>
      <c r="Z28" s="254">
        <v>10600</v>
      </c>
      <c r="AA28" s="254">
        <v>10600</v>
      </c>
      <c r="AB28" s="254">
        <v>10600</v>
      </c>
      <c r="AC28" s="254">
        <v>10600</v>
      </c>
      <c r="AD28" s="254">
        <v>10600</v>
      </c>
      <c r="AE28" s="254">
        <v>10600</v>
      </c>
      <c r="AF28" s="254">
        <v>10600</v>
      </c>
      <c r="AG28" s="254">
        <v>10600</v>
      </c>
      <c r="AH28" s="254">
        <v>10600</v>
      </c>
      <c r="AI28" s="254">
        <v>5300</v>
      </c>
      <c r="AJ28" s="254">
        <v>0</v>
      </c>
      <c r="AK28" s="254">
        <v>0</v>
      </c>
      <c r="AL28" s="254">
        <v>0</v>
      </c>
      <c r="AM28" s="254">
        <v>0</v>
      </c>
      <c r="AN28" s="254">
        <v>0</v>
      </c>
      <c r="AO28" s="254">
        <v>0</v>
      </c>
      <c r="AP28" s="254">
        <v>0</v>
      </c>
      <c r="AQ28" s="254">
        <v>0</v>
      </c>
      <c r="AR28" s="254">
        <v>0</v>
      </c>
      <c r="AS28" s="254">
        <v>0</v>
      </c>
      <c r="AT28" s="254">
        <v>0</v>
      </c>
      <c r="AU28" s="254">
        <v>0</v>
      </c>
      <c r="AV28" s="254">
        <v>0</v>
      </c>
      <c r="AW28" s="254"/>
      <c r="AX28" s="254"/>
      <c r="AY28" s="255">
        <f t="shared" si="1"/>
        <v>164300</v>
      </c>
      <c r="AZ28" s="236">
        <f t="shared" si="2"/>
        <v>0</v>
      </c>
      <c r="BA28" s="256">
        <f t="shared" si="3"/>
        <v>90100</v>
      </c>
      <c r="BB28" s="255">
        <f t="shared" si="4"/>
        <v>164300</v>
      </c>
      <c r="BD28" s="257" t="b">
        <f t="shared" si="5"/>
        <v>1</v>
      </c>
      <c r="BE28" s="258">
        <f>BB28-K28-R28</f>
        <v>0</v>
      </c>
    </row>
    <row r="29" spans="2:57" x14ac:dyDescent="0.25">
      <c r="B29" s="259" t="s">
        <v>766</v>
      </c>
      <c r="C29" s="259"/>
      <c r="D29" s="259"/>
      <c r="E29" s="259"/>
      <c r="F29" s="259"/>
      <c r="G29" s="259"/>
      <c r="H29" s="259"/>
      <c r="I29" s="259"/>
      <c r="J29" s="260"/>
      <c r="K29" s="260"/>
      <c r="L29" s="260" t="s">
        <v>778</v>
      </c>
      <c r="M29" s="260"/>
      <c r="N29" s="261">
        <f>SUM(O29:P29)</f>
        <v>4.0570000000000004</v>
      </c>
      <c r="O29" s="261">
        <v>4.0570000000000004</v>
      </c>
      <c r="P29" s="261">
        <f>$P$4</f>
        <v>0</v>
      </c>
      <c r="Q29" s="261" t="s">
        <v>729</v>
      </c>
      <c r="R29" s="262">
        <v>1287.47</v>
      </c>
      <c r="S29" s="262">
        <v>1543.82</v>
      </c>
      <c r="T29" s="263">
        <f t="shared" si="0"/>
        <v>2831.29</v>
      </c>
      <c r="U29" s="263">
        <f>SUM(U28:$AV28)*$N29/100</f>
        <v>6235.6090000000004</v>
      </c>
      <c r="V29" s="263">
        <f>SUM(V28:$AV28)*$N29/100</f>
        <v>5805.5670000000009</v>
      </c>
      <c r="W29" s="263">
        <f>SUM(W28:$AV28)*$N29/100</f>
        <v>5375.5249999999996</v>
      </c>
      <c r="X29" s="263">
        <f>SUM(X28:$AV28)*$N29/100</f>
        <v>4945.4830000000002</v>
      </c>
      <c r="Y29" s="263">
        <f>SUM(Y28:$AV28)*$N29/100</f>
        <v>4515.4410000000007</v>
      </c>
      <c r="Z29" s="263">
        <f>SUM(Z28:$AV28)*$N29/100</f>
        <v>4085.3990000000003</v>
      </c>
      <c r="AA29" s="263">
        <f>SUM(AA28:$AV28)*$N29/100</f>
        <v>3655.357</v>
      </c>
      <c r="AB29" s="263">
        <f>SUM(AB28:$AV28)*$N29/100</f>
        <v>3225.3150000000005</v>
      </c>
      <c r="AC29" s="263">
        <f>SUM(AC28:$AV28)*$N29/100</f>
        <v>2795.2730000000006</v>
      </c>
      <c r="AD29" s="263">
        <f>SUM(AD28:$AV28)*$N29/100</f>
        <v>2365.2310000000002</v>
      </c>
      <c r="AE29" s="263">
        <f>SUM(AE28:$AV28)*$N29/100</f>
        <v>1935.1890000000003</v>
      </c>
      <c r="AF29" s="263">
        <f>SUM(AF28:$AV28)*$N29/100</f>
        <v>1505.1470000000002</v>
      </c>
      <c r="AG29" s="263">
        <f>SUM(AG28:$AV28)*$N29/100</f>
        <v>1075.1050000000002</v>
      </c>
      <c r="AH29" s="263">
        <f>SUM(AH28:$AV28)*$N29/100</f>
        <v>645.06299999999999</v>
      </c>
      <c r="AI29" s="263">
        <f>SUM(AI28:$AV28)*$N29/100</f>
        <v>215.02100000000002</v>
      </c>
      <c r="AJ29" s="263">
        <v>0</v>
      </c>
      <c r="AK29" s="263">
        <v>0</v>
      </c>
      <c r="AL29" s="263">
        <v>0</v>
      </c>
      <c r="AM29" s="263">
        <v>0</v>
      </c>
      <c r="AN29" s="263">
        <v>0</v>
      </c>
      <c r="AO29" s="263">
        <v>0</v>
      </c>
      <c r="AP29" s="263">
        <v>0</v>
      </c>
      <c r="AQ29" s="263">
        <v>0</v>
      </c>
      <c r="AR29" s="263">
        <v>0</v>
      </c>
      <c r="AS29" s="263">
        <v>0</v>
      </c>
      <c r="AT29" s="263">
        <v>0</v>
      </c>
      <c r="AU29" s="263">
        <v>0</v>
      </c>
      <c r="AV29" s="263">
        <v>0</v>
      </c>
      <c r="AW29" s="263"/>
      <c r="AX29" s="263"/>
      <c r="AY29" s="264">
        <f t="shared" si="1"/>
        <v>51211.015000000007</v>
      </c>
      <c r="AZ29" s="236">
        <f t="shared" si="2"/>
        <v>0</v>
      </c>
      <c r="BA29" s="265">
        <f t="shared" si="3"/>
        <v>17416.701000000001</v>
      </c>
      <c r="BB29" s="264">
        <f t="shared" si="4"/>
        <v>51211.014999999999</v>
      </c>
      <c r="BD29" s="257" t="b">
        <f t="shared" si="5"/>
        <v>1</v>
      </c>
    </row>
    <row r="30" spans="2:57" s="257" customFormat="1" x14ac:dyDescent="0.25">
      <c r="B30" s="250" t="s">
        <v>766</v>
      </c>
      <c r="C30" s="250">
        <v>13</v>
      </c>
      <c r="D30" s="250" t="s">
        <v>790</v>
      </c>
      <c r="E30" s="250" t="s">
        <v>791</v>
      </c>
      <c r="F30" s="250" t="s">
        <v>792</v>
      </c>
      <c r="G30" s="250" t="s">
        <v>793</v>
      </c>
      <c r="H30" s="250" t="s">
        <v>794</v>
      </c>
      <c r="I30" s="250" t="s">
        <v>726</v>
      </c>
      <c r="J30" s="251">
        <v>34291</v>
      </c>
      <c r="K30" s="251">
        <v>17740</v>
      </c>
      <c r="L30" s="251"/>
      <c r="M30" s="251"/>
      <c r="N30" s="252"/>
      <c r="O30" s="252"/>
      <c r="P30" s="252"/>
      <c r="Q30" s="252" t="s">
        <v>727</v>
      </c>
      <c r="R30" s="253">
        <v>1842</v>
      </c>
      <c r="S30" s="253">
        <v>1774</v>
      </c>
      <c r="T30" s="254">
        <f t="shared" si="0"/>
        <v>3616</v>
      </c>
      <c r="U30" s="254">
        <v>3548</v>
      </c>
      <c r="V30" s="254">
        <v>3548</v>
      </c>
      <c r="W30" s="254">
        <v>3548</v>
      </c>
      <c r="X30" s="254">
        <v>3548</v>
      </c>
      <c r="Y30" s="254">
        <v>1774</v>
      </c>
      <c r="Z30" s="254">
        <v>0</v>
      </c>
      <c r="AA30" s="254">
        <v>0</v>
      </c>
      <c r="AB30" s="254">
        <v>0</v>
      </c>
      <c r="AC30" s="254">
        <v>0</v>
      </c>
      <c r="AD30" s="254">
        <v>0</v>
      </c>
      <c r="AE30" s="254">
        <v>0</v>
      </c>
      <c r="AF30" s="254">
        <v>0</v>
      </c>
      <c r="AG30" s="254">
        <v>0</v>
      </c>
      <c r="AH30" s="254">
        <v>0</v>
      </c>
      <c r="AI30" s="254">
        <v>0</v>
      </c>
      <c r="AJ30" s="254">
        <v>0</v>
      </c>
      <c r="AK30" s="254">
        <v>0</v>
      </c>
      <c r="AL30" s="254">
        <v>0</v>
      </c>
      <c r="AM30" s="254">
        <v>0</v>
      </c>
      <c r="AN30" s="254">
        <v>0</v>
      </c>
      <c r="AO30" s="254">
        <v>0</v>
      </c>
      <c r="AP30" s="254">
        <v>0</v>
      </c>
      <c r="AQ30" s="254">
        <v>0</v>
      </c>
      <c r="AR30" s="254">
        <v>0</v>
      </c>
      <c r="AS30" s="254">
        <v>0</v>
      </c>
      <c r="AT30" s="254">
        <v>0</v>
      </c>
      <c r="AU30" s="254">
        <v>0</v>
      </c>
      <c r="AV30" s="254">
        <v>0</v>
      </c>
      <c r="AW30" s="254"/>
      <c r="AX30" s="254"/>
      <c r="AY30" s="255">
        <f t="shared" si="1"/>
        <v>19582</v>
      </c>
      <c r="AZ30" s="236">
        <f t="shared" si="2"/>
        <v>0</v>
      </c>
      <c r="BA30" s="256">
        <f t="shared" si="3"/>
        <v>0</v>
      </c>
      <c r="BB30" s="255">
        <f t="shared" si="4"/>
        <v>19582</v>
      </c>
      <c r="BD30" s="257" t="b">
        <f t="shared" si="5"/>
        <v>1</v>
      </c>
      <c r="BE30" s="258">
        <f>BB30-K30-R30</f>
        <v>0</v>
      </c>
    </row>
    <row r="31" spans="2:57" x14ac:dyDescent="0.25">
      <c r="B31" s="259" t="s">
        <v>766</v>
      </c>
      <c r="C31" s="259"/>
      <c r="D31" s="259"/>
      <c r="E31" s="259"/>
      <c r="F31" s="259"/>
      <c r="G31" s="259"/>
      <c r="H31" s="259"/>
      <c r="I31" s="259"/>
      <c r="J31" s="260"/>
      <c r="K31" s="260"/>
      <c r="L31" s="260" t="s">
        <v>795</v>
      </c>
      <c r="M31" s="260"/>
      <c r="N31" s="261">
        <f>SUM(O31:P31)</f>
        <v>4.415</v>
      </c>
      <c r="O31" s="261">
        <v>4.415</v>
      </c>
      <c r="P31" s="261">
        <f>$P$4</f>
        <v>0</v>
      </c>
      <c r="Q31" s="261" t="s">
        <v>729</v>
      </c>
      <c r="R31" s="262">
        <v>163.44</v>
      </c>
      <c r="S31" s="262">
        <v>172.63</v>
      </c>
      <c r="T31" s="263">
        <f t="shared" si="0"/>
        <v>336.07</v>
      </c>
      <c r="U31" s="263">
        <f>SUM(U30:$AV30)*$N31/100</f>
        <v>704.89890000000003</v>
      </c>
      <c r="V31" s="263">
        <f>SUM(V30:$AV30)*$N31/100</f>
        <v>548.25469999999996</v>
      </c>
      <c r="W31" s="263">
        <f>SUM(W30:$AV30)*$N31/100</f>
        <v>391.6105</v>
      </c>
      <c r="X31" s="263">
        <f>SUM(X30:$AV30)*$N31/100</f>
        <v>234.96630000000002</v>
      </c>
      <c r="Y31" s="263">
        <f>SUM(Y30:$AV30)*$N31/100</f>
        <v>78.322100000000006</v>
      </c>
      <c r="Z31" s="263">
        <v>0</v>
      </c>
      <c r="AA31" s="263">
        <v>0</v>
      </c>
      <c r="AB31" s="263">
        <v>0</v>
      </c>
      <c r="AC31" s="263">
        <v>0</v>
      </c>
      <c r="AD31" s="263">
        <v>0</v>
      </c>
      <c r="AE31" s="263">
        <v>0</v>
      </c>
      <c r="AF31" s="263">
        <v>0</v>
      </c>
      <c r="AG31" s="263">
        <v>0</v>
      </c>
      <c r="AH31" s="263">
        <v>0</v>
      </c>
      <c r="AI31" s="263">
        <v>0</v>
      </c>
      <c r="AJ31" s="263">
        <v>0</v>
      </c>
      <c r="AK31" s="263">
        <v>0</v>
      </c>
      <c r="AL31" s="263">
        <v>0</v>
      </c>
      <c r="AM31" s="263">
        <v>0</v>
      </c>
      <c r="AN31" s="263">
        <v>0</v>
      </c>
      <c r="AO31" s="263">
        <v>0</v>
      </c>
      <c r="AP31" s="263">
        <v>0</v>
      </c>
      <c r="AQ31" s="263">
        <v>0</v>
      </c>
      <c r="AR31" s="263">
        <v>0</v>
      </c>
      <c r="AS31" s="263">
        <v>0</v>
      </c>
      <c r="AT31" s="263">
        <v>0</v>
      </c>
      <c r="AU31" s="263">
        <v>0</v>
      </c>
      <c r="AV31" s="263">
        <v>0</v>
      </c>
      <c r="AW31" s="263"/>
      <c r="AX31" s="263"/>
      <c r="AY31" s="264">
        <f t="shared" si="1"/>
        <v>2294.1224999999999</v>
      </c>
      <c r="AZ31" s="236">
        <f t="shared" si="2"/>
        <v>0</v>
      </c>
      <c r="BA31" s="265">
        <f t="shared" si="3"/>
        <v>0</v>
      </c>
      <c r="BB31" s="264">
        <f t="shared" si="4"/>
        <v>2294.1224999999999</v>
      </c>
      <c r="BD31" s="257" t="b">
        <f t="shared" si="5"/>
        <v>1</v>
      </c>
    </row>
    <row r="32" spans="2:57" s="257" customFormat="1" x14ac:dyDescent="0.25">
      <c r="B32" s="250" t="s">
        <v>766</v>
      </c>
      <c r="C32" s="250">
        <v>14</v>
      </c>
      <c r="D32" s="250" t="s">
        <v>796</v>
      </c>
      <c r="E32" s="250" t="s">
        <v>797</v>
      </c>
      <c r="F32" s="250" t="s">
        <v>798</v>
      </c>
      <c r="G32" s="250" t="s">
        <v>799</v>
      </c>
      <c r="H32" s="250" t="s">
        <v>800</v>
      </c>
      <c r="I32" s="250" t="s">
        <v>726</v>
      </c>
      <c r="J32" s="251">
        <v>2609698.31</v>
      </c>
      <c r="K32" s="251">
        <v>2374239.31</v>
      </c>
      <c r="L32" s="251"/>
      <c r="M32" s="251"/>
      <c r="N32" s="252"/>
      <c r="O32" s="252"/>
      <c r="P32" s="252"/>
      <c r="Q32" s="252" t="s">
        <v>727</v>
      </c>
      <c r="R32" s="253">
        <v>47100</v>
      </c>
      <c r="S32" s="253">
        <v>47100</v>
      </c>
      <c r="T32" s="254">
        <f t="shared" si="0"/>
        <v>94200</v>
      </c>
      <c r="U32" s="254">
        <v>94200</v>
      </c>
      <c r="V32" s="254">
        <v>94200</v>
      </c>
      <c r="W32" s="254">
        <v>94200</v>
      </c>
      <c r="X32" s="254">
        <v>94200</v>
      </c>
      <c r="Y32" s="254">
        <v>94200</v>
      </c>
      <c r="Z32" s="254">
        <v>94200</v>
      </c>
      <c r="AA32" s="254">
        <v>94200</v>
      </c>
      <c r="AB32" s="254">
        <v>94200</v>
      </c>
      <c r="AC32" s="254">
        <v>94200</v>
      </c>
      <c r="AD32" s="254">
        <v>94200</v>
      </c>
      <c r="AE32" s="254">
        <v>94200</v>
      </c>
      <c r="AF32" s="254">
        <v>94200</v>
      </c>
      <c r="AG32" s="254">
        <v>94200</v>
      </c>
      <c r="AH32" s="254">
        <v>94200</v>
      </c>
      <c r="AI32" s="254">
        <v>94200</v>
      </c>
      <c r="AJ32" s="254">
        <v>94200</v>
      </c>
      <c r="AK32" s="254">
        <v>94200</v>
      </c>
      <c r="AL32" s="254">
        <v>94200</v>
      </c>
      <c r="AM32" s="254">
        <v>94200</v>
      </c>
      <c r="AN32" s="254">
        <v>94200</v>
      </c>
      <c r="AO32" s="254">
        <v>94200</v>
      </c>
      <c r="AP32" s="254">
        <v>94200</v>
      </c>
      <c r="AQ32" s="254">
        <v>94200</v>
      </c>
      <c r="AR32" s="254">
        <v>94200</v>
      </c>
      <c r="AS32" s="254">
        <v>66339.31</v>
      </c>
      <c r="AT32" s="254">
        <v>0</v>
      </c>
      <c r="AU32" s="254">
        <v>0</v>
      </c>
      <c r="AV32" s="254">
        <v>0</v>
      </c>
      <c r="AW32" s="254"/>
      <c r="AX32" s="254"/>
      <c r="AY32" s="255">
        <f t="shared" si="1"/>
        <v>2421339.31</v>
      </c>
      <c r="AZ32" s="236">
        <f t="shared" si="2"/>
        <v>0</v>
      </c>
      <c r="BA32" s="256">
        <f t="shared" si="3"/>
        <v>1761939.31</v>
      </c>
      <c r="BB32" s="255">
        <f t="shared" si="4"/>
        <v>2421339.31</v>
      </c>
      <c r="BD32" s="257" t="b">
        <f t="shared" si="5"/>
        <v>1</v>
      </c>
      <c r="BE32" s="258">
        <f>BB32-K32-R32</f>
        <v>0</v>
      </c>
    </row>
    <row r="33" spans="2:57" x14ac:dyDescent="0.25">
      <c r="B33" s="259" t="s">
        <v>766</v>
      </c>
      <c r="C33" s="259"/>
      <c r="D33" s="259"/>
      <c r="E33" s="259"/>
      <c r="F33" s="259"/>
      <c r="G33" s="259"/>
      <c r="H33" s="259"/>
      <c r="I33" s="259"/>
      <c r="J33" s="260"/>
      <c r="K33" s="260"/>
      <c r="L33" s="260" t="s">
        <v>801</v>
      </c>
      <c r="M33" s="260"/>
      <c r="N33" s="261">
        <f>SUM(O33:P33)</f>
        <v>4.3639999999999999</v>
      </c>
      <c r="O33" s="261">
        <v>4.3639999999999999</v>
      </c>
      <c r="P33" s="261">
        <f>$P$4</f>
        <v>0</v>
      </c>
      <c r="Q33" s="261" t="s">
        <v>729</v>
      </c>
      <c r="R33" s="262">
        <v>22429.32</v>
      </c>
      <c r="S33" s="262">
        <v>19021.490000000002</v>
      </c>
      <c r="T33" s="263">
        <f t="shared" si="0"/>
        <v>41450.81</v>
      </c>
      <c r="U33" s="263">
        <f>SUM(U32:$AV32)*$N33/100</f>
        <v>101556.35948839999</v>
      </c>
      <c r="V33" s="263">
        <f>SUM(V32:$AV32)*$N33/100</f>
        <v>97445.471488400013</v>
      </c>
      <c r="W33" s="263">
        <f>SUM(W32:$AV32)*$N33/100</f>
        <v>93334.583488400007</v>
      </c>
      <c r="X33" s="263">
        <f>SUM(X32:$AV32)*$N33/100</f>
        <v>89223.695488400001</v>
      </c>
      <c r="Y33" s="263">
        <f>SUM(Y32:$AV32)*$N33/100</f>
        <v>85112.807488400009</v>
      </c>
      <c r="Z33" s="263">
        <f>SUM(Z32:$AV32)*$N33/100</f>
        <v>81001.919488400003</v>
      </c>
      <c r="AA33" s="263">
        <f>SUM(AA32:$AV32)*$N33/100</f>
        <v>76891.031488399996</v>
      </c>
      <c r="AB33" s="263">
        <f>SUM(AB32:$AV32)*$N33/100</f>
        <v>72780.143488400005</v>
      </c>
      <c r="AC33" s="263">
        <f>SUM(AC32:$AV32)*$N33/100</f>
        <v>68669.255488399998</v>
      </c>
      <c r="AD33" s="263">
        <f>SUM(AD32:$AV32)*$N33/100</f>
        <v>64558.367488400007</v>
      </c>
      <c r="AE33" s="263">
        <f>SUM(AE32:$AV32)*$N33/100</f>
        <v>60447.4794884</v>
      </c>
      <c r="AF33" s="263">
        <f>SUM(AF32:$AV32)*$N33/100</f>
        <v>56336.591488400001</v>
      </c>
      <c r="AG33" s="263">
        <f>SUM(AG32:$AV32)*$N33/100</f>
        <v>52225.703488400002</v>
      </c>
      <c r="AH33" s="263">
        <f>SUM(AH32:$AV32)*$N33/100</f>
        <v>48114.815488400003</v>
      </c>
      <c r="AI33" s="263">
        <f>SUM(AI32:$AV32)*$N33/100</f>
        <v>44003.927488400004</v>
      </c>
      <c r="AJ33" s="263">
        <f>SUM(AJ32:$AV32)*$N33/100</f>
        <v>39893.039488400005</v>
      </c>
      <c r="AK33" s="263">
        <f>SUM(AK32:$AV32)*$N33/100</f>
        <v>35782.151488399999</v>
      </c>
      <c r="AL33" s="263">
        <f>SUM(AL32:$AV32)*$N33/100</f>
        <v>31671.2634884</v>
      </c>
      <c r="AM33" s="263">
        <f>SUM(AM32:$AV32)*$N33/100</f>
        <v>27560.375488400005</v>
      </c>
      <c r="AN33" s="263">
        <f>SUM(AN32:$AV32)*$N33/100</f>
        <v>23449.487488400002</v>
      </c>
      <c r="AO33" s="263">
        <f>SUM(AO32:$AV32)*$N33/100</f>
        <v>19338.599488399999</v>
      </c>
      <c r="AP33" s="263">
        <f>SUM(AP32:$AV32)*$N33/100</f>
        <v>15227.711488399998</v>
      </c>
      <c r="AQ33" s="263">
        <f>SUM(AQ32:$AV32)*$N33/100</f>
        <v>11116.823488399999</v>
      </c>
      <c r="AR33" s="263">
        <f>SUM(AR32:$AV32)*$N33/100</f>
        <v>7005.9354883999995</v>
      </c>
      <c r="AS33" s="263">
        <f>SUM(AS32:$AV32)*$N33/100</f>
        <v>2895.0474883999996</v>
      </c>
      <c r="AT33" s="263">
        <v>0</v>
      </c>
      <c r="AU33" s="263">
        <v>0</v>
      </c>
      <c r="AV33" s="263">
        <v>0</v>
      </c>
      <c r="AW33" s="263"/>
      <c r="AX33" s="263"/>
      <c r="AY33" s="264">
        <f t="shared" si="1"/>
        <v>1347093.3972100001</v>
      </c>
      <c r="AZ33" s="236">
        <f t="shared" si="2"/>
        <v>0</v>
      </c>
      <c r="BA33" s="265">
        <f t="shared" si="3"/>
        <v>757967.75027959992</v>
      </c>
      <c r="BB33" s="264">
        <f t="shared" si="4"/>
        <v>1347093.3972100001</v>
      </c>
      <c r="BD33" s="257" t="b">
        <f t="shared" si="5"/>
        <v>1</v>
      </c>
    </row>
    <row r="34" spans="2:57" s="257" customFormat="1" x14ac:dyDescent="0.25">
      <c r="B34" s="250" t="s">
        <v>766</v>
      </c>
      <c r="C34" s="250">
        <v>15</v>
      </c>
      <c r="D34" s="250" t="s">
        <v>802</v>
      </c>
      <c r="E34" s="250" t="s">
        <v>803</v>
      </c>
      <c r="F34" s="250" t="s">
        <v>804</v>
      </c>
      <c r="G34" s="250" t="s">
        <v>799</v>
      </c>
      <c r="H34" s="250" t="s">
        <v>800</v>
      </c>
      <c r="I34" s="250" t="s">
        <v>726</v>
      </c>
      <c r="J34" s="251">
        <v>3496295</v>
      </c>
      <c r="K34" s="251">
        <v>3181399</v>
      </c>
      <c r="L34" s="251"/>
      <c r="M34" s="251"/>
      <c r="N34" s="252"/>
      <c r="O34" s="252"/>
      <c r="P34" s="252"/>
      <c r="Q34" s="252" t="s">
        <v>727</v>
      </c>
      <c r="R34" s="253">
        <v>62998</v>
      </c>
      <c r="S34" s="253">
        <v>62998</v>
      </c>
      <c r="T34" s="254">
        <f t="shared" si="0"/>
        <v>125996</v>
      </c>
      <c r="U34" s="254">
        <v>125996</v>
      </c>
      <c r="V34" s="254">
        <v>125996</v>
      </c>
      <c r="W34" s="254">
        <v>125996</v>
      </c>
      <c r="X34" s="254">
        <v>125996</v>
      </c>
      <c r="Y34" s="254">
        <v>125996</v>
      </c>
      <c r="Z34" s="254">
        <v>125996</v>
      </c>
      <c r="AA34" s="254">
        <v>125996</v>
      </c>
      <c r="AB34" s="254">
        <v>125996</v>
      </c>
      <c r="AC34" s="254">
        <v>125996</v>
      </c>
      <c r="AD34" s="254">
        <v>125996</v>
      </c>
      <c r="AE34" s="254">
        <v>125996</v>
      </c>
      <c r="AF34" s="254">
        <v>125996</v>
      </c>
      <c r="AG34" s="254">
        <v>125996</v>
      </c>
      <c r="AH34" s="254">
        <v>125996</v>
      </c>
      <c r="AI34" s="254">
        <v>125996</v>
      </c>
      <c r="AJ34" s="254">
        <v>125996</v>
      </c>
      <c r="AK34" s="254">
        <v>125996</v>
      </c>
      <c r="AL34" s="254">
        <v>125996</v>
      </c>
      <c r="AM34" s="254">
        <v>125996</v>
      </c>
      <c r="AN34" s="254">
        <v>125996</v>
      </c>
      <c r="AO34" s="254">
        <v>125996</v>
      </c>
      <c r="AP34" s="254">
        <v>125996</v>
      </c>
      <c r="AQ34" s="254">
        <v>125996</v>
      </c>
      <c r="AR34" s="254">
        <v>125996</v>
      </c>
      <c r="AS34" s="254">
        <v>94497</v>
      </c>
      <c r="AT34" s="254">
        <v>0</v>
      </c>
      <c r="AU34" s="254">
        <v>0</v>
      </c>
      <c r="AV34" s="254">
        <v>0</v>
      </c>
      <c r="AW34" s="254"/>
      <c r="AX34" s="254"/>
      <c r="AY34" s="255">
        <f t="shared" si="1"/>
        <v>3244397</v>
      </c>
      <c r="AZ34" s="236">
        <f t="shared" si="2"/>
        <v>0</v>
      </c>
      <c r="BA34" s="256">
        <f t="shared" si="3"/>
        <v>2362425</v>
      </c>
      <c r="BB34" s="255">
        <f t="shared" si="4"/>
        <v>3244397</v>
      </c>
      <c r="BD34" s="257" t="b">
        <f t="shared" si="5"/>
        <v>1</v>
      </c>
      <c r="BE34" s="258">
        <f>BB34-K34-R34</f>
        <v>0</v>
      </c>
    </row>
    <row r="35" spans="2:57" x14ac:dyDescent="0.25">
      <c r="B35" s="259" t="s">
        <v>766</v>
      </c>
      <c r="C35" s="259"/>
      <c r="D35" s="259"/>
      <c r="E35" s="259"/>
      <c r="F35" s="259"/>
      <c r="G35" s="259"/>
      <c r="H35" s="259"/>
      <c r="I35" s="259"/>
      <c r="J35" s="260"/>
      <c r="K35" s="260"/>
      <c r="L35" s="260" t="s">
        <v>801</v>
      </c>
      <c r="M35" s="260"/>
      <c r="N35" s="261">
        <f>SUM(O35:P35)</f>
        <v>4.3639999999999999</v>
      </c>
      <c r="O35" s="261">
        <v>4.3639999999999999</v>
      </c>
      <c r="P35" s="261">
        <f>$P$4</f>
        <v>0</v>
      </c>
      <c r="Q35" s="261" t="s">
        <v>729</v>
      </c>
      <c r="R35" s="262">
        <v>30053.5</v>
      </c>
      <c r="S35" s="262">
        <v>25488.22</v>
      </c>
      <c r="T35" s="263">
        <f t="shared" si="0"/>
        <v>55541.72</v>
      </c>
      <c r="U35" s="263">
        <f>SUM(U34:$AV34)*$N35/100</f>
        <v>136087.01963999998</v>
      </c>
      <c r="V35" s="263">
        <f>SUM(V34:$AV34)*$N35/100</f>
        <v>130588.5542</v>
      </c>
      <c r="W35" s="263">
        <f>SUM(W34:$AV34)*$N35/100</f>
        <v>125090.08876</v>
      </c>
      <c r="X35" s="263">
        <f>SUM(X34:$AV34)*$N35/100</f>
        <v>119591.62332</v>
      </c>
      <c r="Y35" s="263">
        <f>SUM(Y34:$AV34)*$N35/100</f>
        <v>114093.15787999998</v>
      </c>
      <c r="Z35" s="263">
        <f>SUM(Z34:$AV34)*$N35/100</f>
        <v>108594.69243999998</v>
      </c>
      <c r="AA35" s="263">
        <f>SUM(AA34:$AV34)*$N35/100</f>
        <v>103096.227</v>
      </c>
      <c r="AB35" s="263">
        <f>SUM(AB34:$AV34)*$N35/100</f>
        <v>97597.761559999999</v>
      </c>
      <c r="AC35" s="263">
        <f>SUM(AC34:$AV34)*$N35/100</f>
        <v>92099.296119999999</v>
      </c>
      <c r="AD35" s="263">
        <f>SUM(AD34:$AV34)*$N35/100</f>
        <v>86600.830679999999</v>
      </c>
      <c r="AE35" s="263">
        <f>SUM(AE34:$AV34)*$N35/100</f>
        <v>81102.365239999999</v>
      </c>
      <c r="AF35" s="263">
        <f>SUM(AF34:$AV34)*$N35/100</f>
        <v>75603.899799999999</v>
      </c>
      <c r="AG35" s="263">
        <f>SUM(AG34:$AV34)*$N35/100</f>
        <v>70105.434359999999</v>
      </c>
      <c r="AH35" s="263">
        <f>SUM(AH34:$AV34)*$N35/100</f>
        <v>64606.968919999999</v>
      </c>
      <c r="AI35" s="263">
        <f>SUM(AI34:$AV34)*$N35/100</f>
        <v>59108.503479999999</v>
      </c>
      <c r="AJ35" s="263">
        <f>SUM(AJ34:$AV34)*$N35/100</f>
        <v>53610.038039999992</v>
      </c>
      <c r="AK35" s="263">
        <f>SUM(AK34:$AV34)*$N35/100</f>
        <v>48111.5726</v>
      </c>
      <c r="AL35" s="263">
        <f>SUM(AL34:$AV34)*$N35/100</f>
        <v>42613.10716</v>
      </c>
      <c r="AM35" s="263">
        <f>SUM(AM34:$AV34)*$N35/100</f>
        <v>37114.64172</v>
      </c>
      <c r="AN35" s="263">
        <f>SUM(AN34:$AV34)*$N35/100</f>
        <v>31616.17628</v>
      </c>
      <c r="AO35" s="263">
        <f>SUM(AO34:$AV34)*$N35/100</f>
        <v>26117.71084</v>
      </c>
      <c r="AP35" s="263">
        <f>SUM(AP34:$AV34)*$N35/100</f>
        <v>20619.2454</v>
      </c>
      <c r="AQ35" s="263">
        <f>SUM(AQ34:$AV34)*$N35/100</f>
        <v>15120.77996</v>
      </c>
      <c r="AR35" s="263">
        <f>SUM(AR34:$AV34)*$N35/100</f>
        <v>9622.3145199999999</v>
      </c>
      <c r="AS35" s="263">
        <f>SUM(AS34:$AV34)*$N35/100</f>
        <v>4123.84908</v>
      </c>
      <c r="AT35" s="263">
        <v>0</v>
      </c>
      <c r="AU35" s="263">
        <v>0</v>
      </c>
      <c r="AV35" s="263">
        <v>0</v>
      </c>
      <c r="AW35" s="263"/>
      <c r="AX35" s="263"/>
      <c r="AY35" s="264">
        <f t="shared" si="1"/>
        <v>1808177.5789999997</v>
      </c>
      <c r="AZ35" s="236">
        <f t="shared" si="2"/>
        <v>0</v>
      </c>
      <c r="BA35" s="265">
        <f t="shared" si="3"/>
        <v>1018590.7227599998</v>
      </c>
      <c r="BB35" s="264">
        <f t="shared" si="4"/>
        <v>1808177.5789999999</v>
      </c>
      <c r="BD35" s="257" t="b">
        <f t="shared" si="5"/>
        <v>1</v>
      </c>
    </row>
    <row r="36" spans="2:57" s="257" customFormat="1" x14ac:dyDescent="0.25">
      <c r="B36" s="250" t="s">
        <v>766</v>
      </c>
      <c r="C36" s="250">
        <v>16</v>
      </c>
      <c r="D36" s="250" t="s">
        <v>805</v>
      </c>
      <c r="E36" s="250" t="s">
        <v>806</v>
      </c>
      <c r="F36" s="250" t="s">
        <v>807</v>
      </c>
      <c r="G36" s="250" t="s">
        <v>808</v>
      </c>
      <c r="H36" s="250" t="s">
        <v>809</v>
      </c>
      <c r="I36" s="250" t="s">
        <v>726</v>
      </c>
      <c r="J36" s="251">
        <v>190122</v>
      </c>
      <c r="K36" s="251">
        <v>148712</v>
      </c>
      <c r="L36" s="251"/>
      <c r="M36" s="251"/>
      <c r="N36" s="252"/>
      <c r="O36" s="252">
        <v>1.482</v>
      </c>
      <c r="P36" s="252"/>
      <c r="Q36" s="252" t="s">
        <v>727</v>
      </c>
      <c r="R36" s="253">
        <v>4876</v>
      </c>
      <c r="S36" s="253">
        <v>4876</v>
      </c>
      <c r="T36" s="254">
        <f t="shared" si="0"/>
        <v>9752</v>
      </c>
      <c r="U36" s="254">
        <v>9752</v>
      </c>
      <c r="V36" s="254">
        <v>9752</v>
      </c>
      <c r="W36" s="254">
        <v>9752</v>
      </c>
      <c r="X36" s="254">
        <v>9752</v>
      </c>
      <c r="Y36" s="254">
        <v>9752</v>
      </c>
      <c r="Z36" s="254">
        <v>9752</v>
      </c>
      <c r="AA36" s="254">
        <v>9752</v>
      </c>
      <c r="AB36" s="254">
        <v>9752</v>
      </c>
      <c r="AC36" s="254">
        <v>9752</v>
      </c>
      <c r="AD36" s="254">
        <v>9752</v>
      </c>
      <c r="AE36" s="254">
        <v>9752</v>
      </c>
      <c r="AF36" s="254">
        <v>9752</v>
      </c>
      <c r="AG36" s="254">
        <v>9752</v>
      </c>
      <c r="AH36" s="254">
        <v>9752</v>
      </c>
      <c r="AI36" s="254">
        <v>7308</v>
      </c>
      <c r="AJ36" s="254">
        <v>0</v>
      </c>
      <c r="AK36" s="254">
        <v>0</v>
      </c>
      <c r="AL36" s="254">
        <v>0</v>
      </c>
      <c r="AM36" s="254">
        <v>0</v>
      </c>
      <c r="AN36" s="254">
        <v>0</v>
      </c>
      <c r="AO36" s="254">
        <v>0</v>
      </c>
      <c r="AP36" s="254">
        <v>0</v>
      </c>
      <c r="AQ36" s="254">
        <v>0</v>
      </c>
      <c r="AR36" s="254">
        <v>0</v>
      </c>
      <c r="AS36" s="254">
        <v>0</v>
      </c>
      <c r="AT36" s="254">
        <v>0</v>
      </c>
      <c r="AU36" s="254">
        <v>0</v>
      </c>
      <c r="AV36" s="254">
        <v>0</v>
      </c>
      <c r="AW36" s="254"/>
      <c r="AX36" s="254"/>
      <c r="AY36" s="255">
        <f t="shared" si="1"/>
        <v>153588</v>
      </c>
      <c r="AZ36" s="236">
        <f t="shared" si="2"/>
        <v>0</v>
      </c>
      <c r="BA36" s="256">
        <f t="shared" si="3"/>
        <v>85324</v>
      </c>
      <c r="BB36" s="255">
        <f t="shared" si="4"/>
        <v>153588</v>
      </c>
      <c r="BD36" s="257" t="b">
        <f t="shared" si="5"/>
        <v>1</v>
      </c>
      <c r="BE36" s="258">
        <f>BB36-K36-R36</f>
        <v>0</v>
      </c>
    </row>
    <row r="37" spans="2:57" x14ac:dyDescent="0.25">
      <c r="B37" s="259" t="s">
        <v>766</v>
      </c>
      <c r="C37" s="259"/>
      <c r="D37" s="259"/>
      <c r="E37" s="259"/>
      <c r="F37" s="259"/>
      <c r="G37" s="259"/>
      <c r="H37" s="259"/>
      <c r="I37" s="259"/>
      <c r="J37" s="260"/>
      <c r="K37" s="260"/>
      <c r="L37" s="260" t="s">
        <v>810</v>
      </c>
      <c r="M37" s="260"/>
      <c r="N37" s="261">
        <f>SUM(O37:P37)</f>
        <v>4.1500000000000004</v>
      </c>
      <c r="O37" s="267">
        <v>4.1500000000000004</v>
      </c>
      <c r="P37" s="261">
        <f>$P$4</f>
        <v>0</v>
      </c>
      <c r="Q37" s="261" t="s">
        <v>729</v>
      </c>
      <c r="R37" s="262">
        <v>1722.69</v>
      </c>
      <c r="S37" s="262">
        <v>908.74</v>
      </c>
      <c r="T37" s="263">
        <f t="shared" si="0"/>
        <v>2631.4300000000003</v>
      </c>
      <c r="U37" s="263">
        <f>SUM(U36:$AV36)*$N37/100</f>
        <v>5969.1940000000004</v>
      </c>
      <c r="V37" s="263">
        <f>SUM(V36:$AV36)*$N37/100</f>
        <v>5564.4860000000008</v>
      </c>
      <c r="W37" s="263">
        <f>SUM(W36:$AV36)*$N37/100</f>
        <v>5159.7780000000002</v>
      </c>
      <c r="X37" s="263">
        <f>SUM(X36:$AV36)*$N37/100</f>
        <v>4755.0700000000006</v>
      </c>
      <c r="Y37" s="263">
        <f>SUM(Y36:$AV36)*$N37/100</f>
        <v>4350.3620000000001</v>
      </c>
      <c r="Z37" s="263">
        <f>SUM(Z36:$AV36)*$N37/100</f>
        <v>3945.6540000000005</v>
      </c>
      <c r="AA37" s="263">
        <f>SUM(AA36:$AV36)*$N37/100</f>
        <v>3540.9460000000004</v>
      </c>
      <c r="AB37" s="263">
        <f>SUM(AB36:$AV36)*$N37/100</f>
        <v>3136.2380000000003</v>
      </c>
      <c r="AC37" s="263">
        <f>SUM(AC36:$AV36)*$N37/100</f>
        <v>2731.53</v>
      </c>
      <c r="AD37" s="263">
        <f>SUM(AD36:$AV36)*$N37/100</f>
        <v>2326.8220000000001</v>
      </c>
      <c r="AE37" s="263">
        <f>SUM(AE36:$AV36)*$N37/100</f>
        <v>1922.1140000000003</v>
      </c>
      <c r="AF37" s="263">
        <f>SUM(AF36:$AV36)*$N37/100</f>
        <v>1517.4059999999999</v>
      </c>
      <c r="AG37" s="263">
        <f>SUM(AG36:$AV36)*$N37/100</f>
        <v>1112.6980000000001</v>
      </c>
      <c r="AH37" s="263">
        <f>SUM(AH36:$AV36)*$N37/100</f>
        <v>707.99</v>
      </c>
      <c r="AI37" s="263">
        <f>SUM(AI36:$AV36)*$N37/100</f>
        <v>303.28200000000004</v>
      </c>
      <c r="AJ37" s="263">
        <v>0</v>
      </c>
      <c r="AK37" s="263">
        <v>0</v>
      </c>
      <c r="AL37" s="263">
        <v>0</v>
      </c>
      <c r="AM37" s="263">
        <v>0</v>
      </c>
      <c r="AN37" s="263">
        <v>0</v>
      </c>
      <c r="AO37" s="263">
        <v>0</v>
      </c>
      <c r="AP37" s="263">
        <v>0</v>
      </c>
      <c r="AQ37" s="263">
        <v>0</v>
      </c>
      <c r="AR37" s="263">
        <v>0</v>
      </c>
      <c r="AS37" s="263">
        <v>0</v>
      </c>
      <c r="AT37" s="263">
        <v>0</v>
      </c>
      <c r="AU37" s="263">
        <v>0</v>
      </c>
      <c r="AV37" s="263">
        <v>0</v>
      </c>
      <c r="AW37" s="263"/>
      <c r="AX37" s="263"/>
      <c r="AY37" s="264">
        <f t="shared" si="1"/>
        <v>49675</v>
      </c>
      <c r="AZ37" s="236">
        <f t="shared" si="2"/>
        <v>0</v>
      </c>
      <c r="BA37" s="265">
        <f t="shared" si="3"/>
        <v>17299.026000000002</v>
      </c>
      <c r="BB37" s="264">
        <f t="shared" si="4"/>
        <v>49675</v>
      </c>
      <c r="BD37" s="257" t="b">
        <f t="shared" si="5"/>
        <v>1</v>
      </c>
    </row>
    <row r="38" spans="2:57" s="257" customFormat="1" x14ac:dyDescent="0.25">
      <c r="B38" s="250" t="s">
        <v>766</v>
      </c>
      <c r="C38" s="250">
        <v>17</v>
      </c>
      <c r="D38" s="250" t="s">
        <v>811</v>
      </c>
      <c r="E38" s="250" t="s">
        <v>812</v>
      </c>
      <c r="F38" s="250" t="s">
        <v>813</v>
      </c>
      <c r="G38" s="250" t="s">
        <v>814</v>
      </c>
      <c r="H38" s="250" t="s">
        <v>809</v>
      </c>
      <c r="I38" s="250" t="s">
        <v>726</v>
      </c>
      <c r="J38" s="251">
        <v>177076.43</v>
      </c>
      <c r="K38" s="251">
        <v>140300</v>
      </c>
      <c r="L38" s="251"/>
      <c r="M38" s="251"/>
      <c r="N38" s="252"/>
      <c r="O38" s="252">
        <v>1.903</v>
      </c>
      <c r="P38" s="252"/>
      <c r="Q38" s="252" t="s">
        <v>727</v>
      </c>
      <c r="R38" s="253">
        <v>4600</v>
      </c>
      <c r="S38" s="253">
        <v>4600</v>
      </c>
      <c r="T38" s="254">
        <f t="shared" ref="T38:T57" si="6">SUM(R38:S38)</f>
        <v>9200</v>
      </c>
      <c r="U38" s="254">
        <v>9200</v>
      </c>
      <c r="V38" s="254">
        <v>9200</v>
      </c>
      <c r="W38" s="254">
        <v>9200</v>
      </c>
      <c r="X38" s="254">
        <v>9200</v>
      </c>
      <c r="Y38" s="254">
        <v>9200</v>
      </c>
      <c r="Z38" s="254">
        <v>9200</v>
      </c>
      <c r="AA38" s="254">
        <v>9200</v>
      </c>
      <c r="AB38" s="254">
        <v>9200</v>
      </c>
      <c r="AC38" s="254">
        <v>9200</v>
      </c>
      <c r="AD38" s="254">
        <v>9200</v>
      </c>
      <c r="AE38" s="254">
        <v>9200</v>
      </c>
      <c r="AF38" s="254">
        <v>9200</v>
      </c>
      <c r="AG38" s="254">
        <v>9200</v>
      </c>
      <c r="AH38" s="254">
        <v>9200</v>
      </c>
      <c r="AI38" s="254">
        <v>6900</v>
      </c>
      <c r="AJ38" s="254">
        <v>0</v>
      </c>
      <c r="AK38" s="254">
        <v>0</v>
      </c>
      <c r="AL38" s="254">
        <v>0</v>
      </c>
      <c r="AM38" s="254">
        <v>0</v>
      </c>
      <c r="AN38" s="254">
        <v>0</v>
      </c>
      <c r="AO38" s="254">
        <v>0</v>
      </c>
      <c r="AP38" s="254">
        <v>0</v>
      </c>
      <c r="AQ38" s="254">
        <v>0</v>
      </c>
      <c r="AR38" s="254">
        <v>0</v>
      </c>
      <c r="AS38" s="254">
        <v>0</v>
      </c>
      <c r="AT38" s="254">
        <v>0</v>
      </c>
      <c r="AU38" s="254">
        <v>0</v>
      </c>
      <c r="AV38" s="254">
        <v>0</v>
      </c>
      <c r="AW38" s="254"/>
      <c r="AX38" s="254"/>
      <c r="AY38" s="255">
        <f t="shared" ref="AY38:AY101" si="7">SUM(T38:AX38)</f>
        <v>144900</v>
      </c>
      <c r="AZ38" s="236">
        <f t="shared" ref="AZ38:AZ101" si="8">AY38-SUM(T38:AX38)</f>
        <v>0</v>
      </c>
      <c r="BA38" s="256">
        <f t="shared" si="3"/>
        <v>80500</v>
      </c>
      <c r="BB38" s="255">
        <f t="shared" si="4"/>
        <v>144900</v>
      </c>
      <c r="BD38" s="257" t="b">
        <f t="shared" si="5"/>
        <v>1</v>
      </c>
      <c r="BE38" s="258">
        <f>BB38-K38-R38</f>
        <v>0</v>
      </c>
    </row>
    <row r="39" spans="2:57" x14ac:dyDescent="0.25">
      <c r="B39" s="259" t="s">
        <v>766</v>
      </c>
      <c r="C39" s="259"/>
      <c r="D39" s="259"/>
      <c r="E39" s="259"/>
      <c r="F39" s="259"/>
      <c r="G39" s="259"/>
      <c r="H39" s="259"/>
      <c r="I39" s="259"/>
      <c r="J39" s="260"/>
      <c r="K39" s="260"/>
      <c r="L39" s="260" t="s">
        <v>815</v>
      </c>
      <c r="M39" s="260"/>
      <c r="N39" s="261">
        <f>SUM(O39:P39)</f>
        <v>4.1500000000000004</v>
      </c>
      <c r="O39" s="267">
        <v>4.1500000000000004</v>
      </c>
      <c r="P39" s="261">
        <f>$P$4</f>
        <v>0</v>
      </c>
      <c r="Q39" s="261" t="s">
        <v>729</v>
      </c>
      <c r="R39" s="262">
        <v>2086.9299999999998</v>
      </c>
      <c r="S39" s="262">
        <v>851.29</v>
      </c>
      <c r="T39" s="263">
        <f t="shared" si="6"/>
        <v>2938.22</v>
      </c>
      <c r="U39" s="263">
        <f>SUM(U38:$AV38)*$N39/100</f>
        <v>5631.55</v>
      </c>
      <c r="V39" s="263">
        <f>SUM(V38:$AV38)*$N39/100</f>
        <v>5249.75</v>
      </c>
      <c r="W39" s="263">
        <f>SUM(W38:$AV38)*$N39/100</f>
        <v>4867.9500000000007</v>
      </c>
      <c r="X39" s="263">
        <f>SUM(X38:$AV38)*$N39/100</f>
        <v>4486.1500000000005</v>
      </c>
      <c r="Y39" s="263">
        <f>SUM(Y38:$AV38)*$N39/100</f>
        <v>4104.3500000000004</v>
      </c>
      <c r="Z39" s="263">
        <f>SUM(Z38:$AV38)*$N39/100</f>
        <v>3722.5500000000006</v>
      </c>
      <c r="AA39" s="263">
        <f>SUM(AA38:$AV38)*$N39/100</f>
        <v>3340.75</v>
      </c>
      <c r="AB39" s="263">
        <f>SUM(AB38:$AV38)*$N39/100</f>
        <v>2958.95</v>
      </c>
      <c r="AC39" s="263">
        <f>SUM(AC38:$AV38)*$N39/100</f>
        <v>2577.15</v>
      </c>
      <c r="AD39" s="263">
        <f>SUM(AD38:$AV38)*$N39/100</f>
        <v>2195.3500000000004</v>
      </c>
      <c r="AE39" s="263">
        <f>SUM(AE38:$AV38)*$N39/100</f>
        <v>1813.5500000000002</v>
      </c>
      <c r="AF39" s="263">
        <f>SUM(AF38:$AV38)*$N39/100</f>
        <v>1431.75</v>
      </c>
      <c r="AG39" s="263">
        <f>SUM(AG38:$AV38)*$N39/100</f>
        <v>1049.95</v>
      </c>
      <c r="AH39" s="263">
        <f>SUM(AH38:$AV38)*$N39/100</f>
        <v>668.15</v>
      </c>
      <c r="AI39" s="263">
        <f>SUM(AI38:$AV38)*$N39/100</f>
        <v>286.35000000000002</v>
      </c>
      <c r="AJ39" s="263">
        <v>0</v>
      </c>
      <c r="AK39" s="263">
        <v>0</v>
      </c>
      <c r="AL39" s="263">
        <v>0</v>
      </c>
      <c r="AM39" s="263">
        <v>0</v>
      </c>
      <c r="AN39" s="263">
        <v>0</v>
      </c>
      <c r="AO39" s="263">
        <v>0</v>
      </c>
      <c r="AP39" s="263">
        <v>0</v>
      </c>
      <c r="AQ39" s="263">
        <v>0</v>
      </c>
      <c r="AR39" s="263">
        <v>0</v>
      </c>
      <c r="AS39" s="263">
        <v>0</v>
      </c>
      <c r="AT39" s="263">
        <v>0</v>
      </c>
      <c r="AU39" s="263">
        <v>0</v>
      </c>
      <c r="AV39" s="263">
        <v>0</v>
      </c>
      <c r="AW39" s="263"/>
      <c r="AX39" s="263"/>
      <c r="AY39" s="264">
        <f t="shared" si="7"/>
        <v>47322.47</v>
      </c>
      <c r="AZ39" s="236">
        <f t="shared" si="8"/>
        <v>0</v>
      </c>
      <c r="BA39" s="265">
        <f t="shared" si="3"/>
        <v>16321.95</v>
      </c>
      <c r="BB39" s="264">
        <f t="shared" si="4"/>
        <v>47322.47</v>
      </c>
      <c r="BD39" s="257" t="b">
        <f t="shared" si="5"/>
        <v>1</v>
      </c>
    </row>
    <row r="40" spans="2:57" s="257" customFormat="1" x14ac:dyDescent="0.25">
      <c r="B40" s="250" t="s">
        <v>720</v>
      </c>
      <c r="C40" s="250">
        <v>18</v>
      </c>
      <c r="D40" s="250" t="s">
        <v>816</v>
      </c>
      <c r="E40" s="250" t="s">
        <v>817</v>
      </c>
      <c r="F40" s="250" t="s">
        <v>818</v>
      </c>
      <c r="G40" s="250" t="s">
        <v>814</v>
      </c>
      <c r="H40" s="250" t="s">
        <v>819</v>
      </c>
      <c r="I40" s="250" t="s">
        <v>726</v>
      </c>
      <c r="J40" s="251">
        <v>1174139.99</v>
      </c>
      <c r="K40" s="251">
        <v>830003.99</v>
      </c>
      <c r="L40" s="251"/>
      <c r="M40" s="251"/>
      <c r="N40" s="252"/>
      <c r="O40" s="252">
        <v>1.903</v>
      </c>
      <c r="P40" s="252"/>
      <c r="Q40" s="252" t="s">
        <v>727</v>
      </c>
      <c r="R40" s="253">
        <v>40488</v>
      </c>
      <c r="S40" s="253">
        <v>40488</v>
      </c>
      <c r="T40" s="254">
        <f t="shared" si="6"/>
        <v>80976</v>
      </c>
      <c r="U40" s="254">
        <v>80976</v>
      </c>
      <c r="V40" s="254">
        <v>80976</v>
      </c>
      <c r="W40" s="254">
        <v>80976</v>
      </c>
      <c r="X40" s="254">
        <v>80976</v>
      </c>
      <c r="Y40" s="254">
        <v>80976</v>
      </c>
      <c r="Z40" s="254">
        <v>80976</v>
      </c>
      <c r="AA40" s="254">
        <v>80976</v>
      </c>
      <c r="AB40" s="254">
        <v>80976</v>
      </c>
      <c r="AC40" s="254">
        <v>80976</v>
      </c>
      <c r="AD40" s="254">
        <v>60731.990000000005</v>
      </c>
      <c r="AE40" s="254">
        <v>0</v>
      </c>
      <c r="AF40" s="254">
        <v>0</v>
      </c>
      <c r="AG40" s="254">
        <v>0</v>
      </c>
      <c r="AH40" s="254">
        <v>0</v>
      </c>
      <c r="AI40" s="254">
        <v>0</v>
      </c>
      <c r="AJ40" s="254">
        <v>0</v>
      </c>
      <c r="AK40" s="254">
        <v>0</v>
      </c>
      <c r="AL40" s="254">
        <v>0</v>
      </c>
      <c r="AM40" s="254">
        <v>0</v>
      </c>
      <c r="AN40" s="254">
        <v>0</v>
      </c>
      <c r="AO40" s="254">
        <v>0</v>
      </c>
      <c r="AP40" s="254">
        <v>0</v>
      </c>
      <c r="AQ40" s="254">
        <v>0</v>
      </c>
      <c r="AR40" s="254">
        <v>0</v>
      </c>
      <c r="AS40" s="254">
        <v>0</v>
      </c>
      <c r="AT40" s="254">
        <v>0</v>
      </c>
      <c r="AU40" s="254">
        <v>0</v>
      </c>
      <c r="AV40" s="254">
        <v>0</v>
      </c>
      <c r="AW40" s="254"/>
      <c r="AX40" s="254"/>
      <c r="AY40" s="255">
        <f t="shared" si="7"/>
        <v>870491.99</v>
      </c>
      <c r="AZ40" s="236">
        <f t="shared" si="8"/>
        <v>0</v>
      </c>
      <c r="BA40" s="256">
        <f t="shared" si="3"/>
        <v>303659.99</v>
      </c>
      <c r="BB40" s="255">
        <f t="shared" si="4"/>
        <v>870491.99</v>
      </c>
      <c r="BD40" s="257" t="b">
        <f t="shared" si="5"/>
        <v>1</v>
      </c>
      <c r="BE40" s="258">
        <f>BB40-K40-R40</f>
        <v>0</v>
      </c>
    </row>
    <row r="41" spans="2:57" x14ac:dyDescent="0.25">
      <c r="B41" s="259" t="s">
        <v>720</v>
      </c>
      <c r="C41" s="259"/>
      <c r="D41" s="259"/>
      <c r="E41" s="259"/>
      <c r="F41" s="259"/>
      <c r="G41" s="259"/>
      <c r="H41" s="259"/>
      <c r="I41" s="259"/>
      <c r="J41" s="260"/>
      <c r="K41" s="260"/>
      <c r="L41" s="260" t="s">
        <v>820</v>
      </c>
      <c r="M41" s="260"/>
      <c r="N41" s="261">
        <f>SUM(O41:P41)</f>
        <v>4.1500000000000004</v>
      </c>
      <c r="O41" s="267">
        <v>4.1500000000000004</v>
      </c>
      <c r="P41" s="261">
        <f>$P$4</f>
        <v>0</v>
      </c>
      <c r="Q41" s="261" t="s">
        <v>729</v>
      </c>
      <c r="R41" s="262">
        <v>12525.74</v>
      </c>
      <c r="S41" s="262">
        <v>4977</v>
      </c>
      <c r="T41" s="263">
        <f t="shared" si="6"/>
        <v>17502.739999999998</v>
      </c>
      <c r="U41" s="263">
        <f>SUM(U40:$AV40)*$N41/100</f>
        <v>32764.913585000002</v>
      </c>
      <c r="V41" s="263">
        <f>SUM(V40:$AV40)*$N41/100</f>
        <v>29404.409585000001</v>
      </c>
      <c r="W41" s="263">
        <f>SUM(W40:$AV40)*$N41/100</f>
        <v>26043.905585000004</v>
      </c>
      <c r="X41" s="263">
        <f>SUM(X40:$AV40)*$N41/100</f>
        <v>22683.401585000003</v>
      </c>
      <c r="Y41" s="263">
        <f>SUM(Y40:$AV40)*$N41/100</f>
        <v>19322.897585000002</v>
      </c>
      <c r="Z41" s="263">
        <f>SUM(Z40:$AV40)*$N41/100</f>
        <v>15962.393585000002</v>
      </c>
      <c r="AA41" s="263">
        <f>SUM(AA40:$AV40)*$N41/100</f>
        <v>12601.889585000003</v>
      </c>
      <c r="AB41" s="263">
        <f>SUM(AB40:$AV40)*$N41/100</f>
        <v>9241.385585</v>
      </c>
      <c r="AC41" s="263">
        <f>SUM(AC40:$AV40)*$N41/100</f>
        <v>5880.8815850000001</v>
      </c>
      <c r="AD41" s="263">
        <f>SUM(AD40:$AV40)*$N41/100</f>
        <v>2520.3775850000006</v>
      </c>
      <c r="AE41" s="263">
        <v>0</v>
      </c>
      <c r="AF41" s="263">
        <v>0</v>
      </c>
      <c r="AG41" s="263">
        <v>0</v>
      </c>
      <c r="AH41" s="263">
        <v>0</v>
      </c>
      <c r="AI41" s="263">
        <v>0</v>
      </c>
      <c r="AJ41" s="263">
        <v>0</v>
      </c>
      <c r="AK41" s="263">
        <v>0</v>
      </c>
      <c r="AL41" s="263">
        <v>0</v>
      </c>
      <c r="AM41" s="263">
        <v>0</v>
      </c>
      <c r="AN41" s="263">
        <v>0</v>
      </c>
      <c r="AO41" s="263">
        <v>0</v>
      </c>
      <c r="AP41" s="263">
        <v>0</v>
      </c>
      <c r="AQ41" s="263">
        <v>0</v>
      </c>
      <c r="AR41" s="263">
        <v>0</v>
      </c>
      <c r="AS41" s="263">
        <v>0</v>
      </c>
      <c r="AT41" s="263">
        <v>0</v>
      </c>
      <c r="AU41" s="263">
        <v>0</v>
      </c>
      <c r="AV41" s="263">
        <v>0</v>
      </c>
      <c r="AW41" s="263"/>
      <c r="AX41" s="263"/>
      <c r="AY41" s="264">
        <f t="shared" si="7"/>
        <v>193929.19585000005</v>
      </c>
      <c r="AZ41" s="236">
        <f t="shared" si="8"/>
        <v>0</v>
      </c>
      <c r="BA41" s="265">
        <f t="shared" si="3"/>
        <v>30244.534340000002</v>
      </c>
      <c r="BB41" s="264">
        <f t="shared" si="4"/>
        <v>193929.19585000005</v>
      </c>
      <c r="BD41" s="257" t="b">
        <f t="shared" si="5"/>
        <v>1</v>
      </c>
    </row>
    <row r="42" spans="2:57" s="257" customFormat="1" x14ac:dyDescent="0.25">
      <c r="B42" s="250" t="s">
        <v>720</v>
      </c>
      <c r="C42" s="250">
        <v>19</v>
      </c>
      <c r="D42" s="250" t="s">
        <v>821</v>
      </c>
      <c r="E42" s="250" t="s">
        <v>822</v>
      </c>
      <c r="F42" s="250" t="s">
        <v>823</v>
      </c>
      <c r="G42" s="250" t="s">
        <v>824</v>
      </c>
      <c r="H42" s="250" t="s">
        <v>825</v>
      </c>
      <c r="I42" s="250" t="s">
        <v>726</v>
      </c>
      <c r="J42" s="251">
        <v>388132.51</v>
      </c>
      <c r="K42" s="251">
        <v>204582</v>
      </c>
      <c r="L42" s="251"/>
      <c r="M42" s="251"/>
      <c r="N42" s="252"/>
      <c r="O42" s="252">
        <v>2.621</v>
      </c>
      <c r="P42" s="252"/>
      <c r="Q42" s="252" t="s">
        <v>727</v>
      </c>
      <c r="R42" s="253">
        <v>19484</v>
      </c>
      <c r="S42" s="253">
        <v>19484</v>
      </c>
      <c r="T42" s="254">
        <f t="shared" si="6"/>
        <v>38968</v>
      </c>
      <c r="U42" s="254">
        <v>38968</v>
      </c>
      <c r="V42" s="254">
        <v>38968</v>
      </c>
      <c r="W42" s="254">
        <v>38968</v>
      </c>
      <c r="X42" s="254">
        <v>38968</v>
      </c>
      <c r="Y42" s="254">
        <v>29226</v>
      </c>
      <c r="Z42" s="254">
        <v>0</v>
      </c>
      <c r="AA42" s="254">
        <v>0</v>
      </c>
      <c r="AB42" s="254">
        <v>0</v>
      </c>
      <c r="AC42" s="254">
        <v>0</v>
      </c>
      <c r="AD42" s="254">
        <v>0</v>
      </c>
      <c r="AE42" s="254">
        <v>0</v>
      </c>
      <c r="AF42" s="254">
        <v>0</v>
      </c>
      <c r="AG42" s="254">
        <v>0</v>
      </c>
      <c r="AH42" s="254">
        <v>0</v>
      </c>
      <c r="AI42" s="254">
        <v>0</v>
      </c>
      <c r="AJ42" s="254">
        <v>0</v>
      </c>
      <c r="AK42" s="254">
        <v>0</v>
      </c>
      <c r="AL42" s="254">
        <v>0</v>
      </c>
      <c r="AM42" s="254">
        <v>0</v>
      </c>
      <c r="AN42" s="254">
        <v>0</v>
      </c>
      <c r="AO42" s="254">
        <v>0</v>
      </c>
      <c r="AP42" s="254">
        <v>0</v>
      </c>
      <c r="AQ42" s="254">
        <v>0</v>
      </c>
      <c r="AR42" s="254">
        <v>0</v>
      </c>
      <c r="AS42" s="254">
        <v>0</v>
      </c>
      <c r="AT42" s="254">
        <v>0</v>
      </c>
      <c r="AU42" s="254">
        <v>0</v>
      </c>
      <c r="AV42" s="254">
        <v>0</v>
      </c>
      <c r="AW42" s="254"/>
      <c r="AX42" s="254"/>
      <c r="AY42" s="255">
        <f t="shared" si="7"/>
        <v>224066</v>
      </c>
      <c r="AZ42" s="236">
        <f t="shared" si="8"/>
        <v>0</v>
      </c>
      <c r="BA42" s="256">
        <f t="shared" si="3"/>
        <v>0</v>
      </c>
      <c r="BB42" s="255">
        <f t="shared" si="4"/>
        <v>224066</v>
      </c>
      <c r="BD42" s="257" t="b">
        <f t="shared" si="5"/>
        <v>1</v>
      </c>
      <c r="BE42" s="258">
        <f>BB42-K42-R42</f>
        <v>0</v>
      </c>
    </row>
    <row r="43" spans="2:57" x14ac:dyDescent="0.25">
      <c r="B43" s="259" t="s">
        <v>720</v>
      </c>
      <c r="C43" s="259"/>
      <c r="D43" s="259"/>
      <c r="E43" s="259"/>
      <c r="F43" s="259"/>
      <c r="G43" s="259"/>
      <c r="H43" s="259"/>
      <c r="I43" s="259"/>
      <c r="J43" s="260"/>
      <c r="K43" s="260"/>
      <c r="L43" s="260" t="s">
        <v>826</v>
      </c>
      <c r="M43" s="260"/>
      <c r="N43" s="261">
        <f>SUM(O43:P43)</f>
        <v>4.1500000000000004</v>
      </c>
      <c r="O43" s="267">
        <v>4.1500000000000004</v>
      </c>
      <c r="P43" s="261">
        <f>$P$4</f>
        <v>0</v>
      </c>
      <c r="Q43" s="261" t="s">
        <v>729</v>
      </c>
      <c r="R43" s="262">
        <v>4395.3599999999997</v>
      </c>
      <c r="S43" s="262">
        <v>1362.51</v>
      </c>
      <c r="T43" s="263">
        <f t="shared" si="6"/>
        <v>5757.87</v>
      </c>
      <c r="U43" s="263">
        <f>SUM(U42:$AV42)*$N43/100</f>
        <v>7681.5670000000009</v>
      </c>
      <c r="V43" s="263">
        <f>SUM(V42:$AV42)*$N43/100</f>
        <v>6064.3950000000004</v>
      </c>
      <c r="W43" s="263">
        <f>SUM(W42:$AV42)*$N43/100</f>
        <v>4447.2230000000009</v>
      </c>
      <c r="X43" s="263">
        <f>SUM(X42:$AV42)*$N43/100</f>
        <v>2830.0510000000004</v>
      </c>
      <c r="Y43" s="263">
        <f>SUM(Y42:$AV42)*$N43/100</f>
        <v>1212.8790000000001</v>
      </c>
      <c r="Z43" s="263">
        <v>0</v>
      </c>
      <c r="AA43" s="263">
        <v>0</v>
      </c>
      <c r="AB43" s="263">
        <v>0</v>
      </c>
      <c r="AC43" s="263">
        <v>0</v>
      </c>
      <c r="AD43" s="263">
        <v>0</v>
      </c>
      <c r="AE43" s="263">
        <v>0</v>
      </c>
      <c r="AF43" s="263">
        <v>0</v>
      </c>
      <c r="AG43" s="263">
        <v>0</v>
      </c>
      <c r="AH43" s="263">
        <v>0</v>
      </c>
      <c r="AI43" s="263">
        <v>0</v>
      </c>
      <c r="AJ43" s="263">
        <v>0</v>
      </c>
      <c r="AK43" s="263">
        <v>0</v>
      </c>
      <c r="AL43" s="263">
        <v>0</v>
      </c>
      <c r="AM43" s="263">
        <v>0</v>
      </c>
      <c r="AN43" s="263">
        <v>0</v>
      </c>
      <c r="AO43" s="263">
        <v>0</v>
      </c>
      <c r="AP43" s="263">
        <v>0</v>
      </c>
      <c r="AQ43" s="263">
        <v>0</v>
      </c>
      <c r="AR43" s="263">
        <v>0</v>
      </c>
      <c r="AS43" s="263">
        <v>0</v>
      </c>
      <c r="AT43" s="263">
        <v>0</v>
      </c>
      <c r="AU43" s="263">
        <v>0</v>
      </c>
      <c r="AV43" s="263">
        <v>0</v>
      </c>
      <c r="AW43" s="263"/>
      <c r="AX43" s="263"/>
      <c r="AY43" s="264">
        <f t="shared" si="7"/>
        <v>27993.985000000004</v>
      </c>
      <c r="AZ43" s="236">
        <f t="shared" si="8"/>
        <v>0</v>
      </c>
      <c r="BA43" s="265">
        <f t="shared" si="3"/>
        <v>0</v>
      </c>
      <c r="BB43" s="264">
        <f t="shared" si="4"/>
        <v>27993.985000000004</v>
      </c>
      <c r="BD43" s="257" t="b">
        <f t="shared" si="5"/>
        <v>1</v>
      </c>
    </row>
    <row r="44" spans="2:57" s="257" customFormat="1" x14ac:dyDescent="0.25">
      <c r="B44" s="250" t="s">
        <v>766</v>
      </c>
      <c r="C44" s="250">
        <v>20</v>
      </c>
      <c r="D44" s="250" t="s">
        <v>827</v>
      </c>
      <c r="E44" s="250" t="s">
        <v>828</v>
      </c>
      <c r="F44" s="250" t="s">
        <v>829</v>
      </c>
      <c r="G44" s="250" t="s">
        <v>830</v>
      </c>
      <c r="H44" s="250" t="s">
        <v>831</v>
      </c>
      <c r="I44" s="250" t="s">
        <v>726</v>
      </c>
      <c r="J44" s="251">
        <v>160577.24</v>
      </c>
      <c r="K44" s="251">
        <v>127658</v>
      </c>
      <c r="L44" s="251"/>
      <c r="M44" s="251"/>
      <c r="N44" s="252"/>
      <c r="O44" s="252">
        <v>2.964</v>
      </c>
      <c r="P44" s="252"/>
      <c r="Q44" s="252" t="s">
        <v>727</v>
      </c>
      <c r="R44" s="253">
        <v>4118</v>
      </c>
      <c r="S44" s="253">
        <v>4118</v>
      </c>
      <c r="T44" s="254">
        <f t="shared" si="6"/>
        <v>8236</v>
      </c>
      <c r="U44" s="254">
        <v>8236</v>
      </c>
      <c r="V44" s="254">
        <v>8236</v>
      </c>
      <c r="W44" s="254">
        <v>8236</v>
      </c>
      <c r="X44" s="254">
        <v>8236</v>
      </c>
      <c r="Y44" s="254">
        <v>8236</v>
      </c>
      <c r="Z44" s="254">
        <v>8236</v>
      </c>
      <c r="AA44" s="254">
        <v>8236</v>
      </c>
      <c r="AB44" s="254">
        <v>8236</v>
      </c>
      <c r="AC44" s="254">
        <v>8236</v>
      </c>
      <c r="AD44" s="254">
        <v>8236</v>
      </c>
      <c r="AE44" s="254">
        <v>8236</v>
      </c>
      <c r="AF44" s="254">
        <v>8236</v>
      </c>
      <c r="AG44" s="254">
        <v>8236</v>
      </c>
      <c r="AH44" s="254">
        <v>8236</v>
      </c>
      <c r="AI44" s="254">
        <v>8236</v>
      </c>
      <c r="AJ44" s="254">
        <v>0</v>
      </c>
      <c r="AK44" s="254">
        <v>0</v>
      </c>
      <c r="AL44" s="254">
        <v>0</v>
      </c>
      <c r="AM44" s="254">
        <v>0</v>
      </c>
      <c r="AN44" s="254">
        <v>0</v>
      </c>
      <c r="AO44" s="254">
        <v>0</v>
      </c>
      <c r="AP44" s="254">
        <v>0</v>
      </c>
      <c r="AQ44" s="254">
        <v>0</v>
      </c>
      <c r="AR44" s="254">
        <v>0</v>
      </c>
      <c r="AS44" s="254">
        <v>0</v>
      </c>
      <c r="AT44" s="254">
        <v>0</v>
      </c>
      <c r="AU44" s="254">
        <v>0</v>
      </c>
      <c r="AV44" s="254">
        <v>0</v>
      </c>
      <c r="AW44" s="254"/>
      <c r="AX44" s="254"/>
      <c r="AY44" s="255">
        <f t="shared" si="7"/>
        <v>131776</v>
      </c>
      <c r="AZ44" s="236">
        <f t="shared" si="8"/>
        <v>0</v>
      </c>
      <c r="BA44" s="256">
        <f t="shared" si="3"/>
        <v>74124</v>
      </c>
      <c r="BB44" s="255">
        <f t="shared" si="4"/>
        <v>131776</v>
      </c>
      <c r="BD44" s="257" t="b">
        <f t="shared" si="5"/>
        <v>1</v>
      </c>
      <c r="BE44" s="258">
        <f>BB44-K44-R44</f>
        <v>0</v>
      </c>
    </row>
    <row r="45" spans="2:57" x14ac:dyDescent="0.25">
      <c r="B45" s="259" t="s">
        <v>766</v>
      </c>
      <c r="C45" s="259"/>
      <c r="D45" s="259"/>
      <c r="E45" s="259"/>
      <c r="F45" s="259"/>
      <c r="G45" s="259"/>
      <c r="H45" s="259"/>
      <c r="I45" s="259"/>
      <c r="J45" s="260"/>
      <c r="K45" s="260"/>
      <c r="L45" s="260" t="s">
        <v>832</v>
      </c>
      <c r="M45" s="260"/>
      <c r="N45" s="261">
        <f>SUM(O45:P45)</f>
        <v>4.1500000000000004</v>
      </c>
      <c r="O45" s="267">
        <v>4.1500000000000004</v>
      </c>
      <c r="P45" s="261">
        <f>$P$4</f>
        <v>0</v>
      </c>
      <c r="Q45" s="261" t="s">
        <v>729</v>
      </c>
      <c r="R45" s="262">
        <v>2537.44</v>
      </c>
      <c r="S45" s="262">
        <v>965.1</v>
      </c>
      <c r="T45" s="263">
        <f t="shared" si="6"/>
        <v>3502.54</v>
      </c>
      <c r="U45" s="263">
        <f>SUM(U44:$AV44)*$N45/100</f>
        <v>5126.9100000000008</v>
      </c>
      <c r="V45" s="263">
        <f>SUM(V44:$AV44)*$N45/100</f>
        <v>4785.116</v>
      </c>
      <c r="W45" s="263">
        <f>SUM(W44:$AV44)*$N45/100</f>
        <v>4443.3220000000001</v>
      </c>
      <c r="X45" s="263">
        <f>SUM(X44:$AV44)*$N45/100</f>
        <v>4101.5280000000002</v>
      </c>
      <c r="Y45" s="263">
        <f>SUM(Y44:$AV44)*$N45/100</f>
        <v>3759.7340000000004</v>
      </c>
      <c r="Z45" s="263">
        <f>SUM(Z44:$AV44)*$N45/100</f>
        <v>3417.9400000000005</v>
      </c>
      <c r="AA45" s="263">
        <f>SUM(AA44:$AV44)*$N45/100</f>
        <v>3076.1460000000002</v>
      </c>
      <c r="AB45" s="263">
        <f>SUM(AB44:$AV44)*$N45/100</f>
        <v>2734.3520000000003</v>
      </c>
      <c r="AC45" s="263">
        <f>SUM(AC44:$AV44)*$N45/100</f>
        <v>2392.558</v>
      </c>
      <c r="AD45" s="263">
        <f>SUM(AD44:$AV44)*$N45/100</f>
        <v>2050.7640000000001</v>
      </c>
      <c r="AE45" s="263">
        <f>SUM(AE44:$AV44)*$N45/100</f>
        <v>1708.9700000000003</v>
      </c>
      <c r="AF45" s="263">
        <f>SUM(AF44:$AV44)*$N45/100</f>
        <v>1367.1760000000002</v>
      </c>
      <c r="AG45" s="263">
        <f>SUM(AG44:$AV44)*$N45/100</f>
        <v>1025.3820000000001</v>
      </c>
      <c r="AH45" s="263">
        <f>SUM(AH44:$AV44)*$N45/100</f>
        <v>683.58800000000008</v>
      </c>
      <c r="AI45" s="263">
        <f>SUM(AI44:$AV44)*$N45/100</f>
        <v>341.79400000000004</v>
      </c>
      <c r="AJ45" s="263">
        <v>0</v>
      </c>
      <c r="AK45" s="263">
        <v>0</v>
      </c>
      <c r="AL45" s="263">
        <v>0</v>
      </c>
      <c r="AM45" s="263">
        <v>0</v>
      </c>
      <c r="AN45" s="263">
        <v>0</v>
      </c>
      <c r="AO45" s="263">
        <v>0</v>
      </c>
      <c r="AP45" s="263">
        <v>0</v>
      </c>
      <c r="AQ45" s="263">
        <v>0</v>
      </c>
      <c r="AR45" s="263">
        <v>0</v>
      </c>
      <c r="AS45" s="263">
        <v>0</v>
      </c>
      <c r="AT45" s="263">
        <v>0</v>
      </c>
      <c r="AU45" s="263">
        <v>0</v>
      </c>
      <c r="AV45" s="263">
        <v>0</v>
      </c>
      <c r="AW45" s="263"/>
      <c r="AX45" s="263"/>
      <c r="AY45" s="264">
        <f t="shared" si="7"/>
        <v>44517.82</v>
      </c>
      <c r="AZ45" s="236">
        <f t="shared" si="8"/>
        <v>0</v>
      </c>
      <c r="BA45" s="265">
        <f t="shared" si="3"/>
        <v>15380.73</v>
      </c>
      <c r="BB45" s="264">
        <f t="shared" si="4"/>
        <v>44517.819999999992</v>
      </c>
      <c r="BD45" s="257" t="b">
        <f t="shared" si="5"/>
        <v>1</v>
      </c>
    </row>
    <row r="46" spans="2:57" s="257" customFormat="1" x14ac:dyDescent="0.25">
      <c r="B46" s="250" t="s">
        <v>766</v>
      </c>
      <c r="C46" s="250">
        <v>21</v>
      </c>
      <c r="D46" s="250" t="s">
        <v>833</v>
      </c>
      <c r="E46" s="250" t="s">
        <v>834</v>
      </c>
      <c r="F46" s="250" t="s">
        <v>835</v>
      </c>
      <c r="G46" s="250" t="s">
        <v>836</v>
      </c>
      <c r="H46" s="250" t="s">
        <v>837</v>
      </c>
      <c r="I46" s="250" t="s">
        <v>726</v>
      </c>
      <c r="J46" s="251">
        <v>131127</v>
      </c>
      <c r="K46" s="251">
        <v>104284</v>
      </c>
      <c r="L46" s="251"/>
      <c r="M46" s="251"/>
      <c r="N46" s="252"/>
      <c r="O46" s="252">
        <v>2.9870000000000001</v>
      </c>
      <c r="P46" s="252"/>
      <c r="Q46" s="252" t="s">
        <v>727</v>
      </c>
      <c r="R46" s="253">
        <v>3364</v>
      </c>
      <c r="S46" s="253">
        <v>3364</v>
      </c>
      <c r="T46" s="254">
        <f t="shared" si="6"/>
        <v>6728</v>
      </c>
      <c r="U46" s="254">
        <v>6728</v>
      </c>
      <c r="V46" s="254">
        <v>6728</v>
      </c>
      <c r="W46" s="254">
        <v>6728</v>
      </c>
      <c r="X46" s="254">
        <v>6728</v>
      </c>
      <c r="Y46" s="254">
        <v>6728</v>
      </c>
      <c r="Z46" s="254">
        <v>6728</v>
      </c>
      <c r="AA46" s="254">
        <v>6728</v>
      </c>
      <c r="AB46" s="254">
        <v>6728</v>
      </c>
      <c r="AC46" s="254">
        <v>6728</v>
      </c>
      <c r="AD46" s="254">
        <v>6728</v>
      </c>
      <c r="AE46" s="254">
        <v>6728</v>
      </c>
      <c r="AF46" s="254">
        <v>6728</v>
      </c>
      <c r="AG46" s="254">
        <v>6728</v>
      </c>
      <c r="AH46" s="254">
        <v>6728</v>
      </c>
      <c r="AI46" s="254">
        <v>6728</v>
      </c>
      <c r="AJ46" s="254">
        <v>0</v>
      </c>
      <c r="AK46" s="254">
        <v>0</v>
      </c>
      <c r="AL46" s="254">
        <v>0</v>
      </c>
      <c r="AM46" s="254">
        <v>0</v>
      </c>
      <c r="AN46" s="254">
        <v>0</v>
      </c>
      <c r="AO46" s="254">
        <v>0</v>
      </c>
      <c r="AP46" s="254">
        <v>0</v>
      </c>
      <c r="AQ46" s="254">
        <v>0</v>
      </c>
      <c r="AR46" s="254">
        <v>0</v>
      </c>
      <c r="AS46" s="254">
        <v>0</v>
      </c>
      <c r="AT46" s="254">
        <v>0</v>
      </c>
      <c r="AU46" s="254">
        <v>0</v>
      </c>
      <c r="AV46" s="254">
        <v>0</v>
      </c>
      <c r="AW46" s="254"/>
      <c r="AX46" s="254"/>
      <c r="AY46" s="255">
        <f t="shared" si="7"/>
        <v>107648</v>
      </c>
      <c r="AZ46" s="236">
        <f t="shared" si="8"/>
        <v>0</v>
      </c>
      <c r="BA46" s="256">
        <f t="shared" si="3"/>
        <v>60552</v>
      </c>
      <c r="BB46" s="255">
        <f t="shared" si="4"/>
        <v>107648</v>
      </c>
      <c r="BD46" s="257" t="b">
        <f t="shared" si="5"/>
        <v>1</v>
      </c>
      <c r="BE46" s="258">
        <f>BB46-K46-R46</f>
        <v>0</v>
      </c>
    </row>
    <row r="47" spans="2:57" x14ac:dyDescent="0.25">
      <c r="B47" s="259" t="s">
        <v>766</v>
      </c>
      <c r="C47" s="259"/>
      <c r="D47" s="259"/>
      <c r="E47" s="259"/>
      <c r="F47" s="259"/>
      <c r="G47" s="259"/>
      <c r="H47" s="259"/>
      <c r="I47" s="259"/>
      <c r="J47" s="260"/>
      <c r="K47" s="260"/>
      <c r="L47" s="260" t="s">
        <v>838</v>
      </c>
      <c r="M47" s="260"/>
      <c r="N47" s="261">
        <f>SUM(O47:P47)</f>
        <v>4.1500000000000004</v>
      </c>
      <c r="O47" s="267">
        <v>4.1500000000000004</v>
      </c>
      <c r="P47" s="261">
        <f>$P$4</f>
        <v>0</v>
      </c>
      <c r="Q47" s="261" t="s">
        <v>729</v>
      </c>
      <c r="R47" s="262">
        <v>2034.5</v>
      </c>
      <c r="S47" s="262">
        <v>794.51</v>
      </c>
      <c r="T47" s="263">
        <f t="shared" si="6"/>
        <v>2829.01</v>
      </c>
      <c r="U47" s="263">
        <f>SUM(U46:$AV46)*$N47/100</f>
        <v>4188.18</v>
      </c>
      <c r="V47" s="263">
        <f>SUM(V46:$AV46)*$N47/100</f>
        <v>3908.9680000000003</v>
      </c>
      <c r="W47" s="263">
        <f>SUM(W46:$AV46)*$N47/100</f>
        <v>3629.7560000000003</v>
      </c>
      <c r="X47" s="263">
        <f>SUM(X46:$AV46)*$N47/100</f>
        <v>3350.5440000000003</v>
      </c>
      <c r="Y47" s="263">
        <f>SUM(Y46:$AV46)*$N47/100</f>
        <v>3071.3320000000003</v>
      </c>
      <c r="Z47" s="263">
        <f>SUM(Z46:$AV46)*$N47/100</f>
        <v>2792.12</v>
      </c>
      <c r="AA47" s="263">
        <f>SUM(AA46:$AV46)*$N47/100</f>
        <v>2512.9080000000004</v>
      </c>
      <c r="AB47" s="263">
        <f>SUM(AB46:$AV46)*$N47/100</f>
        <v>2233.6959999999999</v>
      </c>
      <c r="AC47" s="263">
        <f>SUM(AC46:$AV46)*$N47/100</f>
        <v>1954.4840000000002</v>
      </c>
      <c r="AD47" s="263">
        <f>SUM(AD46:$AV46)*$N47/100</f>
        <v>1675.2720000000002</v>
      </c>
      <c r="AE47" s="263">
        <f>SUM(AE46:$AV46)*$N47/100</f>
        <v>1396.06</v>
      </c>
      <c r="AF47" s="263">
        <f>SUM(AF46:$AV46)*$N47/100</f>
        <v>1116.848</v>
      </c>
      <c r="AG47" s="263">
        <f>SUM(AG46:$AV46)*$N47/100</f>
        <v>837.63600000000008</v>
      </c>
      <c r="AH47" s="263">
        <f>SUM(AH46:$AV46)*$N47/100</f>
        <v>558.42399999999998</v>
      </c>
      <c r="AI47" s="263">
        <f>SUM(AI46:$AV46)*$N47/100</f>
        <v>279.21199999999999</v>
      </c>
      <c r="AJ47" s="263">
        <v>0</v>
      </c>
      <c r="AK47" s="263">
        <v>0</v>
      </c>
      <c r="AL47" s="263">
        <v>0</v>
      </c>
      <c r="AM47" s="263">
        <v>0</v>
      </c>
      <c r="AN47" s="263">
        <v>0</v>
      </c>
      <c r="AO47" s="263">
        <v>0</v>
      </c>
      <c r="AP47" s="263">
        <v>0</v>
      </c>
      <c r="AQ47" s="263">
        <v>0</v>
      </c>
      <c r="AR47" s="263">
        <v>0</v>
      </c>
      <c r="AS47" s="263">
        <v>0</v>
      </c>
      <c r="AT47" s="263">
        <v>0</v>
      </c>
      <c r="AU47" s="263">
        <v>0</v>
      </c>
      <c r="AV47" s="263">
        <v>0</v>
      </c>
      <c r="AW47" s="263"/>
      <c r="AX47" s="263"/>
      <c r="AY47" s="264">
        <f t="shared" si="7"/>
        <v>36334.449999999997</v>
      </c>
      <c r="AZ47" s="236">
        <f t="shared" si="8"/>
        <v>0</v>
      </c>
      <c r="BA47" s="265">
        <f t="shared" si="3"/>
        <v>12564.54</v>
      </c>
      <c r="BB47" s="264">
        <f t="shared" si="4"/>
        <v>36334.449999999997</v>
      </c>
      <c r="BD47" s="257" t="b">
        <f t="shared" si="5"/>
        <v>1</v>
      </c>
    </row>
    <row r="48" spans="2:57" s="257" customFormat="1" x14ac:dyDescent="0.25">
      <c r="B48" s="250" t="s">
        <v>766</v>
      </c>
      <c r="C48" s="250">
        <v>22</v>
      </c>
      <c r="D48" s="250" t="s">
        <v>839</v>
      </c>
      <c r="E48" s="250" t="s">
        <v>840</v>
      </c>
      <c r="F48" s="250" t="s">
        <v>841</v>
      </c>
      <c r="G48" s="250" t="s">
        <v>842</v>
      </c>
      <c r="H48" s="250" t="s">
        <v>843</v>
      </c>
      <c r="I48" s="250" t="s">
        <v>726</v>
      </c>
      <c r="J48" s="251">
        <v>5678344.2000000002</v>
      </c>
      <c r="K48" s="251">
        <v>3249664</v>
      </c>
      <c r="L48" s="251"/>
      <c r="M48" s="251"/>
      <c r="N48" s="252"/>
      <c r="O48" s="252"/>
      <c r="P48" s="252"/>
      <c r="Q48" s="252" t="s">
        <v>727</v>
      </c>
      <c r="R48" s="253">
        <v>217480</v>
      </c>
      <c r="S48" s="253">
        <v>217480</v>
      </c>
      <c r="T48" s="254">
        <f t="shared" si="6"/>
        <v>434960</v>
      </c>
      <c r="U48" s="254">
        <v>395316</v>
      </c>
      <c r="V48" s="254">
        <v>363420</v>
      </c>
      <c r="W48" s="254">
        <v>344336</v>
      </c>
      <c r="X48" s="254">
        <v>314856</v>
      </c>
      <c r="Y48" s="254">
        <v>305080</v>
      </c>
      <c r="Z48" s="254">
        <v>279984</v>
      </c>
      <c r="AA48" s="254">
        <v>252100</v>
      </c>
      <c r="AB48" s="254">
        <v>243352</v>
      </c>
      <c r="AC48" s="254">
        <v>243352</v>
      </c>
      <c r="AD48" s="254">
        <v>243352</v>
      </c>
      <c r="AE48" s="254">
        <v>33356</v>
      </c>
      <c r="AF48" s="254">
        <v>13680</v>
      </c>
      <c r="AG48" s="254">
        <v>0</v>
      </c>
      <c r="AH48" s="254">
        <v>0</v>
      </c>
      <c r="AI48" s="254">
        <v>0</v>
      </c>
      <c r="AJ48" s="254">
        <v>0</v>
      </c>
      <c r="AK48" s="254">
        <v>0</v>
      </c>
      <c r="AL48" s="254">
        <v>0</v>
      </c>
      <c r="AM48" s="254">
        <v>0</v>
      </c>
      <c r="AN48" s="254">
        <v>0</v>
      </c>
      <c r="AO48" s="254">
        <v>0</v>
      </c>
      <c r="AP48" s="254">
        <v>0</v>
      </c>
      <c r="AQ48" s="254">
        <v>0</v>
      </c>
      <c r="AR48" s="254">
        <v>0</v>
      </c>
      <c r="AS48" s="254">
        <v>0</v>
      </c>
      <c r="AT48" s="254">
        <v>0</v>
      </c>
      <c r="AU48" s="254">
        <v>0</v>
      </c>
      <c r="AV48" s="254">
        <v>0</v>
      </c>
      <c r="AW48" s="254"/>
      <c r="AX48" s="254"/>
      <c r="AY48" s="255">
        <f t="shared" si="7"/>
        <v>3467144</v>
      </c>
      <c r="AZ48" s="236">
        <f t="shared" si="8"/>
        <v>0</v>
      </c>
      <c r="BA48" s="256">
        <f t="shared" si="3"/>
        <v>1029192</v>
      </c>
      <c r="BB48" s="255">
        <f t="shared" si="4"/>
        <v>3467144</v>
      </c>
      <c r="BD48" s="257" t="b">
        <f t="shared" si="5"/>
        <v>1</v>
      </c>
      <c r="BE48" s="258">
        <f>BB48-K48-R48</f>
        <v>0</v>
      </c>
    </row>
    <row r="49" spans="2:57" x14ac:dyDescent="0.25">
      <c r="B49" s="259" t="s">
        <v>766</v>
      </c>
      <c r="C49" s="259"/>
      <c r="D49" s="259"/>
      <c r="E49" s="259"/>
      <c r="F49" s="259"/>
      <c r="G49" s="259"/>
      <c r="H49" s="259"/>
      <c r="I49" s="259"/>
      <c r="J49" s="260"/>
      <c r="K49" s="260"/>
      <c r="L49" s="260" t="s">
        <v>844</v>
      </c>
      <c r="M49" s="260"/>
      <c r="N49" s="261">
        <f>SUM(O49:P49)</f>
        <v>3.875</v>
      </c>
      <c r="O49" s="261">
        <v>3.875</v>
      </c>
      <c r="P49" s="261">
        <f>$P$4</f>
        <v>0</v>
      </c>
      <c r="Q49" s="261" t="s">
        <v>729</v>
      </c>
      <c r="R49" s="262">
        <v>42392.02</v>
      </c>
      <c r="S49" s="262">
        <v>29984.080000000002</v>
      </c>
      <c r="T49" s="263">
        <f t="shared" si="6"/>
        <v>72376.100000000006</v>
      </c>
      <c r="U49" s="263">
        <f>SUM(U48:$AV48)*$N49/100</f>
        <v>117497.13</v>
      </c>
      <c r="V49" s="263">
        <f>SUM(V48:$AV48)*$N49/100</f>
        <v>102178.63499999999</v>
      </c>
      <c r="W49" s="263">
        <f>SUM(W48:$AV48)*$N49/100</f>
        <v>88096.11</v>
      </c>
      <c r="X49" s="263">
        <f>SUM(X48:$AV48)*$N49/100</f>
        <v>74753.09</v>
      </c>
      <c r="Y49" s="263">
        <f>SUM(Y48:$AV48)*$N49/100</f>
        <v>62552.42</v>
      </c>
      <c r="Z49" s="263">
        <f>SUM(Z48:$AV48)*$N49/100</f>
        <v>50730.57</v>
      </c>
      <c r="AA49" s="263">
        <f>SUM(AA48:$AV48)*$N49/100</f>
        <v>39881.19</v>
      </c>
      <c r="AB49" s="263">
        <f>SUM(AB48:$AV48)*$N49/100</f>
        <v>30112.314999999999</v>
      </c>
      <c r="AC49" s="263">
        <f>SUM(AC48:$AV48)*$N49/100</f>
        <v>20682.424999999999</v>
      </c>
      <c r="AD49" s="263">
        <f>SUM(AD48:$AV48)*$N49/100</f>
        <v>11252.535</v>
      </c>
      <c r="AE49" s="263">
        <f>SUM(AE48:$AV48)*$N49/100</f>
        <v>1822.645</v>
      </c>
      <c r="AF49" s="263">
        <f>SUM(AF48:$AV48)*$N49/100</f>
        <v>530.1</v>
      </c>
      <c r="AG49" s="263">
        <v>0</v>
      </c>
      <c r="AH49" s="263">
        <v>0</v>
      </c>
      <c r="AI49" s="263">
        <v>0</v>
      </c>
      <c r="AJ49" s="263">
        <v>0</v>
      </c>
      <c r="AK49" s="263">
        <v>0</v>
      </c>
      <c r="AL49" s="263">
        <v>0</v>
      </c>
      <c r="AM49" s="263">
        <v>0</v>
      </c>
      <c r="AN49" s="263">
        <v>0</v>
      </c>
      <c r="AO49" s="263">
        <v>0</v>
      </c>
      <c r="AP49" s="263">
        <v>0</v>
      </c>
      <c r="AQ49" s="263">
        <v>0</v>
      </c>
      <c r="AR49" s="263">
        <v>0</v>
      </c>
      <c r="AS49" s="263">
        <v>0</v>
      </c>
      <c r="AT49" s="263">
        <v>0</v>
      </c>
      <c r="AU49" s="263">
        <v>0</v>
      </c>
      <c r="AV49" s="263">
        <v>0</v>
      </c>
      <c r="AW49" s="263"/>
      <c r="AX49" s="263"/>
      <c r="AY49" s="264">
        <f t="shared" si="7"/>
        <v>672465.2649999999</v>
      </c>
      <c r="AZ49" s="236">
        <f t="shared" si="8"/>
        <v>0</v>
      </c>
      <c r="BA49" s="265">
        <f t="shared" si="3"/>
        <v>104281.21000000002</v>
      </c>
      <c r="BB49" s="264">
        <f t="shared" si="4"/>
        <v>672465.2649999999</v>
      </c>
      <c r="BD49" s="257" t="b">
        <f t="shared" si="5"/>
        <v>1</v>
      </c>
    </row>
    <row r="50" spans="2:57" s="257" customFormat="1" x14ac:dyDescent="0.25">
      <c r="B50" s="250" t="s">
        <v>766</v>
      </c>
      <c r="C50" s="250">
        <v>23</v>
      </c>
      <c r="D50" s="250" t="s">
        <v>845</v>
      </c>
      <c r="E50" s="250" t="s">
        <v>846</v>
      </c>
      <c r="F50" s="250" t="s">
        <v>847</v>
      </c>
      <c r="G50" s="250" t="s">
        <v>848</v>
      </c>
      <c r="H50" s="250" t="s">
        <v>849</v>
      </c>
      <c r="I50" s="250" t="s">
        <v>726</v>
      </c>
      <c r="J50" s="251">
        <v>117517</v>
      </c>
      <c r="K50" s="251">
        <v>11109</v>
      </c>
      <c r="L50" s="251"/>
      <c r="M50" s="251"/>
      <c r="N50" s="252"/>
      <c r="O50" s="252"/>
      <c r="P50" s="252"/>
      <c r="Q50" s="252" t="s">
        <v>727</v>
      </c>
      <c r="R50" s="253">
        <v>966</v>
      </c>
      <c r="S50" s="253">
        <v>966</v>
      </c>
      <c r="T50" s="254">
        <f t="shared" si="6"/>
        <v>1932</v>
      </c>
      <c r="U50" s="254">
        <v>1932</v>
      </c>
      <c r="V50" s="254">
        <v>1932</v>
      </c>
      <c r="W50" s="254">
        <v>1932</v>
      </c>
      <c r="X50" s="254">
        <v>1932</v>
      </c>
      <c r="Y50" s="254">
        <v>1932</v>
      </c>
      <c r="Z50" s="254">
        <v>483</v>
      </c>
      <c r="AA50" s="254">
        <v>0</v>
      </c>
      <c r="AB50" s="254">
        <v>0</v>
      </c>
      <c r="AC50" s="254">
        <v>0</v>
      </c>
      <c r="AD50" s="254">
        <v>0</v>
      </c>
      <c r="AE50" s="254">
        <v>0</v>
      </c>
      <c r="AF50" s="254">
        <v>0</v>
      </c>
      <c r="AG50" s="254">
        <v>0</v>
      </c>
      <c r="AH50" s="254">
        <v>0</v>
      </c>
      <c r="AI50" s="254">
        <v>0</v>
      </c>
      <c r="AJ50" s="254">
        <v>0</v>
      </c>
      <c r="AK50" s="254">
        <v>0</v>
      </c>
      <c r="AL50" s="254">
        <v>0</v>
      </c>
      <c r="AM50" s="254">
        <v>0</v>
      </c>
      <c r="AN50" s="254">
        <v>0</v>
      </c>
      <c r="AO50" s="254">
        <v>0</v>
      </c>
      <c r="AP50" s="254">
        <v>0</v>
      </c>
      <c r="AQ50" s="254">
        <v>0</v>
      </c>
      <c r="AR50" s="254">
        <v>0</v>
      </c>
      <c r="AS50" s="254">
        <v>0</v>
      </c>
      <c r="AT50" s="254">
        <v>0</v>
      </c>
      <c r="AU50" s="254">
        <v>0</v>
      </c>
      <c r="AV50" s="254">
        <v>0</v>
      </c>
      <c r="AW50" s="254"/>
      <c r="AX50" s="254"/>
      <c r="AY50" s="255">
        <f t="shared" si="7"/>
        <v>12075</v>
      </c>
      <c r="AZ50" s="236">
        <f t="shared" si="8"/>
        <v>0</v>
      </c>
      <c r="BA50" s="256">
        <f t="shared" si="3"/>
        <v>0</v>
      </c>
      <c r="BB50" s="255">
        <f t="shared" si="4"/>
        <v>12075</v>
      </c>
      <c r="BD50" s="257" t="b">
        <f t="shared" si="5"/>
        <v>1</v>
      </c>
      <c r="BE50" s="258">
        <f>BB50-K50-R50</f>
        <v>0</v>
      </c>
    </row>
    <row r="51" spans="2:57" x14ac:dyDescent="0.25">
      <c r="B51" s="259" t="s">
        <v>766</v>
      </c>
      <c r="C51" s="259"/>
      <c r="D51" s="259"/>
      <c r="E51" s="259"/>
      <c r="F51" s="259"/>
      <c r="G51" s="259"/>
      <c r="H51" s="259"/>
      <c r="I51" s="259"/>
      <c r="J51" s="260"/>
      <c r="K51" s="260"/>
      <c r="L51" s="260" t="s">
        <v>850</v>
      </c>
      <c r="M51" s="260"/>
      <c r="N51" s="261">
        <f>SUM(O51:P51)</f>
        <v>4.0709999999999997</v>
      </c>
      <c r="O51" s="261">
        <v>4.0709999999999997</v>
      </c>
      <c r="P51" s="261">
        <f>$P$4</f>
        <v>0</v>
      </c>
      <c r="Q51" s="261" t="s">
        <v>729</v>
      </c>
      <c r="R51" s="262">
        <v>144.10000000000002</v>
      </c>
      <c r="S51" s="262">
        <v>107.92</v>
      </c>
      <c r="T51" s="263">
        <f t="shared" si="6"/>
        <v>252.02000000000004</v>
      </c>
      <c r="U51" s="263">
        <f>SUM(U50:$AV50)*$N51/100</f>
        <v>412.92152999999996</v>
      </c>
      <c r="V51" s="263">
        <f>SUM(V50:$AV50)*$N51/100</f>
        <v>334.26981000000001</v>
      </c>
      <c r="W51" s="263">
        <f>SUM(W50:$AV50)*$N51/100</f>
        <v>255.61808999999997</v>
      </c>
      <c r="X51" s="263">
        <f>SUM(X50:$AV50)*$N51/100</f>
        <v>176.96636999999998</v>
      </c>
      <c r="Y51" s="263">
        <f>SUM(Y50:$AV50)*$N51/100</f>
        <v>98.31465</v>
      </c>
      <c r="Z51" s="263">
        <f>SUM(Z50:$AV50)*$N51/100</f>
        <v>19.662929999999999</v>
      </c>
      <c r="AA51" s="263">
        <v>0</v>
      </c>
      <c r="AB51" s="263">
        <v>0</v>
      </c>
      <c r="AC51" s="263">
        <v>0</v>
      </c>
      <c r="AD51" s="263">
        <v>0</v>
      </c>
      <c r="AE51" s="263">
        <v>0</v>
      </c>
      <c r="AF51" s="263">
        <v>0</v>
      </c>
      <c r="AG51" s="263">
        <v>0</v>
      </c>
      <c r="AH51" s="263">
        <v>0</v>
      </c>
      <c r="AI51" s="263">
        <v>0</v>
      </c>
      <c r="AJ51" s="263">
        <v>0</v>
      </c>
      <c r="AK51" s="263">
        <v>0</v>
      </c>
      <c r="AL51" s="263">
        <v>0</v>
      </c>
      <c r="AM51" s="263">
        <v>0</v>
      </c>
      <c r="AN51" s="263">
        <v>0</v>
      </c>
      <c r="AO51" s="263">
        <v>0</v>
      </c>
      <c r="AP51" s="263">
        <v>0</v>
      </c>
      <c r="AQ51" s="263">
        <v>0</v>
      </c>
      <c r="AR51" s="263">
        <v>0</v>
      </c>
      <c r="AS51" s="263">
        <v>0</v>
      </c>
      <c r="AT51" s="263">
        <v>0</v>
      </c>
      <c r="AU51" s="263">
        <v>0</v>
      </c>
      <c r="AV51" s="263">
        <v>0</v>
      </c>
      <c r="AW51" s="263"/>
      <c r="AX51" s="263"/>
      <c r="AY51" s="264">
        <f t="shared" si="7"/>
        <v>1549.7733799999999</v>
      </c>
      <c r="AZ51" s="236">
        <f t="shared" si="8"/>
        <v>0</v>
      </c>
      <c r="BA51" s="265">
        <f t="shared" si="3"/>
        <v>0</v>
      </c>
      <c r="BB51" s="264">
        <f t="shared" si="4"/>
        <v>1549.7733799999999</v>
      </c>
      <c r="BD51" s="257" t="b">
        <f t="shared" si="5"/>
        <v>1</v>
      </c>
    </row>
    <row r="52" spans="2:57" s="257" customFormat="1" x14ac:dyDescent="0.25">
      <c r="B52" s="250" t="s">
        <v>766</v>
      </c>
      <c r="C52" s="250">
        <v>24</v>
      </c>
      <c r="D52" s="250" t="s">
        <v>851</v>
      </c>
      <c r="E52" s="250" t="s">
        <v>852</v>
      </c>
      <c r="F52" s="250" t="s">
        <v>853</v>
      </c>
      <c r="G52" s="250" t="s">
        <v>854</v>
      </c>
      <c r="H52" s="250" t="s">
        <v>855</v>
      </c>
      <c r="I52" s="250" t="s">
        <v>726</v>
      </c>
      <c r="J52" s="251">
        <v>2227434</v>
      </c>
      <c r="K52" s="251">
        <v>1831440</v>
      </c>
      <c r="L52" s="251"/>
      <c r="M52" s="251"/>
      <c r="N52" s="252"/>
      <c r="O52" s="252"/>
      <c r="P52" s="252"/>
      <c r="Q52" s="252" t="s">
        <v>727</v>
      </c>
      <c r="R52" s="253">
        <v>35220</v>
      </c>
      <c r="S52" s="253">
        <v>35220</v>
      </c>
      <c r="T52" s="254">
        <f t="shared" si="6"/>
        <v>70440</v>
      </c>
      <c r="U52" s="254">
        <v>70440</v>
      </c>
      <c r="V52" s="254">
        <v>70440</v>
      </c>
      <c r="W52" s="254">
        <v>70440</v>
      </c>
      <c r="X52" s="254">
        <v>70440</v>
      </c>
      <c r="Y52" s="254">
        <v>70440</v>
      </c>
      <c r="Z52" s="254">
        <v>70440</v>
      </c>
      <c r="AA52" s="254">
        <v>70440</v>
      </c>
      <c r="AB52" s="254">
        <v>70440</v>
      </c>
      <c r="AC52" s="254">
        <v>70440</v>
      </c>
      <c r="AD52" s="254">
        <v>70440</v>
      </c>
      <c r="AE52" s="254">
        <v>70440</v>
      </c>
      <c r="AF52" s="254">
        <v>70440</v>
      </c>
      <c r="AG52" s="254">
        <v>70440</v>
      </c>
      <c r="AH52" s="254">
        <v>70440</v>
      </c>
      <c r="AI52" s="254">
        <v>70440</v>
      </c>
      <c r="AJ52" s="254">
        <v>70440</v>
      </c>
      <c r="AK52" s="254">
        <v>70440</v>
      </c>
      <c r="AL52" s="254">
        <v>70440</v>
      </c>
      <c r="AM52" s="254">
        <v>70440</v>
      </c>
      <c r="AN52" s="254">
        <v>70440</v>
      </c>
      <c r="AO52" s="254">
        <v>70440</v>
      </c>
      <c r="AP52" s="254">
        <v>70440</v>
      </c>
      <c r="AQ52" s="254">
        <v>70440</v>
      </c>
      <c r="AR52" s="254">
        <v>70440</v>
      </c>
      <c r="AS52" s="254">
        <v>70440</v>
      </c>
      <c r="AT52" s="254">
        <v>35220</v>
      </c>
      <c r="AU52" s="254">
        <v>0</v>
      </c>
      <c r="AV52" s="254">
        <v>0</v>
      </c>
      <c r="AW52" s="254"/>
      <c r="AX52" s="254"/>
      <c r="AY52" s="255">
        <f t="shared" si="7"/>
        <v>1866660</v>
      </c>
      <c r="AZ52" s="236">
        <f t="shared" si="8"/>
        <v>0</v>
      </c>
      <c r="BA52" s="256">
        <f t="shared" si="3"/>
        <v>1373580</v>
      </c>
      <c r="BB52" s="255">
        <f t="shared" si="4"/>
        <v>1866660</v>
      </c>
      <c r="BD52" s="257" t="b">
        <f t="shared" si="5"/>
        <v>1</v>
      </c>
      <c r="BE52" s="258">
        <f>BB52-K52-R52</f>
        <v>0</v>
      </c>
    </row>
    <row r="53" spans="2:57" x14ac:dyDescent="0.25">
      <c r="B53" s="259" t="s">
        <v>766</v>
      </c>
      <c r="C53" s="259"/>
      <c r="D53" s="259"/>
      <c r="E53" s="259"/>
      <c r="F53" s="259"/>
      <c r="G53" s="259"/>
      <c r="H53" s="259"/>
      <c r="I53" s="259"/>
      <c r="J53" s="260"/>
      <c r="K53" s="260"/>
      <c r="L53" s="260" t="s">
        <v>856</v>
      </c>
      <c r="M53" s="260"/>
      <c r="N53" s="261">
        <f>SUM(O53:P53)</f>
        <v>4.1890000000000001</v>
      </c>
      <c r="O53" s="261">
        <v>4.1890000000000001</v>
      </c>
      <c r="P53" s="261">
        <f>$P$4</f>
        <v>0</v>
      </c>
      <c r="Q53" s="261" t="s">
        <v>729</v>
      </c>
      <c r="R53" s="262">
        <v>13112.92</v>
      </c>
      <c r="S53" s="262">
        <v>18414.689999999999</v>
      </c>
      <c r="T53" s="263">
        <f t="shared" si="6"/>
        <v>31527.61</v>
      </c>
      <c r="U53" s="263">
        <f>SUM(U52:$AV52)*$N53/100</f>
        <v>75243.655800000008</v>
      </c>
      <c r="V53" s="263">
        <f>SUM(V52:$AV52)*$N53/100</f>
        <v>72292.924199999994</v>
      </c>
      <c r="W53" s="263">
        <f>SUM(W52:$AV52)*$N53/100</f>
        <v>69342.192599999995</v>
      </c>
      <c r="X53" s="263">
        <f>SUM(X52:$AV52)*$N53/100</f>
        <v>66391.460999999996</v>
      </c>
      <c r="Y53" s="263">
        <f>SUM(Y52:$AV52)*$N53/100</f>
        <v>63440.729400000004</v>
      </c>
      <c r="Z53" s="263">
        <f>SUM(Z52:$AV52)*$N53/100</f>
        <v>60489.997800000005</v>
      </c>
      <c r="AA53" s="263">
        <f>SUM(AA52:$AV52)*$N53/100</f>
        <v>57539.266199999998</v>
      </c>
      <c r="AB53" s="263">
        <f>SUM(AB52:$AV52)*$N53/100</f>
        <v>54588.534599999999</v>
      </c>
      <c r="AC53" s="263">
        <f>SUM(AC52:$AV52)*$N53/100</f>
        <v>51637.803</v>
      </c>
      <c r="AD53" s="263">
        <f>SUM(AD52:$AV52)*$N53/100</f>
        <v>48687.071399999993</v>
      </c>
      <c r="AE53" s="263">
        <f>SUM(AE52:$AV52)*$N53/100</f>
        <v>45736.339800000002</v>
      </c>
      <c r="AF53" s="263">
        <f>SUM(AF52:$AV52)*$N53/100</f>
        <v>42785.608200000002</v>
      </c>
      <c r="AG53" s="263">
        <f>SUM(AG52:$AV52)*$N53/100</f>
        <v>39834.876600000003</v>
      </c>
      <c r="AH53" s="263">
        <f>SUM(AH52:$AV52)*$N53/100</f>
        <v>36884.144999999997</v>
      </c>
      <c r="AI53" s="263">
        <f>SUM(AI52:$AV52)*$N53/100</f>
        <v>33933.413399999998</v>
      </c>
      <c r="AJ53" s="263">
        <f>SUM(AJ52:$AV52)*$N53/100</f>
        <v>30982.681800000002</v>
      </c>
      <c r="AK53" s="263">
        <f>SUM(AK52:$AV52)*$N53/100</f>
        <v>28031.950199999999</v>
      </c>
      <c r="AL53" s="263">
        <f>SUM(AL52:$AV52)*$N53/100</f>
        <v>25081.2186</v>
      </c>
      <c r="AM53" s="263">
        <f>SUM(AM52:$AV52)*$N53/100</f>
        <v>22130.487000000001</v>
      </c>
      <c r="AN53" s="263">
        <f>SUM(AN52:$AV52)*$N53/100</f>
        <v>19179.755400000002</v>
      </c>
      <c r="AO53" s="263">
        <f>SUM(AO52:$AV52)*$N53/100</f>
        <v>16229.023800000001</v>
      </c>
      <c r="AP53" s="263">
        <f>SUM(AP52:$AV52)*$N53/100</f>
        <v>13278.2922</v>
      </c>
      <c r="AQ53" s="263">
        <f>SUM(AQ52:$AV52)*$N53/100</f>
        <v>10327.560600000001</v>
      </c>
      <c r="AR53" s="263">
        <f>SUM(AR52:$AV52)*$N53/100</f>
        <v>7376.8290000000006</v>
      </c>
      <c r="AS53" s="263">
        <f>SUM(AS52:$AV52)*$N53/100</f>
        <v>4426.0973999999997</v>
      </c>
      <c r="AT53" s="263">
        <f>SUM(AT52:$AV52)*$N53/100</f>
        <v>1475.3658000000003</v>
      </c>
      <c r="AU53" s="263">
        <v>0</v>
      </c>
      <c r="AV53" s="263">
        <v>0</v>
      </c>
      <c r="AW53" s="263"/>
      <c r="AX53" s="263"/>
      <c r="AY53" s="264">
        <f t="shared" si="7"/>
        <v>1028874.8907999999</v>
      </c>
      <c r="AZ53" s="236">
        <f t="shared" si="8"/>
        <v>0</v>
      </c>
      <c r="BA53" s="265">
        <f t="shared" si="3"/>
        <v>590146.32000000007</v>
      </c>
      <c r="BB53" s="264">
        <f t="shared" si="4"/>
        <v>1028874.8908000002</v>
      </c>
      <c r="BD53" s="257" t="b">
        <f t="shared" si="5"/>
        <v>1</v>
      </c>
    </row>
    <row r="54" spans="2:57" s="257" customFormat="1" x14ac:dyDescent="0.25">
      <c r="B54" s="250" t="s">
        <v>720</v>
      </c>
      <c r="C54" s="250">
        <v>25</v>
      </c>
      <c r="D54" s="250" t="s">
        <v>857</v>
      </c>
      <c r="E54" s="250" t="s">
        <v>858</v>
      </c>
      <c r="F54" s="250" t="s">
        <v>859</v>
      </c>
      <c r="G54" s="250" t="s">
        <v>860</v>
      </c>
      <c r="H54" s="250" t="s">
        <v>861</v>
      </c>
      <c r="I54" s="250" t="s">
        <v>726</v>
      </c>
      <c r="J54" s="251">
        <v>531484</v>
      </c>
      <c r="K54" s="251">
        <v>412380</v>
      </c>
      <c r="L54" s="251"/>
      <c r="M54" s="251"/>
      <c r="N54" s="252"/>
      <c r="O54" s="252">
        <v>2.4700000000000002</v>
      </c>
      <c r="P54" s="252"/>
      <c r="Q54" s="252" t="s">
        <v>727</v>
      </c>
      <c r="R54" s="253">
        <v>18328</v>
      </c>
      <c r="S54" s="253">
        <v>18328</v>
      </c>
      <c r="T54" s="254">
        <f t="shared" si="6"/>
        <v>36656</v>
      </c>
      <c r="U54" s="254">
        <v>36656</v>
      </c>
      <c r="V54" s="254">
        <v>36656</v>
      </c>
      <c r="W54" s="254">
        <v>36656</v>
      </c>
      <c r="X54" s="254">
        <v>36656</v>
      </c>
      <c r="Y54" s="254">
        <v>36656</v>
      </c>
      <c r="Z54" s="254">
        <v>36656</v>
      </c>
      <c r="AA54" s="254">
        <v>36656</v>
      </c>
      <c r="AB54" s="254">
        <v>36656</v>
      </c>
      <c r="AC54" s="254">
        <v>36656</v>
      </c>
      <c r="AD54" s="254">
        <v>36656</v>
      </c>
      <c r="AE54" s="254">
        <v>27492</v>
      </c>
      <c r="AF54" s="254">
        <v>0</v>
      </c>
      <c r="AG54" s="254">
        <v>0</v>
      </c>
      <c r="AH54" s="254">
        <v>0</v>
      </c>
      <c r="AI54" s="254">
        <v>0</v>
      </c>
      <c r="AJ54" s="254">
        <v>0</v>
      </c>
      <c r="AK54" s="254">
        <v>0</v>
      </c>
      <c r="AL54" s="254">
        <v>0</v>
      </c>
      <c r="AM54" s="254">
        <v>0</v>
      </c>
      <c r="AN54" s="254">
        <v>0</v>
      </c>
      <c r="AO54" s="254">
        <v>0</v>
      </c>
      <c r="AP54" s="254">
        <v>0</v>
      </c>
      <c r="AQ54" s="254">
        <v>0</v>
      </c>
      <c r="AR54" s="254">
        <v>0</v>
      </c>
      <c r="AS54" s="254">
        <v>0</v>
      </c>
      <c r="AT54" s="254">
        <v>0</v>
      </c>
      <c r="AU54" s="254">
        <v>0</v>
      </c>
      <c r="AV54" s="254">
        <v>0</v>
      </c>
      <c r="AW54" s="254"/>
      <c r="AX54" s="254"/>
      <c r="AY54" s="255">
        <f t="shared" si="7"/>
        <v>430708</v>
      </c>
      <c r="AZ54" s="236">
        <f t="shared" si="8"/>
        <v>0</v>
      </c>
      <c r="BA54" s="256">
        <f t="shared" si="3"/>
        <v>174116</v>
      </c>
      <c r="BB54" s="255">
        <f t="shared" si="4"/>
        <v>430708</v>
      </c>
      <c r="BD54" s="257" t="b">
        <f t="shared" si="5"/>
        <v>1</v>
      </c>
      <c r="BE54" s="258">
        <f>BB54-K54-R54</f>
        <v>0</v>
      </c>
    </row>
    <row r="55" spans="2:57" x14ac:dyDescent="0.25">
      <c r="B55" s="259" t="s">
        <v>720</v>
      </c>
      <c r="C55" s="259"/>
      <c r="D55" s="259"/>
      <c r="E55" s="259"/>
      <c r="F55" s="259"/>
      <c r="G55" s="259"/>
      <c r="H55" s="259"/>
      <c r="I55" s="259"/>
      <c r="J55" s="260"/>
      <c r="K55" s="260"/>
      <c r="L55" s="260" t="s">
        <v>862</v>
      </c>
      <c r="M55" s="260"/>
      <c r="N55" s="261">
        <f>SUM(O55:P55)</f>
        <v>4.1500000000000004</v>
      </c>
      <c r="O55" s="267">
        <v>4.1500000000000004</v>
      </c>
      <c r="P55" s="261">
        <f>$P$4</f>
        <v>0</v>
      </c>
      <c r="Q55" s="261" t="s">
        <v>729</v>
      </c>
      <c r="R55" s="262">
        <v>7834.89</v>
      </c>
      <c r="S55" s="262">
        <v>2596.12</v>
      </c>
      <c r="T55" s="263">
        <f t="shared" si="6"/>
        <v>10431.01</v>
      </c>
      <c r="U55" s="263">
        <f>SUM(U54:$AV54)*$N55/100</f>
        <v>16353.158000000001</v>
      </c>
      <c r="V55" s="263">
        <f>SUM(V54:$AV54)*$N55/100</f>
        <v>14831.934000000001</v>
      </c>
      <c r="W55" s="263">
        <f>SUM(W54:$AV54)*$N55/100</f>
        <v>13310.71</v>
      </c>
      <c r="X55" s="263">
        <f>SUM(X54:$AV54)*$N55/100</f>
        <v>11789.486000000001</v>
      </c>
      <c r="Y55" s="263">
        <f>SUM(Y54:$AV54)*$N55/100</f>
        <v>10268.262000000001</v>
      </c>
      <c r="Z55" s="263">
        <f>SUM(Z54:$AV54)*$N55/100</f>
        <v>8747.0380000000005</v>
      </c>
      <c r="AA55" s="263">
        <f>SUM(AA54:$AV54)*$N55/100</f>
        <v>7225.8140000000003</v>
      </c>
      <c r="AB55" s="263">
        <f>SUM(AB54:$AV54)*$N55/100</f>
        <v>5704.59</v>
      </c>
      <c r="AC55" s="263">
        <f>SUM(AC54:$AV54)*$N55/100</f>
        <v>4183.366</v>
      </c>
      <c r="AD55" s="263">
        <f>SUM(AD54:$AV54)*$N55/100</f>
        <v>2662.1420000000003</v>
      </c>
      <c r="AE55" s="263">
        <f>SUM(AE54:$AV54)*$N55/100</f>
        <v>1140.9180000000001</v>
      </c>
      <c r="AF55" s="263">
        <v>0</v>
      </c>
      <c r="AG55" s="263">
        <v>0</v>
      </c>
      <c r="AH55" s="263">
        <v>0</v>
      </c>
      <c r="AI55" s="263">
        <v>0</v>
      </c>
      <c r="AJ55" s="263">
        <v>0</v>
      </c>
      <c r="AK55" s="263">
        <v>0</v>
      </c>
      <c r="AL55" s="263">
        <v>0</v>
      </c>
      <c r="AM55" s="263">
        <v>0</v>
      </c>
      <c r="AN55" s="263">
        <v>0</v>
      </c>
      <c r="AO55" s="263">
        <v>0</v>
      </c>
      <c r="AP55" s="263">
        <v>0</v>
      </c>
      <c r="AQ55" s="263">
        <v>0</v>
      </c>
      <c r="AR55" s="263">
        <v>0</v>
      </c>
      <c r="AS55" s="263">
        <v>0</v>
      </c>
      <c r="AT55" s="263">
        <v>0</v>
      </c>
      <c r="AU55" s="263">
        <v>0</v>
      </c>
      <c r="AV55" s="263">
        <v>0</v>
      </c>
      <c r="AW55" s="263"/>
      <c r="AX55" s="263"/>
      <c r="AY55" s="264">
        <f t="shared" si="7"/>
        <v>106648.428</v>
      </c>
      <c r="AZ55" s="236">
        <f t="shared" si="8"/>
        <v>0</v>
      </c>
      <c r="BA55" s="265">
        <f t="shared" si="3"/>
        <v>20916.830000000002</v>
      </c>
      <c r="BB55" s="264">
        <f t="shared" si="4"/>
        <v>106648.428</v>
      </c>
      <c r="BD55" s="257" t="b">
        <f t="shared" si="5"/>
        <v>1</v>
      </c>
    </row>
    <row r="56" spans="2:57" s="257" customFormat="1" x14ac:dyDescent="0.25">
      <c r="B56" s="250" t="s">
        <v>766</v>
      </c>
      <c r="C56" s="250">
        <v>26</v>
      </c>
      <c r="D56" s="250" t="s">
        <v>863</v>
      </c>
      <c r="E56" s="250" t="s">
        <v>864</v>
      </c>
      <c r="F56" s="250" t="s">
        <v>865</v>
      </c>
      <c r="G56" s="250" t="s">
        <v>866</v>
      </c>
      <c r="H56" s="250" t="s">
        <v>867</v>
      </c>
      <c r="I56" s="250" t="s">
        <v>726</v>
      </c>
      <c r="J56" s="251">
        <v>583938.46</v>
      </c>
      <c r="K56" s="251">
        <v>520872</v>
      </c>
      <c r="L56" s="251"/>
      <c r="M56" s="251"/>
      <c r="N56" s="252"/>
      <c r="O56" s="252">
        <v>2.8109999999999999</v>
      </c>
      <c r="P56" s="252"/>
      <c r="Q56" s="252" t="s">
        <v>727</v>
      </c>
      <c r="R56" s="253">
        <v>15784</v>
      </c>
      <c r="S56" s="253">
        <v>15784</v>
      </c>
      <c r="T56" s="254">
        <f t="shared" si="6"/>
        <v>31568</v>
      </c>
      <c r="U56" s="254">
        <v>31568</v>
      </c>
      <c r="V56" s="254">
        <v>31568</v>
      </c>
      <c r="W56" s="254">
        <v>31568</v>
      </c>
      <c r="X56" s="254">
        <v>31568</v>
      </c>
      <c r="Y56" s="254">
        <v>31568</v>
      </c>
      <c r="Z56" s="254">
        <v>31568</v>
      </c>
      <c r="AA56" s="254">
        <v>31568</v>
      </c>
      <c r="AB56" s="254">
        <v>31568</v>
      </c>
      <c r="AC56" s="254">
        <v>31568</v>
      </c>
      <c r="AD56" s="254">
        <v>31568</v>
      </c>
      <c r="AE56" s="254">
        <v>31568</v>
      </c>
      <c r="AF56" s="254">
        <v>31568</v>
      </c>
      <c r="AG56" s="254">
        <v>31568</v>
      </c>
      <c r="AH56" s="254">
        <v>31568</v>
      </c>
      <c r="AI56" s="254">
        <v>31568</v>
      </c>
      <c r="AJ56" s="254">
        <v>31568</v>
      </c>
      <c r="AK56" s="254">
        <v>0</v>
      </c>
      <c r="AL56" s="254">
        <v>0</v>
      </c>
      <c r="AM56" s="254">
        <v>0</v>
      </c>
      <c r="AN56" s="254">
        <v>0</v>
      </c>
      <c r="AO56" s="254">
        <v>0</v>
      </c>
      <c r="AP56" s="254">
        <v>0</v>
      </c>
      <c r="AQ56" s="254">
        <v>0</v>
      </c>
      <c r="AR56" s="254">
        <v>0</v>
      </c>
      <c r="AS56" s="254">
        <v>0</v>
      </c>
      <c r="AT56" s="254">
        <v>0</v>
      </c>
      <c r="AU56" s="254">
        <v>0</v>
      </c>
      <c r="AV56" s="254">
        <v>0</v>
      </c>
      <c r="AW56" s="254"/>
      <c r="AX56" s="254"/>
      <c r="AY56" s="255">
        <f t="shared" si="7"/>
        <v>536656</v>
      </c>
      <c r="AZ56" s="236">
        <f t="shared" si="8"/>
        <v>0</v>
      </c>
      <c r="BA56" s="256">
        <f t="shared" si="3"/>
        <v>315680</v>
      </c>
      <c r="BB56" s="255">
        <f t="shared" si="4"/>
        <v>536656</v>
      </c>
      <c r="BD56" s="257" t="b">
        <f t="shared" si="5"/>
        <v>1</v>
      </c>
      <c r="BE56" s="258">
        <f>BB56-K56-R56</f>
        <v>0</v>
      </c>
    </row>
    <row r="57" spans="2:57" x14ac:dyDescent="0.25">
      <c r="B57" s="259" t="s">
        <v>766</v>
      </c>
      <c r="C57" s="259"/>
      <c r="D57" s="259"/>
      <c r="E57" s="259"/>
      <c r="F57" s="259"/>
      <c r="G57" s="259"/>
      <c r="H57" s="259"/>
      <c r="I57" s="259"/>
      <c r="J57" s="260"/>
      <c r="K57" s="260"/>
      <c r="L57" s="260" t="s">
        <v>868</v>
      </c>
      <c r="M57" s="260"/>
      <c r="N57" s="261">
        <f>SUM(O57:P57)</f>
        <v>4.1500000000000004</v>
      </c>
      <c r="O57" s="267">
        <v>4.1500000000000004</v>
      </c>
      <c r="P57" s="261">
        <f>$P$4</f>
        <v>0</v>
      </c>
      <c r="Q57" s="261" t="s">
        <v>729</v>
      </c>
      <c r="R57" s="262">
        <v>8612.48</v>
      </c>
      <c r="S57" s="262">
        <v>3735</v>
      </c>
      <c r="T57" s="263">
        <f t="shared" si="6"/>
        <v>12347.48</v>
      </c>
      <c r="U57" s="263">
        <f>SUM(U56:$AV56)*$N57/100</f>
        <v>20961.152000000002</v>
      </c>
      <c r="V57" s="263">
        <f>SUM(V56:$AV56)*$N57/100</f>
        <v>19651.080000000002</v>
      </c>
      <c r="W57" s="263">
        <f>SUM(W56:$AV56)*$N57/100</f>
        <v>18341.008000000002</v>
      </c>
      <c r="X57" s="263">
        <f>SUM(X56:$AV56)*$N57/100</f>
        <v>17030.936000000002</v>
      </c>
      <c r="Y57" s="263">
        <f>SUM(Y56:$AV56)*$N57/100</f>
        <v>15720.864000000001</v>
      </c>
      <c r="Z57" s="263">
        <f>SUM(Z56:$AV56)*$N57/100</f>
        <v>14410.792000000001</v>
      </c>
      <c r="AA57" s="263">
        <f>SUM(AA56:$AV56)*$N57/100</f>
        <v>13100.72</v>
      </c>
      <c r="AB57" s="263">
        <f>SUM(AB56:$AV56)*$N57/100</f>
        <v>11790.648000000001</v>
      </c>
      <c r="AC57" s="263">
        <f>SUM(AC56:$AV56)*$N57/100</f>
        <v>10480.576000000001</v>
      </c>
      <c r="AD57" s="263">
        <f>SUM(AD56:$AV56)*$N57/100</f>
        <v>9170.5040000000008</v>
      </c>
      <c r="AE57" s="263">
        <f>SUM(AE56:$AV56)*$N57/100</f>
        <v>7860.4320000000007</v>
      </c>
      <c r="AF57" s="263">
        <f>SUM(AF56:$AV56)*$N57/100</f>
        <v>6550.36</v>
      </c>
      <c r="AG57" s="263">
        <f>SUM(AG56:$AV56)*$N57/100</f>
        <v>5240.2880000000005</v>
      </c>
      <c r="AH57" s="263">
        <f>SUM(AH56:$AV56)*$N57/100</f>
        <v>3930.2160000000003</v>
      </c>
      <c r="AI57" s="263">
        <f>SUM(AI56:$AV56)*$N57/100</f>
        <v>2620.1440000000002</v>
      </c>
      <c r="AJ57" s="263">
        <f>SUM(AJ56:$AV56)*$N57/100</f>
        <v>1310.0720000000001</v>
      </c>
      <c r="AK57" s="263">
        <v>0</v>
      </c>
      <c r="AL57" s="263">
        <v>0</v>
      </c>
      <c r="AM57" s="263">
        <v>0</v>
      </c>
      <c r="AN57" s="263">
        <v>0</v>
      </c>
      <c r="AO57" s="263">
        <v>0</v>
      </c>
      <c r="AP57" s="263">
        <v>0</v>
      </c>
      <c r="AQ57" s="263">
        <v>0</v>
      </c>
      <c r="AR57" s="263">
        <v>0</v>
      </c>
      <c r="AS57" s="263">
        <v>0</v>
      </c>
      <c r="AT57" s="263">
        <v>0</v>
      </c>
      <c r="AU57" s="263">
        <v>0</v>
      </c>
      <c r="AV57" s="263">
        <v>0</v>
      </c>
      <c r="AW57" s="263"/>
      <c r="AX57" s="263"/>
      <c r="AY57" s="264">
        <f t="shared" si="7"/>
        <v>190517.272</v>
      </c>
      <c r="AZ57" s="236">
        <f t="shared" si="8"/>
        <v>0</v>
      </c>
      <c r="BA57" s="265">
        <f t="shared" si="3"/>
        <v>72053.960000000006</v>
      </c>
      <c r="BB57" s="264">
        <f t="shared" si="4"/>
        <v>190517.272</v>
      </c>
      <c r="BD57" s="257" t="b">
        <f t="shared" si="5"/>
        <v>1</v>
      </c>
    </row>
    <row r="58" spans="2:57" s="257" customFormat="1" x14ac:dyDescent="0.25">
      <c r="B58" s="250" t="s">
        <v>720</v>
      </c>
      <c r="C58" s="250">
        <v>27</v>
      </c>
      <c r="D58" s="250" t="s">
        <v>869</v>
      </c>
      <c r="E58" s="250" t="s">
        <v>870</v>
      </c>
      <c r="F58" s="250" t="s">
        <v>871</v>
      </c>
      <c r="G58" s="250" t="s">
        <v>872</v>
      </c>
      <c r="H58" s="250" t="s">
        <v>873</v>
      </c>
      <c r="I58" s="250" t="s">
        <v>726</v>
      </c>
      <c r="J58" s="251">
        <v>2556845.52</v>
      </c>
      <c r="K58" s="251">
        <v>2388377.52</v>
      </c>
      <c r="L58" s="251"/>
      <c r="M58" s="251"/>
      <c r="N58" s="252"/>
      <c r="O58" s="252"/>
      <c r="P58" s="252"/>
      <c r="Q58" s="252" t="s">
        <v>727</v>
      </c>
      <c r="R58" s="253">
        <v>48158</v>
      </c>
      <c r="S58" s="253">
        <v>48158</v>
      </c>
      <c r="T58" s="254">
        <f>SUM(R58:S58)+12930</f>
        <v>109246</v>
      </c>
      <c r="U58" s="254">
        <v>96316</v>
      </c>
      <c r="V58" s="254">
        <v>96316</v>
      </c>
      <c r="W58" s="254">
        <v>96316</v>
      </c>
      <c r="X58" s="254">
        <v>96316</v>
      </c>
      <c r="Y58" s="254">
        <v>96316</v>
      </c>
      <c r="Z58" s="254">
        <v>96316</v>
      </c>
      <c r="AA58" s="254">
        <v>96316</v>
      </c>
      <c r="AB58" s="254">
        <v>96316</v>
      </c>
      <c r="AC58" s="254">
        <v>96316</v>
      </c>
      <c r="AD58" s="254">
        <v>96316</v>
      </c>
      <c r="AE58" s="254">
        <v>96316</v>
      </c>
      <c r="AF58" s="254">
        <v>96316</v>
      </c>
      <c r="AG58" s="254">
        <v>96316</v>
      </c>
      <c r="AH58" s="254">
        <v>96316</v>
      </c>
      <c r="AI58" s="254">
        <v>96316</v>
      </c>
      <c r="AJ58" s="254">
        <v>96316</v>
      </c>
      <c r="AK58" s="254">
        <v>96316</v>
      </c>
      <c r="AL58" s="254">
        <v>96316</v>
      </c>
      <c r="AM58" s="254">
        <v>96316</v>
      </c>
      <c r="AN58" s="254">
        <v>96316</v>
      </c>
      <c r="AO58" s="254">
        <v>96316</v>
      </c>
      <c r="AP58" s="254">
        <v>96316</v>
      </c>
      <c r="AQ58" s="254">
        <v>96316</v>
      </c>
      <c r="AR58" s="254">
        <v>96316</v>
      </c>
      <c r="AS58" s="254">
        <v>28635.52</v>
      </c>
      <c r="AT58" s="254">
        <v>0</v>
      </c>
      <c r="AU58" s="254">
        <v>0</v>
      </c>
      <c r="AV58" s="254">
        <v>0</v>
      </c>
      <c r="AW58" s="254"/>
      <c r="AX58" s="254"/>
      <c r="AY58" s="255">
        <f t="shared" si="7"/>
        <v>2449465.52</v>
      </c>
      <c r="AZ58" s="236">
        <f t="shared" si="8"/>
        <v>0</v>
      </c>
      <c r="BA58" s="256">
        <f t="shared" si="3"/>
        <v>1762323.52</v>
      </c>
      <c r="BB58" s="255">
        <f t="shared" si="4"/>
        <v>2449465.52</v>
      </c>
      <c r="BD58" s="257" t="b">
        <f t="shared" si="5"/>
        <v>1</v>
      </c>
      <c r="BE58" s="258">
        <f>BB58-K58-R58</f>
        <v>12930</v>
      </c>
    </row>
    <row r="59" spans="2:57" x14ac:dyDescent="0.25">
      <c r="B59" s="259" t="s">
        <v>720</v>
      </c>
      <c r="C59" s="259"/>
      <c r="D59" s="259"/>
      <c r="E59" s="259"/>
      <c r="F59" s="259"/>
      <c r="G59" s="259"/>
      <c r="H59" s="259"/>
      <c r="I59" s="259"/>
      <c r="J59" s="260"/>
      <c r="K59" s="260"/>
      <c r="L59" s="260" t="s">
        <v>874</v>
      </c>
      <c r="M59" s="260"/>
      <c r="N59" s="261">
        <f>SUM(O59:P59)</f>
        <v>6.0229999999999997</v>
      </c>
      <c r="O59" s="261">
        <v>6.0229999999999997</v>
      </c>
      <c r="P59" s="261">
        <f>$P$4</f>
        <v>0</v>
      </c>
      <c r="Q59" s="261" t="s">
        <v>729</v>
      </c>
      <c r="R59" s="262">
        <v>57579.95</v>
      </c>
      <c r="S59" s="262">
        <v>36717.86</v>
      </c>
      <c r="T59" s="263">
        <f t="shared" ref="T59:T122" si="9">SUM(R59:S59)</f>
        <v>94297.81</v>
      </c>
      <c r="U59" s="263">
        <f>SUM(U58:$AV58)*$N59/100</f>
        <v>140951.42168959999</v>
      </c>
      <c r="V59" s="263">
        <f>SUM(V58:$AV58)*$N59/100</f>
        <v>135150.30900959999</v>
      </c>
      <c r="W59" s="263">
        <f>SUM(W58:$AV58)*$N59/100</f>
        <v>129349.19632959999</v>
      </c>
      <c r="X59" s="263">
        <f>SUM(X58:$AV58)*$N59/100</f>
        <v>123548.0836496</v>
      </c>
      <c r="Y59" s="263">
        <f>SUM(Y58:$AV58)*$N59/100</f>
        <v>117746.97096959999</v>
      </c>
      <c r="Z59" s="263">
        <f>SUM(Z58:$AV58)*$N59/100</f>
        <v>111945.8582896</v>
      </c>
      <c r="AA59" s="263">
        <f>SUM(AA58:$AV58)*$N59/100</f>
        <v>106144.74560960001</v>
      </c>
      <c r="AB59" s="263">
        <f>SUM(AB58:$AV58)*$N59/100</f>
        <v>100343.63292959999</v>
      </c>
      <c r="AC59" s="263">
        <f>SUM(AC58:$AV58)*$N59/100</f>
        <v>94542.520249599998</v>
      </c>
      <c r="AD59" s="263">
        <f>SUM(AD58:$AV58)*$N59/100</f>
        <v>88741.407569599993</v>
      </c>
      <c r="AE59" s="263">
        <f>SUM(AE58:$AV58)*$N59/100</f>
        <v>82940.294889600002</v>
      </c>
      <c r="AF59" s="263">
        <f>SUM(AF58:$AV58)*$N59/100</f>
        <v>77139.182209599996</v>
      </c>
      <c r="AG59" s="263">
        <f>SUM(AG58:$AV58)*$N59/100</f>
        <v>71338.06952959999</v>
      </c>
      <c r="AH59" s="263">
        <f>SUM(AH58:$AV58)*$N59/100</f>
        <v>65536.956849599999</v>
      </c>
      <c r="AI59" s="263">
        <f>SUM(AI58:$AV58)*$N59/100</f>
        <v>59735.844169600001</v>
      </c>
      <c r="AJ59" s="263">
        <f>SUM(AJ58:$AV58)*$N59/100</f>
        <v>53934.731489600003</v>
      </c>
      <c r="AK59" s="263">
        <f>SUM(AK58:$AV58)*$N59/100</f>
        <v>48133.618809599997</v>
      </c>
      <c r="AL59" s="263">
        <f>SUM(AL58:$AV58)*$N59/100</f>
        <v>42332.506129599999</v>
      </c>
      <c r="AM59" s="263">
        <f>SUM(AM58:$AV58)*$N59/100</f>
        <v>36531.3934496</v>
      </c>
      <c r="AN59" s="263">
        <f>SUM(AN58:$AV58)*$N59/100</f>
        <v>30730.280769599998</v>
      </c>
      <c r="AO59" s="263">
        <f>SUM(AO58:$AV58)*$N59/100</f>
        <v>24929.1680896</v>
      </c>
      <c r="AP59" s="263">
        <f>SUM(AP58:$AV58)*$N59/100</f>
        <v>19128.055409599998</v>
      </c>
      <c r="AQ59" s="263">
        <f>SUM(AQ58:$AV58)*$N59/100</f>
        <v>13326.942729599999</v>
      </c>
      <c r="AR59" s="263">
        <f>SUM(AR58:$AV58)*$N59/100</f>
        <v>7525.8300495999993</v>
      </c>
      <c r="AS59" s="263">
        <f>SUM(AS58:$AV58)*$N59/100</f>
        <v>1724.7173695999998</v>
      </c>
      <c r="AT59" s="263">
        <v>0</v>
      </c>
      <c r="AU59" s="263">
        <v>0</v>
      </c>
      <c r="AV59" s="263">
        <v>0</v>
      </c>
      <c r="AW59" s="263"/>
      <c r="AX59" s="263"/>
      <c r="AY59" s="264">
        <f t="shared" si="7"/>
        <v>1877749.5482400001</v>
      </c>
      <c r="AZ59" s="236">
        <f t="shared" si="8"/>
        <v>0</v>
      </c>
      <c r="BA59" s="265">
        <f t="shared" si="3"/>
        <v>1024759.8983024</v>
      </c>
      <c r="BB59" s="264">
        <f t="shared" si="4"/>
        <v>1877749.5482399999</v>
      </c>
      <c r="BD59" s="257" t="b">
        <f t="shared" si="5"/>
        <v>1</v>
      </c>
    </row>
    <row r="60" spans="2:57" s="257" customFormat="1" x14ac:dyDescent="0.25">
      <c r="B60" s="250" t="s">
        <v>720</v>
      </c>
      <c r="C60" s="250">
        <v>28</v>
      </c>
      <c r="D60" s="250" t="s">
        <v>875</v>
      </c>
      <c r="E60" s="250" t="s">
        <v>876</v>
      </c>
      <c r="F60" s="250" t="s">
        <v>877</v>
      </c>
      <c r="G60" s="250" t="s">
        <v>878</v>
      </c>
      <c r="H60" s="250" t="s">
        <v>879</v>
      </c>
      <c r="I60" s="250" t="s">
        <v>726</v>
      </c>
      <c r="J60" s="251">
        <v>1410783</v>
      </c>
      <c r="K60" s="251">
        <v>1059408</v>
      </c>
      <c r="L60" s="251"/>
      <c r="M60" s="251"/>
      <c r="N60" s="252"/>
      <c r="O60" s="252">
        <v>1.589</v>
      </c>
      <c r="P60" s="252"/>
      <c r="Q60" s="252" t="s">
        <v>727</v>
      </c>
      <c r="R60" s="253">
        <v>44142</v>
      </c>
      <c r="S60" s="253">
        <v>44142</v>
      </c>
      <c r="T60" s="254">
        <f t="shared" si="9"/>
        <v>88284</v>
      </c>
      <c r="U60" s="254">
        <v>88284</v>
      </c>
      <c r="V60" s="254">
        <v>88284</v>
      </c>
      <c r="W60" s="254">
        <v>88284</v>
      </c>
      <c r="X60" s="254">
        <v>88284</v>
      </c>
      <c r="Y60" s="254">
        <v>88284</v>
      </c>
      <c r="Z60" s="254">
        <v>88284</v>
      </c>
      <c r="AA60" s="254">
        <v>88284</v>
      </c>
      <c r="AB60" s="254">
        <v>88284</v>
      </c>
      <c r="AC60" s="254">
        <v>88284</v>
      </c>
      <c r="AD60" s="254">
        <v>88284</v>
      </c>
      <c r="AE60" s="254">
        <v>88284</v>
      </c>
      <c r="AF60" s="254">
        <v>44142</v>
      </c>
      <c r="AG60" s="254">
        <v>0</v>
      </c>
      <c r="AH60" s="254">
        <v>0</v>
      </c>
      <c r="AI60" s="254">
        <v>0</v>
      </c>
      <c r="AJ60" s="254">
        <v>0</v>
      </c>
      <c r="AK60" s="254">
        <v>0</v>
      </c>
      <c r="AL60" s="254">
        <v>0</v>
      </c>
      <c r="AM60" s="254">
        <v>0</v>
      </c>
      <c r="AN60" s="254">
        <v>0</v>
      </c>
      <c r="AO60" s="254">
        <v>0</v>
      </c>
      <c r="AP60" s="254">
        <v>0</v>
      </c>
      <c r="AQ60" s="254">
        <v>0</v>
      </c>
      <c r="AR60" s="254">
        <v>0</v>
      </c>
      <c r="AS60" s="254">
        <v>0</v>
      </c>
      <c r="AT60" s="254">
        <v>0</v>
      </c>
      <c r="AU60" s="254">
        <v>0</v>
      </c>
      <c r="AV60" s="254">
        <v>0</v>
      </c>
      <c r="AW60" s="254"/>
      <c r="AX60" s="254"/>
      <c r="AY60" s="255">
        <f t="shared" si="7"/>
        <v>1103550</v>
      </c>
      <c r="AZ60" s="236">
        <f t="shared" si="8"/>
        <v>0</v>
      </c>
      <c r="BA60" s="256">
        <f t="shared" si="3"/>
        <v>485562</v>
      </c>
      <c r="BB60" s="255">
        <f t="shared" si="4"/>
        <v>1103550</v>
      </c>
      <c r="BD60" s="257" t="b">
        <f t="shared" si="5"/>
        <v>1</v>
      </c>
      <c r="BE60" s="258">
        <f>BB60-K60-R60</f>
        <v>0</v>
      </c>
    </row>
    <row r="61" spans="2:57" x14ac:dyDescent="0.25">
      <c r="B61" s="259" t="s">
        <v>720</v>
      </c>
      <c r="C61" s="259"/>
      <c r="D61" s="259"/>
      <c r="E61" s="259"/>
      <c r="F61" s="259"/>
      <c r="G61" s="259"/>
      <c r="H61" s="259"/>
      <c r="I61" s="259"/>
      <c r="J61" s="260"/>
      <c r="K61" s="260"/>
      <c r="L61" s="260" t="s">
        <v>880</v>
      </c>
      <c r="M61" s="260"/>
      <c r="N61" s="261">
        <f>SUM(O61:P61)</f>
        <v>5</v>
      </c>
      <c r="O61" s="267">
        <v>5</v>
      </c>
      <c r="P61" s="261">
        <f>$P$4</f>
        <v>0</v>
      </c>
      <c r="Q61" s="261" t="s">
        <v>729</v>
      </c>
      <c r="R61" s="262">
        <v>13264.55</v>
      </c>
      <c r="S61" s="262">
        <v>12703.22</v>
      </c>
      <c r="T61" s="263">
        <f t="shared" si="9"/>
        <v>25967.769999999997</v>
      </c>
      <c r="U61" s="263">
        <f>SUM(U60:$AV60)*$N61/100</f>
        <v>50763.3</v>
      </c>
      <c r="V61" s="263">
        <f>SUM(V60:$AV60)*$N61/100</f>
        <v>46349.1</v>
      </c>
      <c r="W61" s="263">
        <f>SUM(W60:$AV60)*$N61/100</f>
        <v>41934.9</v>
      </c>
      <c r="X61" s="263">
        <f>SUM(X60:$AV60)*$N61/100</f>
        <v>37520.699999999997</v>
      </c>
      <c r="Y61" s="263">
        <f>SUM(Y60:$AV60)*$N61/100</f>
        <v>33106.5</v>
      </c>
      <c r="Z61" s="263">
        <f>SUM(Z60:$AV60)*$N61/100</f>
        <v>28692.3</v>
      </c>
      <c r="AA61" s="263">
        <f>SUM(AA60:$AV60)*$N61/100</f>
        <v>24278.1</v>
      </c>
      <c r="AB61" s="263">
        <f>SUM(AB60:$AV60)*$N61/100</f>
        <v>19863.900000000001</v>
      </c>
      <c r="AC61" s="263">
        <f>SUM(AC60:$AV60)*$N61/100</f>
        <v>15449.7</v>
      </c>
      <c r="AD61" s="263">
        <f>SUM(AD60:$AV60)*$N61/100</f>
        <v>11035.5</v>
      </c>
      <c r="AE61" s="263">
        <f>SUM(AE60:$AV60)*$N61/100</f>
        <v>6621.3</v>
      </c>
      <c r="AF61" s="263">
        <f>SUM(AF60:$AV60)*$N61/100</f>
        <v>2207.1</v>
      </c>
      <c r="AG61" s="263">
        <v>0</v>
      </c>
      <c r="AH61" s="263">
        <v>0</v>
      </c>
      <c r="AI61" s="263">
        <v>0</v>
      </c>
      <c r="AJ61" s="263">
        <v>0</v>
      </c>
      <c r="AK61" s="263">
        <v>0</v>
      </c>
      <c r="AL61" s="263">
        <v>0</v>
      </c>
      <c r="AM61" s="263">
        <v>0</v>
      </c>
      <c r="AN61" s="263">
        <v>0</v>
      </c>
      <c r="AO61" s="263">
        <v>0</v>
      </c>
      <c r="AP61" s="263">
        <v>0</v>
      </c>
      <c r="AQ61" s="263">
        <v>0</v>
      </c>
      <c r="AR61" s="263">
        <v>0</v>
      </c>
      <c r="AS61" s="263">
        <v>0</v>
      </c>
      <c r="AT61" s="263">
        <v>0</v>
      </c>
      <c r="AU61" s="263">
        <v>0</v>
      </c>
      <c r="AV61" s="263">
        <v>0</v>
      </c>
      <c r="AW61" s="263"/>
      <c r="AX61" s="263"/>
      <c r="AY61" s="264">
        <f t="shared" si="7"/>
        <v>343790.17</v>
      </c>
      <c r="AZ61" s="236">
        <f t="shared" si="8"/>
        <v>0</v>
      </c>
      <c r="BA61" s="265">
        <f t="shared" si="3"/>
        <v>79455.600000000006</v>
      </c>
      <c r="BB61" s="264">
        <f t="shared" si="4"/>
        <v>343790.17000000004</v>
      </c>
      <c r="BD61" s="257" t="b">
        <f t="shared" si="5"/>
        <v>1</v>
      </c>
    </row>
    <row r="62" spans="2:57" s="257" customFormat="1" x14ac:dyDescent="0.25">
      <c r="B62" s="250" t="s">
        <v>766</v>
      </c>
      <c r="C62" s="250">
        <v>29</v>
      </c>
      <c r="D62" s="250" t="s">
        <v>881</v>
      </c>
      <c r="E62" s="250" t="s">
        <v>882</v>
      </c>
      <c r="F62" s="250" t="s">
        <v>883</v>
      </c>
      <c r="G62" s="250" t="s">
        <v>884</v>
      </c>
      <c r="H62" s="250" t="s">
        <v>885</v>
      </c>
      <c r="I62" s="250" t="s">
        <v>726</v>
      </c>
      <c r="J62" s="251">
        <v>824810</v>
      </c>
      <c r="K62" s="251">
        <v>809979</v>
      </c>
      <c r="L62" s="251"/>
      <c r="M62" s="251"/>
      <c r="N62" s="252"/>
      <c r="O62" s="252">
        <v>3.4710000000000001</v>
      </c>
      <c r="P62" s="252"/>
      <c r="Q62" s="252" t="s">
        <v>727</v>
      </c>
      <c r="R62" s="253">
        <v>14831</v>
      </c>
      <c r="S62" s="253">
        <v>14862</v>
      </c>
      <c r="T62" s="254">
        <f t="shared" si="9"/>
        <v>29693</v>
      </c>
      <c r="U62" s="254">
        <v>29724</v>
      </c>
      <c r="V62" s="254">
        <v>29724</v>
      </c>
      <c r="W62" s="254">
        <v>29724</v>
      </c>
      <c r="X62" s="254">
        <v>29724</v>
      </c>
      <c r="Y62" s="254">
        <v>29724</v>
      </c>
      <c r="Z62" s="254">
        <v>29724</v>
      </c>
      <c r="AA62" s="254">
        <v>29724</v>
      </c>
      <c r="AB62" s="254">
        <v>29724</v>
      </c>
      <c r="AC62" s="254">
        <v>29724</v>
      </c>
      <c r="AD62" s="254">
        <v>29724</v>
      </c>
      <c r="AE62" s="254">
        <v>29724</v>
      </c>
      <c r="AF62" s="254">
        <v>29724</v>
      </c>
      <c r="AG62" s="254">
        <v>29724</v>
      </c>
      <c r="AH62" s="254">
        <v>29724</v>
      </c>
      <c r="AI62" s="254">
        <v>29724</v>
      </c>
      <c r="AJ62" s="254">
        <v>29724</v>
      </c>
      <c r="AK62" s="254">
        <v>29724</v>
      </c>
      <c r="AL62" s="254">
        <v>29724</v>
      </c>
      <c r="AM62" s="254">
        <v>29724</v>
      </c>
      <c r="AN62" s="254">
        <v>29724</v>
      </c>
      <c r="AO62" s="254">
        <v>29724</v>
      </c>
      <c r="AP62" s="254">
        <v>29724</v>
      </c>
      <c r="AQ62" s="254">
        <v>29724</v>
      </c>
      <c r="AR62" s="254">
        <v>29724</v>
      </c>
      <c r="AS62" s="254">
        <v>29724</v>
      </c>
      <c r="AT62" s="254">
        <v>29724</v>
      </c>
      <c r="AU62" s="254">
        <v>22293</v>
      </c>
      <c r="AV62" s="254">
        <v>0</v>
      </c>
      <c r="AW62" s="254"/>
      <c r="AX62" s="254"/>
      <c r="AY62" s="255">
        <f t="shared" si="7"/>
        <v>824810</v>
      </c>
      <c r="AZ62" s="236">
        <f t="shared" si="8"/>
        <v>0</v>
      </c>
      <c r="BA62" s="256">
        <f t="shared" si="3"/>
        <v>616773</v>
      </c>
      <c r="BB62" s="255">
        <f t="shared" si="4"/>
        <v>824810</v>
      </c>
      <c r="BD62" s="257" t="b">
        <f t="shared" si="5"/>
        <v>1</v>
      </c>
      <c r="BE62" s="258">
        <f>BB62-K62-R62</f>
        <v>0</v>
      </c>
    </row>
    <row r="63" spans="2:57" x14ac:dyDescent="0.25">
      <c r="B63" s="259" t="s">
        <v>766</v>
      </c>
      <c r="C63" s="259"/>
      <c r="D63" s="259"/>
      <c r="E63" s="259"/>
      <c r="F63" s="259"/>
      <c r="G63" s="259"/>
      <c r="H63" s="259"/>
      <c r="I63" s="259"/>
      <c r="J63" s="260"/>
      <c r="K63" s="260"/>
      <c r="L63" s="260" t="s">
        <v>886</v>
      </c>
      <c r="M63" s="260"/>
      <c r="N63" s="261">
        <f>SUM(O63:P63)</f>
        <v>5.0999999999999996</v>
      </c>
      <c r="O63" s="267">
        <v>5.0999999999999996</v>
      </c>
      <c r="P63" s="261">
        <f>$P$4</f>
        <v>0</v>
      </c>
      <c r="Q63" s="261" t="s">
        <v>729</v>
      </c>
      <c r="R63" s="262">
        <v>21629.07</v>
      </c>
      <c r="S63" s="262">
        <v>7176.9</v>
      </c>
      <c r="T63" s="263">
        <f t="shared" si="9"/>
        <v>28805.97</v>
      </c>
      <c r="U63" s="263">
        <f>SUM(U62:$AV62)*$N63/100</f>
        <v>40550.966999999997</v>
      </c>
      <c r="V63" s="263">
        <f>SUM(V62:$AV62)*$N63/100</f>
        <v>39035.042999999998</v>
      </c>
      <c r="W63" s="263">
        <f>SUM(W62:$AV62)*$N63/100</f>
        <v>37519.118999999999</v>
      </c>
      <c r="X63" s="263">
        <f>SUM(X62:$AV62)*$N63/100</f>
        <v>36003.194999999992</v>
      </c>
      <c r="Y63" s="263">
        <f>SUM(Y62:$AV62)*$N63/100</f>
        <v>34487.270999999993</v>
      </c>
      <c r="Z63" s="263">
        <f>SUM(Z62:$AV62)*$N63/100</f>
        <v>32971.346999999994</v>
      </c>
      <c r="AA63" s="263">
        <f>SUM(AA62:$AV62)*$N63/100</f>
        <v>31455.422999999999</v>
      </c>
      <c r="AB63" s="263">
        <f>SUM(AB62:$AV62)*$N63/100</f>
        <v>29939.499</v>
      </c>
      <c r="AC63" s="263">
        <f>SUM(AC62:$AV62)*$N63/100</f>
        <v>28423.575000000001</v>
      </c>
      <c r="AD63" s="263">
        <f>SUM(AD62:$AV62)*$N63/100</f>
        <v>26907.650999999998</v>
      </c>
      <c r="AE63" s="263">
        <f>SUM(AE62:$AV62)*$N63/100</f>
        <v>25391.726999999999</v>
      </c>
      <c r="AF63" s="263">
        <f>SUM(AF62:$AV62)*$N63/100</f>
        <v>23875.803</v>
      </c>
      <c r="AG63" s="263">
        <f>SUM(AG62:$AV62)*$N63/100</f>
        <v>22359.879000000001</v>
      </c>
      <c r="AH63" s="263">
        <f>SUM(AH62:$AV62)*$N63/100</f>
        <v>20843.954999999998</v>
      </c>
      <c r="AI63" s="263">
        <f>SUM(AI62:$AV62)*$N63/100</f>
        <v>19328.030999999999</v>
      </c>
      <c r="AJ63" s="263">
        <f>SUM(AJ62:$AV62)*$N63/100</f>
        <v>17812.107</v>
      </c>
      <c r="AK63" s="263">
        <f>SUM(AK62:$AV62)*$N63/100</f>
        <v>16296.182999999997</v>
      </c>
      <c r="AL63" s="263">
        <f>SUM(AL62:$AV62)*$N63/100</f>
        <v>14780.258999999998</v>
      </c>
      <c r="AM63" s="263">
        <f>SUM(AM62:$AV62)*$N63/100</f>
        <v>13264.334999999999</v>
      </c>
      <c r="AN63" s="263">
        <f>SUM(AN62:$AV62)*$N63/100</f>
        <v>11748.410999999998</v>
      </c>
      <c r="AO63" s="263">
        <f>SUM(AO62:$AV62)*$N63/100</f>
        <v>10232.486999999999</v>
      </c>
      <c r="AP63" s="263">
        <f>SUM(AP62:$AV62)*$N63/100</f>
        <v>8716.5630000000001</v>
      </c>
      <c r="AQ63" s="263">
        <f>SUM(AQ62:$AV62)*$N63/100</f>
        <v>7200.6389999999992</v>
      </c>
      <c r="AR63" s="263">
        <f>SUM(AR62:$AV62)*$N63/100</f>
        <v>5684.7150000000001</v>
      </c>
      <c r="AS63" s="263">
        <f>SUM(AS62:$AV62)*$N63/100</f>
        <v>4168.7910000000002</v>
      </c>
      <c r="AT63" s="263">
        <f>SUM(AT62:$AV62)*$N63/100</f>
        <v>2652.8669999999997</v>
      </c>
      <c r="AU63" s="263">
        <f>SUM(AU62:$AV62)*$N63/100</f>
        <v>1136.943</v>
      </c>
      <c r="AV63" s="263">
        <v>0</v>
      </c>
      <c r="AW63" s="263"/>
      <c r="AX63" s="263"/>
      <c r="AY63" s="264">
        <f t="shared" si="7"/>
        <v>591592.75499999989</v>
      </c>
      <c r="AZ63" s="236">
        <f t="shared" si="8"/>
        <v>0</v>
      </c>
      <c r="BA63" s="265">
        <f t="shared" si="3"/>
        <v>342219.84300000023</v>
      </c>
      <c r="BB63" s="264">
        <f t="shared" si="4"/>
        <v>591592.75500000024</v>
      </c>
      <c r="BD63" s="257" t="b">
        <f t="shared" si="5"/>
        <v>1</v>
      </c>
    </row>
    <row r="64" spans="2:57" s="257" customFormat="1" x14ac:dyDescent="0.25">
      <c r="B64" s="250" t="s">
        <v>766</v>
      </c>
      <c r="C64" s="250">
        <v>30</v>
      </c>
      <c r="D64" s="250" t="s">
        <v>887</v>
      </c>
      <c r="E64" s="250" t="s">
        <v>888</v>
      </c>
      <c r="F64" s="250" t="s">
        <v>889</v>
      </c>
      <c r="G64" s="250" t="s">
        <v>884</v>
      </c>
      <c r="H64" s="250" t="s">
        <v>890</v>
      </c>
      <c r="I64" s="250" t="s">
        <v>726</v>
      </c>
      <c r="J64" s="251">
        <v>347420.04</v>
      </c>
      <c r="K64" s="251">
        <v>319308.03999999998</v>
      </c>
      <c r="L64" s="251"/>
      <c r="M64" s="251"/>
      <c r="N64" s="252"/>
      <c r="O64" s="252">
        <v>3.2429999999999999</v>
      </c>
      <c r="P64" s="252"/>
      <c r="Q64" s="252" t="s">
        <v>727</v>
      </c>
      <c r="R64" s="253">
        <v>9394</v>
      </c>
      <c r="S64" s="253">
        <v>9394</v>
      </c>
      <c r="T64" s="254">
        <f t="shared" si="9"/>
        <v>18788</v>
      </c>
      <c r="U64" s="254">
        <v>18788</v>
      </c>
      <c r="V64" s="254">
        <v>18788</v>
      </c>
      <c r="W64" s="254">
        <v>18788</v>
      </c>
      <c r="X64" s="254">
        <v>18788</v>
      </c>
      <c r="Y64" s="254">
        <v>18788</v>
      </c>
      <c r="Z64" s="254">
        <v>18788</v>
      </c>
      <c r="AA64" s="254">
        <v>18788</v>
      </c>
      <c r="AB64" s="254">
        <v>18788</v>
      </c>
      <c r="AC64" s="254">
        <v>18788</v>
      </c>
      <c r="AD64" s="254">
        <v>18788</v>
      </c>
      <c r="AE64" s="254">
        <v>18788</v>
      </c>
      <c r="AF64" s="254">
        <v>18788</v>
      </c>
      <c r="AG64" s="254">
        <v>18788</v>
      </c>
      <c r="AH64" s="254">
        <v>18788</v>
      </c>
      <c r="AI64" s="254">
        <v>18788</v>
      </c>
      <c r="AJ64" s="254">
        <v>18788</v>
      </c>
      <c r="AK64" s="254">
        <v>9306.0400000000009</v>
      </c>
      <c r="AL64" s="254">
        <v>0</v>
      </c>
      <c r="AM64" s="254">
        <v>0</v>
      </c>
      <c r="AN64" s="254">
        <v>0</v>
      </c>
      <c r="AO64" s="254">
        <v>0</v>
      </c>
      <c r="AP64" s="254">
        <v>0</v>
      </c>
      <c r="AQ64" s="254">
        <v>0</v>
      </c>
      <c r="AR64" s="254">
        <v>0</v>
      </c>
      <c r="AS64" s="254">
        <v>0</v>
      </c>
      <c r="AT64" s="254">
        <v>0</v>
      </c>
      <c r="AU64" s="254">
        <v>0</v>
      </c>
      <c r="AV64" s="254">
        <v>0</v>
      </c>
      <c r="AW64" s="254"/>
      <c r="AX64" s="254"/>
      <c r="AY64" s="255">
        <f t="shared" si="7"/>
        <v>328702.03999999998</v>
      </c>
      <c r="AZ64" s="236">
        <f t="shared" si="8"/>
        <v>0</v>
      </c>
      <c r="BA64" s="256">
        <f t="shared" si="3"/>
        <v>197186.04</v>
      </c>
      <c r="BB64" s="255">
        <f t="shared" si="4"/>
        <v>328702.04000000004</v>
      </c>
      <c r="BD64" s="257" t="b">
        <f t="shared" si="5"/>
        <v>1</v>
      </c>
      <c r="BE64" s="258">
        <f>BB64-K64-R64</f>
        <v>5.8207660913467407E-11</v>
      </c>
    </row>
    <row r="65" spans="2:57" x14ac:dyDescent="0.25">
      <c r="B65" s="259" t="s">
        <v>766</v>
      </c>
      <c r="C65" s="259"/>
      <c r="D65" s="259"/>
      <c r="E65" s="259"/>
      <c r="F65" s="259"/>
      <c r="G65" s="259"/>
      <c r="H65" s="259"/>
      <c r="I65" s="259"/>
      <c r="J65" s="260"/>
      <c r="K65" s="260"/>
      <c r="L65" s="260" t="s">
        <v>886</v>
      </c>
      <c r="M65" s="260"/>
      <c r="N65" s="261">
        <f>SUM(O65:P65)</f>
        <v>5</v>
      </c>
      <c r="O65" s="267">
        <v>5</v>
      </c>
      <c r="P65" s="261">
        <f>$P$4</f>
        <v>0</v>
      </c>
      <c r="Q65" s="261" t="s">
        <v>729</v>
      </c>
      <c r="R65" s="262">
        <v>8069.3099999999995</v>
      </c>
      <c r="S65" s="262">
        <v>2641.66</v>
      </c>
      <c r="T65" s="263">
        <f t="shared" si="9"/>
        <v>10710.97</v>
      </c>
      <c r="U65" s="263">
        <f>SUM(U64:$AV64)*$N65/100</f>
        <v>15495.701999999999</v>
      </c>
      <c r="V65" s="263">
        <f>SUM(V64:$AV64)*$N65/100</f>
        <v>14556.302</v>
      </c>
      <c r="W65" s="263">
        <f>SUM(W64:$AV64)*$N65/100</f>
        <v>13616.902</v>
      </c>
      <c r="X65" s="263">
        <f>SUM(X64:$AV64)*$N65/100</f>
        <v>12677.502</v>
      </c>
      <c r="Y65" s="263">
        <f>SUM(Y64:$AV64)*$N65/100</f>
        <v>11738.101999999999</v>
      </c>
      <c r="Z65" s="263">
        <f>SUM(Z64:$AV64)*$N65/100</f>
        <v>10798.701999999999</v>
      </c>
      <c r="AA65" s="263">
        <f>SUM(AA64:$AV64)*$N65/100</f>
        <v>9859.3020000000015</v>
      </c>
      <c r="AB65" s="263">
        <f>SUM(AB64:$AV64)*$N65/100</f>
        <v>8919.902</v>
      </c>
      <c r="AC65" s="263">
        <f>SUM(AC64:$AV64)*$N65/100</f>
        <v>7980.5020000000004</v>
      </c>
      <c r="AD65" s="263">
        <f>SUM(AD64:$AV64)*$N65/100</f>
        <v>7041.1020000000008</v>
      </c>
      <c r="AE65" s="263">
        <f>SUM(AE64:$AV64)*$N65/100</f>
        <v>6101.7020000000011</v>
      </c>
      <c r="AF65" s="263">
        <f>SUM(AF64:$AV64)*$N65/100</f>
        <v>5162.3020000000006</v>
      </c>
      <c r="AG65" s="263">
        <f>SUM(AG64:$AV64)*$N65/100</f>
        <v>4222.902000000001</v>
      </c>
      <c r="AH65" s="263">
        <f>SUM(AH64:$AV64)*$N65/100</f>
        <v>3283.5020000000009</v>
      </c>
      <c r="AI65" s="263">
        <f>SUM(AI64:$AV64)*$N65/100</f>
        <v>2344.1020000000003</v>
      </c>
      <c r="AJ65" s="263">
        <f>SUM(AJ64:$AV64)*$N65/100</f>
        <v>1404.7020000000002</v>
      </c>
      <c r="AK65" s="263">
        <f>SUM(AK64:$AV64)*$N65/100</f>
        <v>465.30200000000002</v>
      </c>
      <c r="AL65" s="263">
        <v>0</v>
      </c>
      <c r="AM65" s="263">
        <v>0</v>
      </c>
      <c r="AN65" s="263">
        <v>0</v>
      </c>
      <c r="AO65" s="263">
        <v>0</v>
      </c>
      <c r="AP65" s="263">
        <v>0</v>
      </c>
      <c r="AQ65" s="263">
        <v>0</v>
      </c>
      <c r="AR65" s="263">
        <v>0</v>
      </c>
      <c r="AS65" s="263">
        <v>0</v>
      </c>
      <c r="AT65" s="263">
        <v>0</v>
      </c>
      <c r="AU65" s="263">
        <v>0</v>
      </c>
      <c r="AV65" s="263">
        <v>0</v>
      </c>
      <c r="AW65" s="263"/>
      <c r="AX65" s="263"/>
      <c r="AY65" s="264">
        <f t="shared" si="7"/>
        <v>146379.50400000002</v>
      </c>
      <c r="AZ65" s="236">
        <f t="shared" si="8"/>
        <v>0</v>
      </c>
      <c r="BA65" s="265">
        <f t="shared" si="3"/>
        <v>56785.322000000015</v>
      </c>
      <c r="BB65" s="264">
        <f t="shared" si="4"/>
        <v>146379.50400000002</v>
      </c>
      <c r="BD65" s="257" t="b">
        <f t="shared" si="5"/>
        <v>1</v>
      </c>
    </row>
    <row r="66" spans="2:57" s="257" customFormat="1" x14ac:dyDescent="0.25">
      <c r="B66" s="250" t="s">
        <v>720</v>
      </c>
      <c r="C66" s="250">
        <v>31</v>
      </c>
      <c r="D66" s="250" t="s">
        <v>891</v>
      </c>
      <c r="E66" s="250" t="s">
        <v>892</v>
      </c>
      <c r="F66" s="250" t="s">
        <v>893</v>
      </c>
      <c r="G66" s="250" t="s">
        <v>894</v>
      </c>
      <c r="H66" s="250" t="s">
        <v>895</v>
      </c>
      <c r="I66" s="250" t="s">
        <v>726</v>
      </c>
      <c r="J66" s="251">
        <v>53218</v>
      </c>
      <c r="K66" s="251">
        <v>25209</v>
      </c>
      <c r="L66" s="251"/>
      <c r="M66" s="251"/>
      <c r="N66" s="252"/>
      <c r="O66" s="252"/>
      <c r="P66" s="252"/>
      <c r="Q66" s="252" t="s">
        <v>727</v>
      </c>
      <c r="R66" s="253">
        <v>5602</v>
      </c>
      <c r="S66" s="253">
        <v>5602</v>
      </c>
      <c r="T66" s="254">
        <f t="shared" si="9"/>
        <v>11204</v>
      </c>
      <c r="U66" s="254">
        <v>11204</v>
      </c>
      <c r="V66" s="254">
        <v>8403</v>
      </c>
      <c r="W66" s="254">
        <v>0</v>
      </c>
      <c r="X66" s="254">
        <v>0</v>
      </c>
      <c r="Y66" s="254">
        <v>0</v>
      </c>
      <c r="Z66" s="254">
        <v>0</v>
      </c>
      <c r="AA66" s="254">
        <v>0</v>
      </c>
      <c r="AB66" s="254">
        <v>0</v>
      </c>
      <c r="AC66" s="254">
        <v>0</v>
      </c>
      <c r="AD66" s="254">
        <v>0</v>
      </c>
      <c r="AE66" s="254">
        <v>0</v>
      </c>
      <c r="AF66" s="254">
        <v>0</v>
      </c>
      <c r="AG66" s="254">
        <v>0</v>
      </c>
      <c r="AH66" s="254">
        <v>0</v>
      </c>
      <c r="AI66" s="254">
        <v>0</v>
      </c>
      <c r="AJ66" s="254">
        <v>0</v>
      </c>
      <c r="AK66" s="254">
        <v>0</v>
      </c>
      <c r="AL66" s="254">
        <v>0</v>
      </c>
      <c r="AM66" s="254">
        <v>0</v>
      </c>
      <c r="AN66" s="254">
        <v>0</v>
      </c>
      <c r="AO66" s="254">
        <v>0</v>
      </c>
      <c r="AP66" s="254">
        <v>0</v>
      </c>
      <c r="AQ66" s="254">
        <v>0</v>
      </c>
      <c r="AR66" s="254">
        <v>0</v>
      </c>
      <c r="AS66" s="254">
        <v>0</v>
      </c>
      <c r="AT66" s="254">
        <v>0</v>
      </c>
      <c r="AU66" s="254">
        <v>0</v>
      </c>
      <c r="AV66" s="254">
        <v>0</v>
      </c>
      <c r="AW66" s="254"/>
      <c r="AX66" s="254"/>
      <c r="AY66" s="255">
        <f t="shared" si="7"/>
        <v>30811</v>
      </c>
      <c r="AZ66" s="236">
        <f t="shared" si="8"/>
        <v>0</v>
      </c>
      <c r="BA66" s="256">
        <f t="shared" si="3"/>
        <v>0</v>
      </c>
      <c r="BB66" s="255">
        <f t="shared" si="4"/>
        <v>30811</v>
      </c>
      <c r="BD66" s="257" t="b">
        <f t="shared" si="5"/>
        <v>1</v>
      </c>
      <c r="BE66" s="258">
        <f>BB66-K66-R66</f>
        <v>0</v>
      </c>
    </row>
    <row r="67" spans="2:57" x14ac:dyDescent="0.25">
      <c r="B67" s="259" t="s">
        <v>720</v>
      </c>
      <c r="C67" s="259"/>
      <c r="D67" s="259"/>
      <c r="E67" s="259"/>
      <c r="F67" s="259"/>
      <c r="G67" s="259"/>
      <c r="H67" s="259"/>
      <c r="I67" s="259"/>
      <c r="J67" s="260"/>
      <c r="K67" s="260"/>
      <c r="L67" s="260">
        <v>0</v>
      </c>
      <c r="M67" s="260" t="s">
        <v>896</v>
      </c>
      <c r="N67" s="261">
        <f>SUM(O67:P67)</f>
        <v>0.25</v>
      </c>
      <c r="O67" s="261">
        <v>0.25</v>
      </c>
      <c r="P67" s="261">
        <f>$P$4</f>
        <v>0</v>
      </c>
      <c r="Q67" s="261" t="s">
        <v>729</v>
      </c>
      <c r="R67" s="262">
        <v>57.75</v>
      </c>
      <c r="S67" s="262">
        <v>15.89</v>
      </c>
      <c r="T67" s="263">
        <f t="shared" si="9"/>
        <v>73.64</v>
      </c>
      <c r="U67" s="263">
        <f>SUM(U66:$AV66)*$N67/100</f>
        <v>49.017499999999998</v>
      </c>
      <c r="V67" s="263">
        <f>SUM(V66:$AV66)*$N67/100</f>
        <v>21.0075</v>
      </c>
      <c r="W67" s="263">
        <v>0</v>
      </c>
      <c r="X67" s="263">
        <v>0</v>
      </c>
      <c r="Y67" s="263">
        <v>0</v>
      </c>
      <c r="Z67" s="263">
        <v>0</v>
      </c>
      <c r="AA67" s="263">
        <v>0</v>
      </c>
      <c r="AB67" s="263">
        <v>0</v>
      </c>
      <c r="AC67" s="263">
        <v>0</v>
      </c>
      <c r="AD67" s="263">
        <v>0</v>
      </c>
      <c r="AE67" s="263">
        <v>0</v>
      </c>
      <c r="AF67" s="263">
        <v>0</v>
      </c>
      <c r="AG67" s="263">
        <v>0</v>
      </c>
      <c r="AH67" s="263">
        <v>0</v>
      </c>
      <c r="AI67" s="263">
        <v>0</v>
      </c>
      <c r="AJ67" s="263">
        <v>0</v>
      </c>
      <c r="AK67" s="263">
        <v>0</v>
      </c>
      <c r="AL67" s="263">
        <v>0</v>
      </c>
      <c r="AM67" s="263">
        <v>0</v>
      </c>
      <c r="AN67" s="263">
        <v>0</v>
      </c>
      <c r="AO67" s="263">
        <v>0</v>
      </c>
      <c r="AP67" s="263">
        <v>0</v>
      </c>
      <c r="AQ67" s="263">
        <v>0</v>
      </c>
      <c r="AR67" s="263">
        <v>0</v>
      </c>
      <c r="AS67" s="263">
        <v>0</v>
      </c>
      <c r="AT67" s="263">
        <v>0</v>
      </c>
      <c r="AU67" s="263">
        <v>0</v>
      </c>
      <c r="AV67" s="263">
        <v>0</v>
      </c>
      <c r="AW67" s="263"/>
      <c r="AX67" s="263"/>
      <c r="AY67" s="264">
        <f t="shared" si="7"/>
        <v>143.66499999999999</v>
      </c>
      <c r="AZ67" s="236">
        <f t="shared" si="8"/>
        <v>0</v>
      </c>
      <c r="BA67" s="265">
        <f t="shared" si="3"/>
        <v>0</v>
      </c>
      <c r="BB67" s="264">
        <f t="shared" si="4"/>
        <v>143.66499999999999</v>
      </c>
      <c r="BD67" s="257" t="b">
        <f t="shared" si="5"/>
        <v>1</v>
      </c>
    </row>
    <row r="68" spans="2:57" s="257" customFormat="1" x14ac:dyDescent="0.25">
      <c r="B68" s="250" t="s">
        <v>720</v>
      </c>
      <c r="C68" s="250">
        <v>32</v>
      </c>
      <c r="D68" s="250" t="s">
        <v>897</v>
      </c>
      <c r="E68" s="250" t="s">
        <v>898</v>
      </c>
      <c r="F68" s="250" t="s">
        <v>899</v>
      </c>
      <c r="G68" s="250" t="s">
        <v>894</v>
      </c>
      <c r="H68" s="250" t="s">
        <v>895</v>
      </c>
      <c r="I68" s="250" t="s">
        <v>726</v>
      </c>
      <c r="J68" s="251">
        <v>46991.33</v>
      </c>
      <c r="K68" s="251">
        <v>22264.33</v>
      </c>
      <c r="L68" s="251"/>
      <c r="M68" s="251"/>
      <c r="N68" s="252"/>
      <c r="O68" s="252"/>
      <c r="P68" s="252"/>
      <c r="Q68" s="252" t="s">
        <v>727</v>
      </c>
      <c r="R68" s="253">
        <v>4948</v>
      </c>
      <c r="S68" s="253">
        <v>4948</v>
      </c>
      <c r="T68" s="254">
        <f t="shared" si="9"/>
        <v>9896</v>
      </c>
      <c r="U68" s="254">
        <v>9896</v>
      </c>
      <c r="V68" s="254">
        <v>7420.33</v>
      </c>
      <c r="W68" s="254">
        <v>0</v>
      </c>
      <c r="X68" s="254">
        <v>0</v>
      </c>
      <c r="Y68" s="254">
        <v>0</v>
      </c>
      <c r="Z68" s="254">
        <v>0</v>
      </c>
      <c r="AA68" s="254">
        <v>0</v>
      </c>
      <c r="AB68" s="254">
        <v>0</v>
      </c>
      <c r="AC68" s="254">
        <v>0</v>
      </c>
      <c r="AD68" s="254">
        <v>0</v>
      </c>
      <c r="AE68" s="254">
        <v>0</v>
      </c>
      <c r="AF68" s="254">
        <v>0</v>
      </c>
      <c r="AG68" s="254">
        <v>0</v>
      </c>
      <c r="AH68" s="254">
        <v>0</v>
      </c>
      <c r="AI68" s="254">
        <v>0</v>
      </c>
      <c r="AJ68" s="254">
        <v>0</v>
      </c>
      <c r="AK68" s="254">
        <v>0</v>
      </c>
      <c r="AL68" s="254">
        <v>0</v>
      </c>
      <c r="AM68" s="254">
        <v>0</v>
      </c>
      <c r="AN68" s="254">
        <v>0</v>
      </c>
      <c r="AO68" s="254">
        <v>0</v>
      </c>
      <c r="AP68" s="254">
        <v>0</v>
      </c>
      <c r="AQ68" s="254">
        <v>0</v>
      </c>
      <c r="AR68" s="254">
        <v>0</v>
      </c>
      <c r="AS68" s="254">
        <v>0</v>
      </c>
      <c r="AT68" s="254">
        <v>0</v>
      </c>
      <c r="AU68" s="254">
        <v>0</v>
      </c>
      <c r="AV68" s="254">
        <v>0</v>
      </c>
      <c r="AW68" s="254"/>
      <c r="AX68" s="254"/>
      <c r="AY68" s="255">
        <f t="shared" si="7"/>
        <v>27212.33</v>
      </c>
      <c r="AZ68" s="236">
        <f t="shared" si="8"/>
        <v>0</v>
      </c>
      <c r="BA68" s="256">
        <f t="shared" si="3"/>
        <v>0</v>
      </c>
      <c r="BB68" s="255">
        <f t="shared" si="4"/>
        <v>27212.33</v>
      </c>
      <c r="BD68" s="257" t="b">
        <f t="shared" si="5"/>
        <v>1</v>
      </c>
      <c r="BE68" s="258">
        <f>BB68-K68-R68</f>
        <v>0</v>
      </c>
    </row>
    <row r="69" spans="2:57" x14ac:dyDescent="0.25">
      <c r="B69" s="259" t="s">
        <v>720</v>
      </c>
      <c r="C69" s="259"/>
      <c r="D69" s="259"/>
      <c r="E69" s="259"/>
      <c r="F69" s="259"/>
      <c r="G69" s="259"/>
      <c r="H69" s="259"/>
      <c r="I69" s="259"/>
      <c r="J69" s="260"/>
      <c r="K69" s="260"/>
      <c r="L69" s="260">
        <v>0</v>
      </c>
      <c r="M69" s="260" t="s">
        <v>896</v>
      </c>
      <c r="N69" s="261">
        <f>SUM(O69:P69)</f>
        <v>0.25</v>
      </c>
      <c r="O69" s="261">
        <v>0.25</v>
      </c>
      <c r="P69" s="261">
        <f>$P$4</f>
        <v>0</v>
      </c>
      <c r="Q69" s="261" t="s">
        <v>729</v>
      </c>
      <c r="R69" s="262">
        <v>51</v>
      </c>
      <c r="S69" s="262">
        <v>14.03</v>
      </c>
      <c r="T69" s="263">
        <f t="shared" si="9"/>
        <v>65.03</v>
      </c>
      <c r="U69" s="263">
        <f>SUM(U68:$AV68)*$N69/100</f>
        <v>43.290825000000005</v>
      </c>
      <c r="V69" s="263">
        <f>SUM(V68:$AV68)*$N69/100</f>
        <v>18.550825</v>
      </c>
      <c r="W69" s="263">
        <v>0</v>
      </c>
      <c r="X69" s="263">
        <v>0</v>
      </c>
      <c r="Y69" s="263">
        <v>0</v>
      </c>
      <c r="Z69" s="263">
        <v>0</v>
      </c>
      <c r="AA69" s="263">
        <v>0</v>
      </c>
      <c r="AB69" s="263">
        <v>0</v>
      </c>
      <c r="AC69" s="263">
        <v>0</v>
      </c>
      <c r="AD69" s="263">
        <v>0</v>
      </c>
      <c r="AE69" s="263">
        <v>0</v>
      </c>
      <c r="AF69" s="263">
        <v>0</v>
      </c>
      <c r="AG69" s="263">
        <v>0</v>
      </c>
      <c r="AH69" s="263">
        <v>0</v>
      </c>
      <c r="AI69" s="263">
        <v>0</v>
      </c>
      <c r="AJ69" s="263">
        <v>0</v>
      </c>
      <c r="AK69" s="263">
        <v>0</v>
      </c>
      <c r="AL69" s="263">
        <v>0</v>
      </c>
      <c r="AM69" s="263">
        <v>0</v>
      </c>
      <c r="AN69" s="263">
        <v>0</v>
      </c>
      <c r="AO69" s="263">
        <v>0</v>
      </c>
      <c r="AP69" s="263">
        <v>0</v>
      </c>
      <c r="AQ69" s="263">
        <v>0</v>
      </c>
      <c r="AR69" s="263">
        <v>0</v>
      </c>
      <c r="AS69" s="263">
        <v>0</v>
      </c>
      <c r="AT69" s="263">
        <v>0</v>
      </c>
      <c r="AU69" s="263">
        <v>0</v>
      </c>
      <c r="AV69" s="263">
        <v>0</v>
      </c>
      <c r="AW69" s="263"/>
      <c r="AX69" s="263"/>
      <c r="AY69" s="264">
        <f t="shared" si="7"/>
        <v>126.87165000000002</v>
      </c>
      <c r="AZ69" s="236">
        <f t="shared" si="8"/>
        <v>0</v>
      </c>
      <c r="BA69" s="265">
        <f t="shared" si="3"/>
        <v>0</v>
      </c>
      <c r="BB69" s="264">
        <f t="shared" si="4"/>
        <v>126.87165000000002</v>
      </c>
      <c r="BD69" s="257" t="b">
        <f t="shared" si="5"/>
        <v>1</v>
      </c>
    </row>
    <row r="70" spans="2:57" s="257" customFormat="1" x14ac:dyDescent="0.25">
      <c r="B70" s="250" t="s">
        <v>766</v>
      </c>
      <c r="C70" s="250">
        <v>33</v>
      </c>
      <c r="D70" s="250" t="s">
        <v>900</v>
      </c>
      <c r="E70" s="250" t="s">
        <v>901</v>
      </c>
      <c r="F70" s="250" t="s">
        <v>902</v>
      </c>
      <c r="G70" s="250" t="s">
        <v>903</v>
      </c>
      <c r="H70" s="250" t="s">
        <v>904</v>
      </c>
      <c r="I70" s="250" t="s">
        <v>726</v>
      </c>
      <c r="J70" s="251">
        <v>9703992</v>
      </c>
      <c r="K70" s="251">
        <v>9485777.9199999999</v>
      </c>
      <c r="L70" s="251"/>
      <c r="M70" s="251"/>
      <c r="N70" s="252"/>
      <c r="O70" s="252">
        <v>4.1559999999999997</v>
      </c>
      <c r="P70" s="252"/>
      <c r="Q70" s="252" t="s">
        <v>727</v>
      </c>
      <c r="R70" s="253">
        <v>171645</v>
      </c>
      <c r="S70" s="253">
        <v>171754</v>
      </c>
      <c r="T70" s="254">
        <f t="shared" si="9"/>
        <v>343399</v>
      </c>
      <c r="U70" s="254">
        <v>343508</v>
      </c>
      <c r="V70" s="254">
        <v>343508</v>
      </c>
      <c r="W70" s="254">
        <v>343508</v>
      </c>
      <c r="X70" s="254">
        <v>343508</v>
      </c>
      <c r="Y70" s="254">
        <v>343508</v>
      </c>
      <c r="Z70" s="254">
        <v>343508</v>
      </c>
      <c r="AA70" s="254">
        <v>343508</v>
      </c>
      <c r="AB70" s="254">
        <v>343508</v>
      </c>
      <c r="AC70" s="254">
        <v>343508</v>
      </c>
      <c r="AD70" s="254">
        <v>343508</v>
      </c>
      <c r="AE70" s="254">
        <v>343508</v>
      </c>
      <c r="AF70" s="254">
        <v>343508</v>
      </c>
      <c r="AG70" s="254">
        <v>343508</v>
      </c>
      <c r="AH70" s="254">
        <v>343508</v>
      </c>
      <c r="AI70" s="254">
        <v>343508</v>
      </c>
      <c r="AJ70" s="254">
        <v>343508</v>
      </c>
      <c r="AK70" s="254">
        <v>343508</v>
      </c>
      <c r="AL70" s="254">
        <v>343508</v>
      </c>
      <c r="AM70" s="254">
        <v>343508</v>
      </c>
      <c r="AN70" s="254">
        <v>343508</v>
      </c>
      <c r="AO70" s="254">
        <v>343508</v>
      </c>
      <c r="AP70" s="254">
        <v>343508</v>
      </c>
      <c r="AQ70" s="254">
        <v>343508</v>
      </c>
      <c r="AR70" s="254">
        <v>343508</v>
      </c>
      <c r="AS70" s="254">
        <v>343508</v>
      </c>
      <c r="AT70" s="254">
        <v>343508</v>
      </c>
      <c r="AU70" s="254">
        <v>343508</v>
      </c>
      <c r="AV70" s="254">
        <v>39307.919999999998</v>
      </c>
      <c r="AW70" s="254"/>
      <c r="AX70" s="254"/>
      <c r="AY70" s="255">
        <f t="shared" si="7"/>
        <v>9657422.9199999999</v>
      </c>
      <c r="AZ70" s="236">
        <f t="shared" si="8"/>
        <v>0</v>
      </c>
      <c r="BA70" s="256">
        <f t="shared" ref="BA70:BA133" si="10">SUM(AA70:AX70)</f>
        <v>7252975.9199999999</v>
      </c>
      <c r="BB70" s="255">
        <f t="shared" ref="BB70:BB133" si="11">SUM(T70:Z70,BA70)</f>
        <v>9657422.9199999999</v>
      </c>
      <c r="BD70" s="257" t="b">
        <f t="shared" ref="BD70:BD133" si="12">AY70=BB70</f>
        <v>1</v>
      </c>
      <c r="BE70" s="258">
        <f>BB70-K70-R70</f>
        <v>0</v>
      </c>
    </row>
    <row r="71" spans="2:57" x14ac:dyDescent="0.25">
      <c r="B71" s="259" t="s">
        <v>766</v>
      </c>
      <c r="C71" s="259"/>
      <c r="D71" s="259"/>
      <c r="E71" s="259"/>
      <c r="F71" s="259"/>
      <c r="G71" s="259"/>
      <c r="H71" s="259"/>
      <c r="I71" s="259"/>
      <c r="J71" s="260"/>
      <c r="K71" s="260"/>
      <c r="L71" s="260" t="s">
        <v>905</v>
      </c>
      <c r="M71" s="260"/>
      <c r="N71" s="261">
        <f>SUM(O71:P71)</f>
        <v>4.75</v>
      </c>
      <c r="O71" s="267">
        <v>4.75</v>
      </c>
      <c r="P71" s="261">
        <f>$P$4</f>
        <v>0</v>
      </c>
      <c r="Q71" s="261" t="s">
        <v>729</v>
      </c>
      <c r="R71" s="262">
        <v>182887.93</v>
      </c>
      <c r="S71" s="262">
        <v>100638.34</v>
      </c>
      <c r="T71" s="263">
        <f t="shared" si="9"/>
        <v>283526.27</v>
      </c>
      <c r="U71" s="263">
        <f>SUM(U70:$AV70)*$N71/100</f>
        <v>442416.13619999995</v>
      </c>
      <c r="V71" s="263">
        <f>SUM(V70:$AV70)*$N71/100</f>
        <v>426099.50619999995</v>
      </c>
      <c r="W71" s="263">
        <f>SUM(W70:$AV70)*$N71/100</f>
        <v>409782.8762</v>
      </c>
      <c r="X71" s="263">
        <f>SUM(X70:$AV70)*$N71/100</f>
        <v>393466.24619999999</v>
      </c>
      <c r="Y71" s="263">
        <f>SUM(Y70:$AV70)*$N71/100</f>
        <v>377149.61619999999</v>
      </c>
      <c r="Z71" s="263">
        <f>SUM(Z70:$AV70)*$N71/100</f>
        <v>360832.98619999998</v>
      </c>
      <c r="AA71" s="263">
        <f>SUM(AA70:$AV70)*$N71/100</f>
        <v>344516.35619999998</v>
      </c>
      <c r="AB71" s="263">
        <f>SUM(AB70:$AV70)*$N71/100</f>
        <v>328199.72620000003</v>
      </c>
      <c r="AC71" s="263">
        <f>SUM(AC70:$AV70)*$N71/100</f>
        <v>311883.09620000003</v>
      </c>
      <c r="AD71" s="263">
        <f>SUM(AD70:$AV70)*$N71/100</f>
        <v>295566.46620000002</v>
      </c>
      <c r="AE71" s="263">
        <f>SUM(AE70:$AV70)*$N71/100</f>
        <v>279249.83620000002</v>
      </c>
      <c r="AF71" s="263">
        <f>SUM(AF70:$AV70)*$N71/100</f>
        <v>262933.20620000002</v>
      </c>
      <c r="AG71" s="263">
        <f>SUM(AG70:$AV70)*$N71/100</f>
        <v>246616.57620000001</v>
      </c>
      <c r="AH71" s="263">
        <f>SUM(AH70:$AV70)*$N71/100</f>
        <v>230299.94620000001</v>
      </c>
      <c r="AI71" s="263">
        <f>SUM(AI70:$AV70)*$N71/100</f>
        <v>213983.3162</v>
      </c>
      <c r="AJ71" s="263">
        <f>SUM(AJ70:$AV70)*$N71/100</f>
        <v>197666.6862</v>
      </c>
      <c r="AK71" s="263">
        <f>SUM(AK70:$AV70)*$N71/100</f>
        <v>181350.05620000002</v>
      </c>
      <c r="AL71" s="263">
        <f>SUM(AL70:$AV70)*$N71/100</f>
        <v>165033.42619999999</v>
      </c>
      <c r="AM71" s="263">
        <f>SUM(AM70:$AV70)*$N71/100</f>
        <v>148716.79619999998</v>
      </c>
      <c r="AN71" s="263">
        <f>SUM(AN70:$AV70)*$N71/100</f>
        <v>132400.16619999998</v>
      </c>
      <c r="AO71" s="263">
        <f>SUM(AO70:$AV70)*$N71/100</f>
        <v>116083.53619999999</v>
      </c>
      <c r="AP71" s="263">
        <f>SUM(AP70:$AV70)*$N71/100</f>
        <v>99766.906199999998</v>
      </c>
      <c r="AQ71" s="263">
        <f>SUM(AQ70:$AV70)*$N71/100</f>
        <v>83450.276199999993</v>
      </c>
      <c r="AR71" s="263">
        <f>SUM(AR70:$AV70)*$N71/100</f>
        <v>67133.646199999988</v>
      </c>
      <c r="AS71" s="263">
        <f>SUM(AS70:$AV70)*$N71/100</f>
        <v>50817.016199999991</v>
      </c>
      <c r="AT71" s="263">
        <f>SUM(AT70:$AV70)*$N71/100</f>
        <v>34500.386200000001</v>
      </c>
      <c r="AU71" s="263">
        <f>SUM(AU70:$AV70)*$N71/100</f>
        <v>18183.7562</v>
      </c>
      <c r="AV71" s="263">
        <f>SUM(AV70:$AV70)*$N71/100</f>
        <v>1867.1261999999999</v>
      </c>
      <c r="AW71" s="263"/>
      <c r="AX71" s="263"/>
      <c r="AY71" s="264">
        <f t="shared" si="7"/>
        <v>6503491.9435999999</v>
      </c>
      <c r="AZ71" s="236">
        <f t="shared" si="8"/>
        <v>0</v>
      </c>
      <c r="BA71" s="265">
        <f t="shared" si="10"/>
        <v>3810218.3064000001</v>
      </c>
      <c r="BB71" s="264">
        <f t="shared" si="11"/>
        <v>6503491.9435999999</v>
      </c>
      <c r="BD71" s="257" t="b">
        <f t="shared" si="12"/>
        <v>1</v>
      </c>
    </row>
    <row r="72" spans="2:57" s="257" customFormat="1" x14ac:dyDescent="0.25">
      <c r="B72" s="250" t="s">
        <v>766</v>
      </c>
      <c r="C72" s="250">
        <v>34</v>
      </c>
      <c r="D72" s="250" t="s">
        <v>906</v>
      </c>
      <c r="E72" s="250" t="s">
        <v>907</v>
      </c>
      <c r="F72" s="250" t="s">
        <v>908</v>
      </c>
      <c r="G72" s="250" t="s">
        <v>903</v>
      </c>
      <c r="H72" s="250" t="s">
        <v>909</v>
      </c>
      <c r="I72" s="250" t="s">
        <v>726</v>
      </c>
      <c r="J72" s="251">
        <v>43430</v>
      </c>
      <c r="K72" s="251">
        <v>6572</v>
      </c>
      <c r="L72" s="251"/>
      <c r="M72" s="251"/>
      <c r="N72" s="252"/>
      <c r="O72" s="252"/>
      <c r="P72" s="252"/>
      <c r="Q72" s="252" t="s">
        <v>727</v>
      </c>
      <c r="R72" s="253">
        <v>424</v>
      </c>
      <c r="S72" s="253">
        <v>424</v>
      </c>
      <c r="T72" s="254">
        <f t="shared" si="9"/>
        <v>848</v>
      </c>
      <c r="U72" s="254">
        <v>848</v>
      </c>
      <c r="V72" s="254">
        <v>848</v>
      </c>
      <c r="W72" s="254">
        <v>848</v>
      </c>
      <c r="X72" s="254">
        <v>848</v>
      </c>
      <c r="Y72" s="254">
        <v>848</v>
      </c>
      <c r="Z72" s="254">
        <v>848</v>
      </c>
      <c r="AA72" s="254">
        <v>848</v>
      </c>
      <c r="AB72" s="254">
        <v>212</v>
      </c>
      <c r="AC72" s="254">
        <v>0</v>
      </c>
      <c r="AD72" s="254">
        <v>0</v>
      </c>
      <c r="AE72" s="254">
        <v>0</v>
      </c>
      <c r="AF72" s="254">
        <v>0</v>
      </c>
      <c r="AG72" s="254">
        <v>0</v>
      </c>
      <c r="AH72" s="254">
        <v>0</v>
      </c>
      <c r="AI72" s="254">
        <v>0</v>
      </c>
      <c r="AJ72" s="254">
        <v>0</v>
      </c>
      <c r="AK72" s="254">
        <v>0</v>
      </c>
      <c r="AL72" s="254">
        <v>0</v>
      </c>
      <c r="AM72" s="254">
        <v>0</v>
      </c>
      <c r="AN72" s="254">
        <v>0</v>
      </c>
      <c r="AO72" s="254">
        <v>0</v>
      </c>
      <c r="AP72" s="254">
        <v>0</v>
      </c>
      <c r="AQ72" s="254">
        <v>0</v>
      </c>
      <c r="AR72" s="254">
        <v>0</v>
      </c>
      <c r="AS72" s="254">
        <v>0</v>
      </c>
      <c r="AT72" s="254">
        <v>0</v>
      </c>
      <c r="AU72" s="254">
        <v>0</v>
      </c>
      <c r="AV72" s="254">
        <v>0</v>
      </c>
      <c r="AW72" s="254"/>
      <c r="AX72" s="254"/>
      <c r="AY72" s="255">
        <f t="shared" si="7"/>
        <v>6996</v>
      </c>
      <c r="AZ72" s="236">
        <f t="shared" si="8"/>
        <v>0</v>
      </c>
      <c r="BA72" s="256">
        <f t="shared" si="10"/>
        <v>1060</v>
      </c>
      <c r="BB72" s="255">
        <f t="shared" si="11"/>
        <v>6996</v>
      </c>
      <c r="BD72" s="257" t="b">
        <f t="shared" si="12"/>
        <v>1</v>
      </c>
      <c r="BE72" s="258">
        <f>BB72-K72-R72</f>
        <v>0</v>
      </c>
    </row>
    <row r="73" spans="2:57" x14ac:dyDescent="0.25">
      <c r="B73" s="259" t="s">
        <v>766</v>
      </c>
      <c r="C73" s="259"/>
      <c r="D73" s="259"/>
      <c r="E73" s="259"/>
      <c r="F73" s="259"/>
      <c r="G73" s="259"/>
      <c r="H73" s="259"/>
      <c r="I73" s="259"/>
      <c r="J73" s="260"/>
      <c r="K73" s="260"/>
      <c r="L73" s="260">
        <v>0</v>
      </c>
      <c r="M73" s="260" t="s">
        <v>896</v>
      </c>
      <c r="N73" s="261">
        <f>SUM(O73:P73)</f>
        <v>0.25</v>
      </c>
      <c r="O73" s="261">
        <v>0.25</v>
      </c>
      <c r="P73" s="261">
        <f>$P$4</f>
        <v>0</v>
      </c>
      <c r="Q73" s="261" t="s">
        <v>729</v>
      </c>
      <c r="R73" s="262">
        <v>13.21</v>
      </c>
      <c r="S73" s="262">
        <v>4.1900000000000004</v>
      </c>
      <c r="T73" s="263">
        <f t="shared" si="9"/>
        <v>17.400000000000002</v>
      </c>
      <c r="U73" s="263">
        <f>SUM(U72:$AV72)*$N73/100</f>
        <v>15.37</v>
      </c>
      <c r="V73" s="263">
        <f>SUM(V72:$AV72)*$N73/100</f>
        <v>13.25</v>
      </c>
      <c r="W73" s="263">
        <f>SUM(W72:$AV72)*$N73/100</f>
        <v>11.13</v>
      </c>
      <c r="X73" s="263">
        <f>SUM(X72:$AV72)*$N73/100</f>
        <v>9.01</v>
      </c>
      <c r="Y73" s="263">
        <f>SUM(Y72:$AV72)*$N73/100</f>
        <v>6.89</v>
      </c>
      <c r="Z73" s="263">
        <f>SUM(Z72:$AV72)*$N73/100</f>
        <v>4.7699999999999996</v>
      </c>
      <c r="AA73" s="263">
        <f>SUM(AA72:$AV72)*$N73/100</f>
        <v>2.65</v>
      </c>
      <c r="AB73" s="263">
        <f>SUM(AB72:$AV72)*$N73/100</f>
        <v>0.53</v>
      </c>
      <c r="AC73" s="263">
        <v>0</v>
      </c>
      <c r="AD73" s="263">
        <v>0</v>
      </c>
      <c r="AE73" s="263">
        <v>0</v>
      </c>
      <c r="AF73" s="263">
        <v>0</v>
      </c>
      <c r="AG73" s="263">
        <v>0</v>
      </c>
      <c r="AH73" s="263">
        <v>0</v>
      </c>
      <c r="AI73" s="263">
        <v>0</v>
      </c>
      <c r="AJ73" s="263">
        <v>0</v>
      </c>
      <c r="AK73" s="263">
        <v>0</v>
      </c>
      <c r="AL73" s="263">
        <v>0</v>
      </c>
      <c r="AM73" s="263">
        <v>0</v>
      </c>
      <c r="AN73" s="263">
        <v>0</v>
      </c>
      <c r="AO73" s="263">
        <v>0</v>
      </c>
      <c r="AP73" s="263">
        <v>0</v>
      </c>
      <c r="AQ73" s="263">
        <v>0</v>
      </c>
      <c r="AR73" s="263">
        <v>0</v>
      </c>
      <c r="AS73" s="263">
        <v>0</v>
      </c>
      <c r="AT73" s="263">
        <v>0</v>
      </c>
      <c r="AU73" s="263">
        <v>0</v>
      </c>
      <c r="AV73" s="263">
        <v>0</v>
      </c>
      <c r="AW73" s="263"/>
      <c r="AX73" s="263"/>
      <c r="AY73" s="264">
        <f t="shared" si="7"/>
        <v>81.000000000000014</v>
      </c>
      <c r="AZ73" s="236">
        <f t="shared" si="8"/>
        <v>0</v>
      </c>
      <c r="BA73" s="265">
        <f t="shared" si="10"/>
        <v>3.1799999999999997</v>
      </c>
      <c r="BB73" s="264">
        <f t="shared" si="11"/>
        <v>81</v>
      </c>
      <c r="BD73" s="257" t="b">
        <f t="shared" si="12"/>
        <v>1</v>
      </c>
    </row>
    <row r="74" spans="2:57" s="257" customFormat="1" x14ac:dyDescent="0.25">
      <c r="B74" s="250" t="s">
        <v>766</v>
      </c>
      <c r="C74" s="250">
        <v>35</v>
      </c>
      <c r="D74" s="250" t="s">
        <v>910</v>
      </c>
      <c r="E74" s="250" t="s">
        <v>911</v>
      </c>
      <c r="F74" s="250" t="s">
        <v>912</v>
      </c>
      <c r="G74" s="250" t="s">
        <v>913</v>
      </c>
      <c r="H74" s="250" t="s">
        <v>914</v>
      </c>
      <c r="I74" s="250" t="s">
        <v>726</v>
      </c>
      <c r="J74" s="251">
        <v>400000</v>
      </c>
      <c r="K74" s="251">
        <v>379509</v>
      </c>
      <c r="L74" s="251"/>
      <c r="M74" s="251"/>
      <c r="N74" s="252"/>
      <c r="O74" s="252">
        <v>4.242</v>
      </c>
      <c r="P74" s="252"/>
      <c r="Q74" s="252" t="s">
        <v>727</v>
      </c>
      <c r="R74" s="253">
        <v>6838</v>
      </c>
      <c r="S74" s="253">
        <v>6838</v>
      </c>
      <c r="T74" s="254">
        <f t="shared" si="9"/>
        <v>13676</v>
      </c>
      <c r="U74" s="254">
        <v>13676</v>
      </c>
      <c r="V74" s="254">
        <v>13676</v>
      </c>
      <c r="W74" s="254">
        <v>13676</v>
      </c>
      <c r="X74" s="254">
        <v>13676</v>
      </c>
      <c r="Y74" s="254">
        <v>13676</v>
      </c>
      <c r="Z74" s="254">
        <v>13676</v>
      </c>
      <c r="AA74" s="254">
        <v>13676</v>
      </c>
      <c r="AB74" s="254">
        <v>13676</v>
      </c>
      <c r="AC74" s="254">
        <v>13676</v>
      </c>
      <c r="AD74" s="254">
        <v>13676</v>
      </c>
      <c r="AE74" s="254">
        <v>13676</v>
      </c>
      <c r="AF74" s="254">
        <v>13676</v>
      </c>
      <c r="AG74" s="254">
        <v>13676</v>
      </c>
      <c r="AH74" s="254">
        <v>13676</v>
      </c>
      <c r="AI74" s="254">
        <v>13676</v>
      </c>
      <c r="AJ74" s="254">
        <v>13676</v>
      </c>
      <c r="AK74" s="254">
        <v>13676</v>
      </c>
      <c r="AL74" s="254">
        <v>13676</v>
      </c>
      <c r="AM74" s="254">
        <v>13676</v>
      </c>
      <c r="AN74" s="254">
        <v>13676</v>
      </c>
      <c r="AO74" s="254">
        <v>13676</v>
      </c>
      <c r="AP74" s="254">
        <v>13676</v>
      </c>
      <c r="AQ74" s="254">
        <v>13676</v>
      </c>
      <c r="AR74" s="254">
        <v>13676</v>
      </c>
      <c r="AS74" s="254">
        <v>13676</v>
      </c>
      <c r="AT74" s="254">
        <v>13676</v>
      </c>
      <c r="AU74" s="254">
        <v>13676</v>
      </c>
      <c r="AV74" s="254">
        <v>3419</v>
      </c>
      <c r="AW74" s="254"/>
      <c r="AX74" s="254"/>
      <c r="AY74" s="255">
        <f t="shared" si="7"/>
        <v>386347</v>
      </c>
      <c r="AZ74" s="236">
        <f t="shared" si="8"/>
        <v>0</v>
      </c>
      <c r="BA74" s="256">
        <f t="shared" si="10"/>
        <v>290615</v>
      </c>
      <c r="BB74" s="255">
        <f t="shared" si="11"/>
        <v>386347</v>
      </c>
      <c r="BD74" s="257" t="b">
        <f t="shared" si="12"/>
        <v>1</v>
      </c>
      <c r="BE74" s="258">
        <f>BB74-K74-R74</f>
        <v>0</v>
      </c>
    </row>
    <row r="75" spans="2:57" x14ac:dyDescent="0.25">
      <c r="B75" s="259" t="s">
        <v>766</v>
      </c>
      <c r="C75" s="259"/>
      <c r="D75" s="259"/>
      <c r="E75" s="259"/>
      <c r="F75" s="259"/>
      <c r="G75" s="259"/>
      <c r="H75" s="259"/>
      <c r="I75" s="259"/>
      <c r="J75" s="260"/>
      <c r="K75" s="260"/>
      <c r="L75" s="260" t="s">
        <v>915</v>
      </c>
      <c r="M75" s="260"/>
      <c r="N75" s="261">
        <f>SUM(O75:P75)</f>
        <v>4.5999999999999996</v>
      </c>
      <c r="O75" s="267">
        <v>4.5999999999999996</v>
      </c>
      <c r="P75" s="261">
        <f>$P$4</f>
        <v>0</v>
      </c>
      <c r="Q75" s="261" t="s">
        <v>729</v>
      </c>
      <c r="R75" s="262">
        <v>6157.64</v>
      </c>
      <c r="S75" s="262">
        <v>4109.7</v>
      </c>
      <c r="T75" s="263">
        <f t="shared" si="9"/>
        <v>10267.34</v>
      </c>
      <c r="U75" s="263">
        <f>SUM(U74:$AV74)*$N75/100</f>
        <v>17142.865999999998</v>
      </c>
      <c r="V75" s="263">
        <f>SUM(V74:$AV74)*$N75/100</f>
        <v>16513.769999999997</v>
      </c>
      <c r="W75" s="263">
        <f>SUM(W74:$AV74)*$N75/100</f>
        <v>15884.673999999999</v>
      </c>
      <c r="X75" s="263">
        <f>SUM(X74:$AV74)*$N75/100</f>
        <v>15255.577999999998</v>
      </c>
      <c r="Y75" s="263">
        <f>SUM(Y74:$AV74)*$N75/100</f>
        <v>14626.482</v>
      </c>
      <c r="Z75" s="263">
        <f>SUM(Z74:$AV74)*$N75/100</f>
        <v>13997.385999999999</v>
      </c>
      <c r="AA75" s="263">
        <f>SUM(AA74:$AV74)*$N75/100</f>
        <v>13368.29</v>
      </c>
      <c r="AB75" s="263">
        <f>SUM(AB74:$AV74)*$N75/100</f>
        <v>12739.194</v>
      </c>
      <c r="AC75" s="263">
        <f>SUM(AC74:$AV74)*$N75/100</f>
        <v>12110.097999999998</v>
      </c>
      <c r="AD75" s="263">
        <f>SUM(AD74:$AV74)*$N75/100</f>
        <v>11481.002</v>
      </c>
      <c r="AE75" s="263">
        <f>SUM(AE74:$AV74)*$N75/100</f>
        <v>10851.905999999999</v>
      </c>
      <c r="AF75" s="263">
        <f>SUM(AF74:$AV74)*$N75/100</f>
        <v>10222.81</v>
      </c>
      <c r="AG75" s="263">
        <f>SUM(AG74:$AV74)*$N75/100</f>
        <v>9593.7139999999999</v>
      </c>
      <c r="AH75" s="263">
        <f>SUM(AH74:$AV74)*$N75/100</f>
        <v>8964.6179999999986</v>
      </c>
      <c r="AI75" s="263">
        <f>SUM(AI74:$AV74)*$N75/100</f>
        <v>8335.521999999999</v>
      </c>
      <c r="AJ75" s="263">
        <f>SUM(AJ74:$AV74)*$N75/100</f>
        <v>7706.4259999999995</v>
      </c>
      <c r="AK75" s="263">
        <f>SUM(AK74:$AV74)*$N75/100</f>
        <v>7077.33</v>
      </c>
      <c r="AL75" s="263">
        <f>SUM(AL74:$AV74)*$N75/100</f>
        <v>6448.2339999999995</v>
      </c>
      <c r="AM75" s="263">
        <f>SUM(AM74:$AV74)*$N75/100</f>
        <v>5819.137999999999</v>
      </c>
      <c r="AN75" s="263">
        <f>SUM(AN74:$AV74)*$N75/100</f>
        <v>5190.0419999999995</v>
      </c>
      <c r="AO75" s="263">
        <f>SUM(AO74:$AV74)*$N75/100</f>
        <v>4560.9459999999999</v>
      </c>
      <c r="AP75" s="263">
        <f>SUM(AP74:$AV74)*$N75/100</f>
        <v>3931.8499999999995</v>
      </c>
      <c r="AQ75" s="263">
        <f>SUM(AQ74:$AV74)*$N75/100</f>
        <v>3302.7539999999995</v>
      </c>
      <c r="AR75" s="263">
        <f>SUM(AR74:$AV74)*$N75/100</f>
        <v>2673.6579999999999</v>
      </c>
      <c r="AS75" s="263">
        <f>SUM(AS74:$AV74)*$N75/100</f>
        <v>2044.5619999999999</v>
      </c>
      <c r="AT75" s="263">
        <f>SUM(AT74:$AV74)*$N75/100</f>
        <v>1415.4659999999997</v>
      </c>
      <c r="AU75" s="263">
        <f>SUM(AU74:$AV74)*$N75/100</f>
        <v>786.37</v>
      </c>
      <c r="AV75" s="263">
        <f>SUM(AV74:$AV74)*$N75/100</f>
        <v>157.274</v>
      </c>
      <c r="AW75" s="263"/>
      <c r="AX75" s="263"/>
      <c r="AY75" s="264">
        <f t="shared" si="7"/>
        <v>252469.29999999996</v>
      </c>
      <c r="AZ75" s="236">
        <f t="shared" si="8"/>
        <v>0</v>
      </c>
      <c r="BA75" s="265">
        <f t="shared" si="10"/>
        <v>148781.20399999997</v>
      </c>
      <c r="BB75" s="264">
        <f t="shared" si="11"/>
        <v>252469.29999999996</v>
      </c>
      <c r="BD75" s="257" t="b">
        <f t="shared" si="12"/>
        <v>1</v>
      </c>
    </row>
    <row r="76" spans="2:57" s="257" customFormat="1" x14ac:dyDescent="0.25">
      <c r="B76" s="250" t="s">
        <v>766</v>
      </c>
      <c r="C76" s="250">
        <v>36</v>
      </c>
      <c r="D76" s="250" t="s">
        <v>916</v>
      </c>
      <c r="E76" s="250" t="s">
        <v>917</v>
      </c>
      <c r="F76" s="250" t="s">
        <v>918</v>
      </c>
      <c r="G76" s="250" t="s">
        <v>919</v>
      </c>
      <c r="H76" s="250" t="s">
        <v>920</v>
      </c>
      <c r="I76" s="250" t="s">
        <v>726</v>
      </c>
      <c r="J76" s="251">
        <v>192902.34</v>
      </c>
      <c r="K76" s="251">
        <v>62660.34</v>
      </c>
      <c r="L76" s="251"/>
      <c r="M76" s="251"/>
      <c r="N76" s="252"/>
      <c r="O76" s="252"/>
      <c r="P76" s="252"/>
      <c r="Q76" s="252" t="s">
        <v>727</v>
      </c>
      <c r="R76" s="253">
        <v>43416</v>
      </c>
      <c r="S76" s="253">
        <v>43416</v>
      </c>
      <c r="T76" s="254">
        <f t="shared" si="9"/>
        <v>86832</v>
      </c>
      <c r="U76" s="254">
        <v>19244.34</v>
      </c>
      <c r="V76" s="254">
        <v>0</v>
      </c>
      <c r="W76" s="254">
        <v>0</v>
      </c>
      <c r="X76" s="254">
        <v>0</v>
      </c>
      <c r="Y76" s="254">
        <v>0</v>
      </c>
      <c r="Z76" s="254">
        <v>0</v>
      </c>
      <c r="AA76" s="254">
        <v>0</v>
      </c>
      <c r="AB76" s="254">
        <v>0</v>
      </c>
      <c r="AC76" s="254">
        <v>0</v>
      </c>
      <c r="AD76" s="254">
        <v>0</v>
      </c>
      <c r="AE76" s="254">
        <v>0</v>
      </c>
      <c r="AF76" s="254">
        <v>0</v>
      </c>
      <c r="AG76" s="254">
        <v>0</v>
      </c>
      <c r="AH76" s="254">
        <v>0</v>
      </c>
      <c r="AI76" s="254">
        <v>0</v>
      </c>
      <c r="AJ76" s="254">
        <v>0</v>
      </c>
      <c r="AK76" s="254">
        <v>0</v>
      </c>
      <c r="AL76" s="254">
        <v>0</v>
      </c>
      <c r="AM76" s="254">
        <v>0</v>
      </c>
      <c r="AN76" s="254">
        <v>0</v>
      </c>
      <c r="AO76" s="254">
        <v>0</v>
      </c>
      <c r="AP76" s="254">
        <v>0</v>
      </c>
      <c r="AQ76" s="254">
        <v>0</v>
      </c>
      <c r="AR76" s="254">
        <v>0</v>
      </c>
      <c r="AS76" s="254">
        <v>0</v>
      </c>
      <c r="AT76" s="254">
        <v>0</v>
      </c>
      <c r="AU76" s="254">
        <v>0</v>
      </c>
      <c r="AV76" s="254">
        <v>0</v>
      </c>
      <c r="AW76" s="254"/>
      <c r="AX76" s="254"/>
      <c r="AY76" s="255">
        <f t="shared" si="7"/>
        <v>106076.34</v>
      </c>
      <c r="AZ76" s="236">
        <f t="shared" si="8"/>
        <v>0</v>
      </c>
      <c r="BA76" s="256">
        <f t="shared" si="10"/>
        <v>0</v>
      </c>
      <c r="BB76" s="255">
        <f t="shared" si="11"/>
        <v>106076.34</v>
      </c>
      <c r="BD76" s="257" t="b">
        <f t="shared" si="12"/>
        <v>1</v>
      </c>
      <c r="BE76" s="258">
        <f>BB76-K76-R76</f>
        <v>0</v>
      </c>
    </row>
    <row r="77" spans="2:57" x14ac:dyDescent="0.25">
      <c r="B77" s="259" t="s">
        <v>766</v>
      </c>
      <c r="C77" s="259"/>
      <c r="D77" s="259"/>
      <c r="E77" s="259"/>
      <c r="F77" s="259"/>
      <c r="G77" s="259"/>
      <c r="H77" s="259"/>
      <c r="I77" s="259"/>
      <c r="J77" s="260"/>
      <c r="K77" s="260"/>
      <c r="L77" s="260">
        <v>0</v>
      </c>
      <c r="M77" s="260" t="s">
        <v>896</v>
      </c>
      <c r="N77" s="261">
        <f>SUM(O77:P77)</f>
        <v>0.25</v>
      </c>
      <c r="O77" s="261">
        <v>0.25</v>
      </c>
      <c r="P77" s="261">
        <f>$P$4</f>
        <v>0</v>
      </c>
      <c r="Q77" s="261" t="s">
        <v>729</v>
      </c>
      <c r="R77" s="262">
        <v>195.98</v>
      </c>
      <c r="S77" s="262">
        <v>38.380000000000003</v>
      </c>
      <c r="T77" s="263">
        <f t="shared" si="9"/>
        <v>234.35999999999999</v>
      </c>
      <c r="U77" s="263">
        <f>SUM(U76:$AV76)*$N77/100</f>
        <v>48.110849999999999</v>
      </c>
      <c r="V77" s="263">
        <v>0</v>
      </c>
      <c r="W77" s="263">
        <v>0</v>
      </c>
      <c r="X77" s="263">
        <v>0</v>
      </c>
      <c r="Y77" s="263">
        <v>0</v>
      </c>
      <c r="Z77" s="263">
        <v>0</v>
      </c>
      <c r="AA77" s="263">
        <v>0</v>
      </c>
      <c r="AB77" s="263">
        <v>0</v>
      </c>
      <c r="AC77" s="263">
        <v>0</v>
      </c>
      <c r="AD77" s="263">
        <v>0</v>
      </c>
      <c r="AE77" s="263">
        <v>0</v>
      </c>
      <c r="AF77" s="263">
        <v>0</v>
      </c>
      <c r="AG77" s="263">
        <v>0</v>
      </c>
      <c r="AH77" s="263">
        <v>0</v>
      </c>
      <c r="AI77" s="263">
        <v>0</v>
      </c>
      <c r="AJ77" s="263">
        <v>0</v>
      </c>
      <c r="AK77" s="263">
        <v>0</v>
      </c>
      <c r="AL77" s="263">
        <v>0</v>
      </c>
      <c r="AM77" s="263">
        <v>0</v>
      </c>
      <c r="AN77" s="263">
        <v>0</v>
      </c>
      <c r="AO77" s="263">
        <v>0</v>
      </c>
      <c r="AP77" s="263">
        <v>0</v>
      </c>
      <c r="AQ77" s="263">
        <v>0</v>
      </c>
      <c r="AR77" s="263">
        <v>0</v>
      </c>
      <c r="AS77" s="263">
        <v>0</v>
      </c>
      <c r="AT77" s="263">
        <v>0</v>
      </c>
      <c r="AU77" s="263">
        <v>0</v>
      </c>
      <c r="AV77" s="263">
        <v>0</v>
      </c>
      <c r="AW77" s="263"/>
      <c r="AX77" s="263"/>
      <c r="AY77" s="264">
        <f t="shared" si="7"/>
        <v>282.47084999999998</v>
      </c>
      <c r="AZ77" s="236">
        <f t="shared" si="8"/>
        <v>0</v>
      </c>
      <c r="BA77" s="265">
        <f t="shared" si="10"/>
        <v>0</v>
      </c>
      <c r="BB77" s="264">
        <f t="shared" si="11"/>
        <v>282.47084999999998</v>
      </c>
      <c r="BD77" s="257" t="b">
        <f t="shared" si="12"/>
        <v>1</v>
      </c>
    </row>
    <row r="78" spans="2:57" s="257" customFormat="1" x14ac:dyDescent="0.25">
      <c r="B78" s="250" t="s">
        <v>766</v>
      </c>
      <c r="C78" s="250">
        <v>37</v>
      </c>
      <c r="D78" s="250" t="s">
        <v>921</v>
      </c>
      <c r="E78" s="250" t="s">
        <v>922</v>
      </c>
      <c r="F78" s="250" t="s">
        <v>923</v>
      </c>
      <c r="G78" s="250" t="s">
        <v>924</v>
      </c>
      <c r="H78" s="250" t="s">
        <v>925</v>
      </c>
      <c r="I78" s="250" t="s">
        <v>726</v>
      </c>
      <c r="J78" s="251">
        <v>279650</v>
      </c>
      <c r="K78" s="251">
        <v>265401</v>
      </c>
      <c r="L78" s="251"/>
      <c r="M78" s="251"/>
      <c r="N78" s="252"/>
      <c r="O78" s="252"/>
      <c r="P78" s="252"/>
      <c r="Q78" s="252" t="s">
        <v>727</v>
      </c>
      <c r="R78" s="253">
        <v>4782</v>
      </c>
      <c r="S78" s="253">
        <v>4782</v>
      </c>
      <c r="T78" s="254">
        <f t="shared" si="9"/>
        <v>9564</v>
      </c>
      <c r="U78" s="254">
        <v>9564</v>
      </c>
      <c r="V78" s="254">
        <v>9564</v>
      </c>
      <c r="W78" s="254">
        <v>9564</v>
      </c>
      <c r="X78" s="254">
        <v>9564</v>
      </c>
      <c r="Y78" s="254">
        <v>9564</v>
      </c>
      <c r="Z78" s="254">
        <v>9564</v>
      </c>
      <c r="AA78" s="254">
        <v>9564</v>
      </c>
      <c r="AB78" s="254">
        <v>9564</v>
      </c>
      <c r="AC78" s="254">
        <v>9564</v>
      </c>
      <c r="AD78" s="254">
        <v>9564</v>
      </c>
      <c r="AE78" s="254">
        <v>9564</v>
      </c>
      <c r="AF78" s="254">
        <v>9564</v>
      </c>
      <c r="AG78" s="254">
        <v>9564</v>
      </c>
      <c r="AH78" s="254">
        <v>9564</v>
      </c>
      <c r="AI78" s="254">
        <v>9564</v>
      </c>
      <c r="AJ78" s="254">
        <v>9564</v>
      </c>
      <c r="AK78" s="254">
        <v>9564</v>
      </c>
      <c r="AL78" s="254">
        <v>9564</v>
      </c>
      <c r="AM78" s="254">
        <v>9564</v>
      </c>
      <c r="AN78" s="254">
        <v>9564</v>
      </c>
      <c r="AO78" s="254">
        <v>9564</v>
      </c>
      <c r="AP78" s="254">
        <v>9564</v>
      </c>
      <c r="AQ78" s="254">
        <v>9564</v>
      </c>
      <c r="AR78" s="254">
        <v>9564</v>
      </c>
      <c r="AS78" s="254">
        <v>9564</v>
      </c>
      <c r="AT78" s="254">
        <v>9564</v>
      </c>
      <c r="AU78" s="254">
        <v>9564</v>
      </c>
      <c r="AV78" s="254">
        <v>2391</v>
      </c>
      <c r="AW78" s="254"/>
      <c r="AX78" s="254"/>
      <c r="AY78" s="255">
        <f t="shared" si="7"/>
        <v>270183</v>
      </c>
      <c r="AZ78" s="236">
        <f t="shared" si="8"/>
        <v>0</v>
      </c>
      <c r="BA78" s="256">
        <f t="shared" si="10"/>
        <v>203235</v>
      </c>
      <c r="BB78" s="255">
        <f t="shared" si="11"/>
        <v>270183</v>
      </c>
      <c r="BD78" s="257" t="b">
        <f t="shared" si="12"/>
        <v>1</v>
      </c>
      <c r="BE78" s="258">
        <f>BB78-K78-R78</f>
        <v>0</v>
      </c>
    </row>
    <row r="79" spans="2:57" x14ac:dyDescent="0.25">
      <c r="B79" s="259" t="s">
        <v>766</v>
      </c>
      <c r="C79" s="259"/>
      <c r="D79" s="259"/>
      <c r="E79" s="259"/>
      <c r="F79" s="259"/>
      <c r="G79" s="259"/>
      <c r="H79" s="259"/>
      <c r="I79" s="259"/>
      <c r="J79" s="260"/>
      <c r="K79" s="260"/>
      <c r="L79" s="260" t="s">
        <v>926</v>
      </c>
      <c r="M79" s="260"/>
      <c r="N79" s="261">
        <f>SUM(O79:P79)</f>
        <v>4.2030000000000003</v>
      </c>
      <c r="O79" s="261">
        <v>4.2030000000000003</v>
      </c>
      <c r="P79" s="261">
        <f>$P$4</f>
        <v>0</v>
      </c>
      <c r="Q79" s="261" t="s">
        <v>729</v>
      </c>
      <c r="R79" s="262">
        <v>3429.71</v>
      </c>
      <c r="S79" s="262">
        <v>2847.6</v>
      </c>
      <c r="T79" s="263">
        <f t="shared" si="9"/>
        <v>6277.3099999999995</v>
      </c>
      <c r="U79" s="263">
        <f>SUM(U78:$AV78)*$N79/100</f>
        <v>10953.816570000001</v>
      </c>
      <c r="V79" s="263">
        <f>SUM(V78:$AV78)*$N79/100</f>
        <v>10551.84165</v>
      </c>
      <c r="W79" s="263">
        <f>SUM(W78:$AV78)*$N79/100</f>
        <v>10149.866730000002</v>
      </c>
      <c r="X79" s="263">
        <f>SUM(X78:$AV78)*$N79/100</f>
        <v>9747.891810000001</v>
      </c>
      <c r="Y79" s="263">
        <f>SUM(Y78:$AV78)*$N79/100</f>
        <v>9345.9168900000004</v>
      </c>
      <c r="Z79" s="263">
        <f>SUM(Z78:$AV78)*$N79/100</f>
        <v>8943.9419699999999</v>
      </c>
      <c r="AA79" s="263">
        <f>SUM(AA78:$AV78)*$N79/100</f>
        <v>8541.9670500000011</v>
      </c>
      <c r="AB79" s="263">
        <f>SUM(AB78:$AV78)*$N79/100</f>
        <v>8139.9921300000015</v>
      </c>
      <c r="AC79" s="263">
        <f>SUM(AC78:$AV78)*$N79/100</f>
        <v>7738.01721</v>
      </c>
      <c r="AD79" s="263">
        <f>SUM(AD78:$AV78)*$N79/100</f>
        <v>7336.0422900000003</v>
      </c>
      <c r="AE79" s="263">
        <f>SUM(AE78:$AV78)*$N79/100</f>
        <v>6934.0673700000007</v>
      </c>
      <c r="AF79" s="263">
        <f>SUM(AF78:$AV78)*$N79/100</f>
        <v>6532.0924500000001</v>
      </c>
      <c r="AG79" s="263">
        <f>SUM(AG78:$AV78)*$N79/100</f>
        <v>6130.1175300000004</v>
      </c>
      <c r="AH79" s="263">
        <f>SUM(AH78:$AV78)*$N79/100</f>
        <v>5728.1426100000008</v>
      </c>
      <c r="AI79" s="263">
        <f>SUM(AI78:$AV78)*$N79/100</f>
        <v>5326.1676900000011</v>
      </c>
      <c r="AJ79" s="263">
        <f>SUM(AJ78:$AV78)*$N79/100</f>
        <v>4924.1927700000006</v>
      </c>
      <c r="AK79" s="263">
        <f>SUM(AK78:$AV78)*$N79/100</f>
        <v>4522.21785</v>
      </c>
      <c r="AL79" s="263">
        <f>SUM(AL78:$AV78)*$N79/100</f>
        <v>4120.2429300000003</v>
      </c>
      <c r="AM79" s="263">
        <f>SUM(AM78:$AV78)*$N79/100</f>
        <v>3718.2680100000002</v>
      </c>
      <c r="AN79" s="263">
        <f>SUM(AN78:$AV78)*$N79/100</f>
        <v>3316.2930900000001</v>
      </c>
      <c r="AO79" s="263">
        <f>SUM(AO78:$AV78)*$N79/100</f>
        <v>2914.3181700000005</v>
      </c>
      <c r="AP79" s="263">
        <f>SUM(AP78:$AV78)*$N79/100</f>
        <v>2512.3432499999999</v>
      </c>
      <c r="AQ79" s="263">
        <f>SUM(AQ78:$AV78)*$N79/100</f>
        <v>2110.3683300000002</v>
      </c>
      <c r="AR79" s="263">
        <f>SUM(AR78:$AV78)*$N79/100</f>
        <v>1708.3934100000001</v>
      </c>
      <c r="AS79" s="263">
        <f>SUM(AS78:$AV78)*$N79/100</f>
        <v>1306.41849</v>
      </c>
      <c r="AT79" s="263">
        <f>SUM(AT78:$AV78)*$N79/100</f>
        <v>904.44357000000002</v>
      </c>
      <c r="AU79" s="263">
        <f>SUM(AU78:$AV78)*$N79/100</f>
        <v>502.46865000000003</v>
      </c>
      <c r="AV79" s="263">
        <f>SUM(AV78:$AV78)*$N79/100</f>
        <v>100.49373000000001</v>
      </c>
      <c r="AW79" s="263"/>
      <c r="AX79" s="263"/>
      <c r="AY79" s="264">
        <f t="shared" si="7"/>
        <v>161037.65419999999</v>
      </c>
      <c r="AZ79" s="236">
        <f t="shared" si="8"/>
        <v>0</v>
      </c>
      <c r="BA79" s="265">
        <f t="shared" si="10"/>
        <v>95067.068580000036</v>
      </c>
      <c r="BB79" s="264">
        <f t="shared" si="11"/>
        <v>161037.65420000005</v>
      </c>
      <c r="BD79" s="257" t="b">
        <f t="shared" si="12"/>
        <v>1</v>
      </c>
    </row>
    <row r="80" spans="2:57" s="257" customFormat="1" x14ac:dyDescent="0.25">
      <c r="B80" s="250" t="s">
        <v>766</v>
      </c>
      <c r="C80" s="250">
        <v>38</v>
      </c>
      <c r="D80" s="250" t="s">
        <v>927</v>
      </c>
      <c r="E80" s="250" t="s">
        <v>928</v>
      </c>
      <c r="F80" s="250" t="s">
        <v>929</v>
      </c>
      <c r="G80" s="250" t="s">
        <v>930</v>
      </c>
      <c r="H80" s="250" t="s">
        <v>931</v>
      </c>
      <c r="I80" s="250" t="s">
        <v>726</v>
      </c>
      <c r="J80" s="251">
        <v>2075409</v>
      </c>
      <c r="K80" s="251">
        <v>1486222</v>
      </c>
      <c r="L80" s="251"/>
      <c r="M80" s="251"/>
      <c r="N80" s="252"/>
      <c r="O80" s="252"/>
      <c r="P80" s="252"/>
      <c r="Q80" s="252" t="s">
        <v>727</v>
      </c>
      <c r="R80" s="253">
        <v>75020</v>
      </c>
      <c r="S80" s="253">
        <v>75020</v>
      </c>
      <c r="T80" s="254">
        <f t="shared" si="9"/>
        <v>150040</v>
      </c>
      <c r="U80" s="254">
        <v>128252</v>
      </c>
      <c r="V80" s="254">
        <v>123200</v>
      </c>
      <c r="W80" s="254">
        <v>121648</v>
      </c>
      <c r="X80" s="254">
        <v>117000</v>
      </c>
      <c r="Y80" s="254">
        <v>117000</v>
      </c>
      <c r="Z80" s="254">
        <v>117000</v>
      </c>
      <c r="AA80" s="254">
        <v>117000</v>
      </c>
      <c r="AB80" s="254">
        <v>110320</v>
      </c>
      <c r="AC80" s="254">
        <v>91212</v>
      </c>
      <c r="AD80" s="254">
        <v>82616</v>
      </c>
      <c r="AE80" s="254">
        <v>82616</v>
      </c>
      <c r="AF80" s="254">
        <v>82616</v>
      </c>
      <c r="AG80" s="254">
        <v>75860</v>
      </c>
      <c r="AH80" s="254">
        <v>36908</v>
      </c>
      <c r="AI80" s="254">
        <v>7954</v>
      </c>
      <c r="AJ80" s="254">
        <v>0</v>
      </c>
      <c r="AK80" s="254">
        <v>0</v>
      </c>
      <c r="AL80" s="254">
        <v>0</v>
      </c>
      <c r="AM80" s="254">
        <v>0</v>
      </c>
      <c r="AN80" s="254">
        <v>0</v>
      </c>
      <c r="AO80" s="254">
        <v>0</v>
      </c>
      <c r="AP80" s="254">
        <v>0</v>
      </c>
      <c r="AQ80" s="254">
        <v>0</v>
      </c>
      <c r="AR80" s="254">
        <v>0</v>
      </c>
      <c r="AS80" s="254">
        <v>0</v>
      </c>
      <c r="AT80" s="254">
        <v>0</v>
      </c>
      <c r="AU80" s="254">
        <v>0</v>
      </c>
      <c r="AV80" s="254">
        <v>0</v>
      </c>
      <c r="AW80" s="254"/>
      <c r="AX80" s="254"/>
      <c r="AY80" s="255">
        <f t="shared" si="7"/>
        <v>1561242</v>
      </c>
      <c r="AZ80" s="236">
        <f t="shared" si="8"/>
        <v>0</v>
      </c>
      <c r="BA80" s="256">
        <f t="shared" si="10"/>
        <v>687102</v>
      </c>
      <c r="BB80" s="255">
        <f t="shared" si="11"/>
        <v>1561242</v>
      </c>
      <c r="BD80" s="257" t="b">
        <f t="shared" si="12"/>
        <v>1</v>
      </c>
      <c r="BE80" s="258">
        <f>BB80-K80-R80</f>
        <v>0</v>
      </c>
    </row>
    <row r="81" spans="2:57" x14ac:dyDescent="0.25">
      <c r="B81" s="259" t="s">
        <v>766</v>
      </c>
      <c r="C81" s="259"/>
      <c r="D81" s="259"/>
      <c r="E81" s="259"/>
      <c r="F81" s="259"/>
      <c r="G81" s="259"/>
      <c r="H81" s="259"/>
      <c r="I81" s="259"/>
      <c r="J81" s="260"/>
      <c r="K81" s="260"/>
      <c r="L81" s="260" t="s">
        <v>932</v>
      </c>
      <c r="M81" s="260"/>
      <c r="N81" s="261">
        <f>SUM(O81:P81)</f>
        <v>4.0750000000000002</v>
      </c>
      <c r="O81" s="261">
        <v>4.0750000000000002</v>
      </c>
      <c r="P81" s="261">
        <f>$P$4</f>
        <v>0</v>
      </c>
      <c r="Q81" s="261" t="s">
        <v>729</v>
      </c>
      <c r="R81" s="262">
        <v>13337.62</v>
      </c>
      <c r="S81" s="262">
        <v>14483.98</v>
      </c>
      <c r="T81" s="263">
        <f t="shared" si="9"/>
        <v>27821.599999999999</v>
      </c>
      <c r="U81" s="263">
        <f>SUM(U80:$AV80)*$N81/100</f>
        <v>57506.481500000002</v>
      </c>
      <c r="V81" s="263">
        <f>SUM(V80:$AV80)*$N81/100</f>
        <v>52280.212500000001</v>
      </c>
      <c r="W81" s="263">
        <f>SUM(W80:$AV80)*$N81/100</f>
        <v>47259.8125</v>
      </c>
      <c r="X81" s="263">
        <f>SUM(X80:$AV80)*$N81/100</f>
        <v>42302.656500000005</v>
      </c>
      <c r="Y81" s="263">
        <f>SUM(Y80:$AV80)*$N81/100</f>
        <v>37534.906500000005</v>
      </c>
      <c r="Z81" s="263">
        <f>SUM(Z80:$AV80)*$N81/100</f>
        <v>32767.156500000005</v>
      </c>
      <c r="AA81" s="263">
        <f>SUM(AA80:$AV80)*$N81/100</f>
        <v>27999.406499999997</v>
      </c>
      <c r="AB81" s="263">
        <f>SUM(AB80:$AV80)*$N81/100</f>
        <v>23231.656499999997</v>
      </c>
      <c r="AC81" s="263">
        <f>SUM(AC80:$AV80)*$N81/100</f>
        <v>18736.1165</v>
      </c>
      <c r="AD81" s="263">
        <f>SUM(AD80:$AV80)*$N81/100</f>
        <v>15019.227500000001</v>
      </c>
      <c r="AE81" s="263">
        <f>SUM(AE80:$AV80)*$N81/100</f>
        <v>11652.6255</v>
      </c>
      <c r="AF81" s="263">
        <f>SUM(AF80:$AV80)*$N81/100</f>
        <v>8286.0235000000011</v>
      </c>
      <c r="AG81" s="263">
        <f>SUM(AG80:$AV80)*$N81/100</f>
        <v>4919.4215000000004</v>
      </c>
      <c r="AH81" s="263">
        <f>SUM(AH80:$AV80)*$N81/100</f>
        <v>1828.1264999999999</v>
      </c>
      <c r="AI81" s="263">
        <f>SUM(AI80:$AV80)*$N81/100</f>
        <v>324.12550000000005</v>
      </c>
      <c r="AJ81" s="263">
        <v>0</v>
      </c>
      <c r="AK81" s="263">
        <v>0</v>
      </c>
      <c r="AL81" s="263">
        <v>0</v>
      </c>
      <c r="AM81" s="263">
        <v>0</v>
      </c>
      <c r="AN81" s="263">
        <v>0</v>
      </c>
      <c r="AO81" s="263">
        <v>0</v>
      </c>
      <c r="AP81" s="263">
        <v>0</v>
      </c>
      <c r="AQ81" s="263">
        <v>0</v>
      </c>
      <c r="AR81" s="263">
        <v>0</v>
      </c>
      <c r="AS81" s="263">
        <v>0</v>
      </c>
      <c r="AT81" s="263">
        <v>0</v>
      </c>
      <c r="AU81" s="263">
        <v>0</v>
      </c>
      <c r="AV81" s="263">
        <v>0</v>
      </c>
      <c r="AW81" s="263"/>
      <c r="AX81" s="263"/>
      <c r="AY81" s="264">
        <f t="shared" si="7"/>
        <v>409469.55550000002</v>
      </c>
      <c r="AZ81" s="236">
        <f t="shared" si="8"/>
        <v>0</v>
      </c>
      <c r="BA81" s="265">
        <f t="shared" si="10"/>
        <v>111996.72949999999</v>
      </c>
      <c r="BB81" s="264">
        <f t="shared" si="11"/>
        <v>409469.55550000002</v>
      </c>
      <c r="BD81" s="257" t="b">
        <f t="shared" si="12"/>
        <v>1</v>
      </c>
    </row>
    <row r="82" spans="2:57" s="257" customFormat="1" x14ac:dyDescent="0.25">
      <c r="B82" s="250" t="s">
        <v>766</v>
      </c>
      <c r="C82" s="250">
        <v>39</v>
      </c>
      <c r="D82" s="250" t="s">
        <v>933</v>
      </c>
      <c r="E82" s="250" t="s">
        <v>934</v>
      </c>
      <c r="F82" s="250" t="s">
        <v>935</v>
      </c>
      <c r="G82" s="250" t="s">
        <v>936</v>
      </c>
      <c r="H82" s="250" t="s">
        <v>937</v>
      </c>
      <c r="I82" s="250" t="s">
        <v>726</v>
      </c>
      <c r="J82" s="251">
        <v>617703</v>
      </c>
      <c r="K82" s="251">
        <v>586320</v>
      </c>
      <c r="L82" s="251"/>
      <c r="M82" s="251"/>
      <c r="N82" s="252"/>
      <c r="O82" s="252"/>
      <c r="P82" s="252"/>
      <c r="Q82" s="252" t="s">
        <v>727</v>
      </c>
      <c r="R82" s="253">
        <v>10470</v>
      </c>
      <c r="S82" s="253">
        <v>10470</v>
      </c>
      <c r="T82" s="254">
        <f t="shared" si="9"/>
        <v>20940</v>
      </c>
      <c r="U82" s="254">
        <v>20940</v>
      </c>
      <c r="V82" s="254">
        <v>20940</v>
      </c>
      <c r="W82" s="254">
        <v>20940</v>
      </c>
      <c r="X82" s="254">
        <v>20940</v>
      </c>
      <c r="Y82" s="254">
        <v>20940</v>
      </c>
      <c r="Z82" s="254">
        <v>20940</v>
      </c>
      <c r="AA82" s="254">
        <v>20940</v>
      </c>
      <c r="AB82" s="254">
        <v>20940</v>
      </c>
      <c r="AC82" s="254">
        <v>20940</v>
      </c>
      <c r="AD82" s="254">
        <v>20940</v>
      </c>
      <c r="AE82" s="254">
        <v>20940</v>
      </c>
      <c r="AF82" s="254">
        <v>20940</v>
      </c>
      <c r="AG82" s="254">
        <v>20940</v>
      </c>
      <c r="AH82" s="254">
        <v>20940</v>
      </c>
      <c r="AI82" s="254">
        <v>20940</v>
      </c>
      <c r="AJ82" s="254">
        <v>20940</v>
      </c>
      <c r="AK82" s="254">
        <v>20940</v>
      </c>
      <c r="AL82" s="254">
        <v>20940</v>
      </c>
      <c r="AM82" s="254">
        <v>20940</v>
      </c>
      <c r="AN82" s="254">
        <v>20940</v>
      </c>
      <c r="AO82" s="254">
        <v>20940</v>
      </c>
      <c r="AP82" s="254">
        <v>20940</v>
      </c>
      <c r="AQ82" s="254">
        <v>20940</v>
      </c>
      <c r="AR82" s="254">
        <v>20940</v>
      </c>
      <c r="AS82" s="254">
        <v>20940</v>
      </c>
      <c r="AT82" s="254">
        <v>20940</v>
      </c>
      <c r="AU82" s="254">
        <v>20940</v>
      </c>
      <c r="AV82" s="254">
        <v>10470</v>
      </c>
      <c r="AW82" s="254"/>
      <c r="AX82" s="254"/>
      <c r="AY82" s="255">
        <f t="shared" si="7"/>
        <v>596790</v>
      </c>
      <c r="AZ82" s="236">
        <f t="shared" si="8"/>
        <v>0</v>
      </c>
      <c r="BA82" s="256">
        <f t="shared" si="10"/>
        <v>450210</v>
      </c>
      <c r="BB82" s="255">
        <f t="shared" si="11"/>
        <v>596790</v>
      </c>
      <c r="BD82" s="257" t="b">
        <f t="shared" si="12"/>
        <v>1</v>
      </c>
      <c r="BE82" s="258">
        <f>BB82-K82-R82</f>
        <v>0</v>
      </c>
    </row>
    <row r="83" spans="2:57" x14ac:dyDescent="0.25">
      <c r="B83" s="259" t="s">
        <v>766</v>
      </c>
      <c r="C83" s="259"/>
      <c r="D83" s="259"/>
      <c r="E83" s="259"/>
      <c r="F83" s="259"/>
      <c r="G83" s="259"/>
      <c r="H83" s="259"/>
      <c r="I83" s="259"/>
      <c r="J83" s="260"/>
      <c r="K83" s="260"/>
      <c r="L83" s="260" t="s">
        <v>938</v>
      </c>
      <c r="M83" s="260"/>
      <c r="N83" s="261">
        <f>SUM(O83:P83)</f>
        <v>4.5049999999999999</v>
      </c>
      <c r="O83" s="261">
        <v>4.5049999999999999</v>
      </c>
      <c r="P83" s="261">
        <f>$P$4</f>
        <v>0</v>
      </c>
      <c r="Q83" s="261" t="s">
        <v>729</v>
      </c>
      <c r="R83" s="262">
        <v>7353.73</v>
      </c>
      <c r="S83" s="262">
        <v>6742.97</v>
      </c>
      <c r="T83" s="263">
        <f t="shared" si="9"/>
        <v>14096.7</v>
      </c>
      <c r="U83" s="263">
        <f>SUM(U82:$AV82)*$N83/100</f>
        <v>25942.0425</v>
      </c>
      <c r="V83" s="263">
        <f>SUM(V82:$AV82)*$N83/100</f>
        <v>24998.695499999998</v>
      </c>
      <c r="W83" s="263">
        <f>SUM(W82:$AV82)*$N83/100</f>
        <v>24055.3485</v>
      </c>
      <c r="X83" s="263">
        <f>SUM(X82:$AV82)*$N83/100</f>
        <v>23112.001499999998</v>
      </c>
      <c r="Y83" s="263">
        <f>SUM(Y82:$AV82)*$N83/100</f>
        <v>22168.654499999997</v>
      </c>
      <c r="Z83" s="263">
        <f>SUM(Z82:$AV82)*$N83/100</f>
        <v>21225.307499999999</v>
      </c>
      <c r="AA83" s="263">
        <f>SUM(AA82:$AV82)*$N83/100</f>
        <v>20281.960500000001</v>
      </c>
      <c r="AB83" s="263">
        <f>SUM(AB82:$AV82)*$N83/100</f>
        <v>19338.613499999999</v>
      </c>
      <c r="AC83" s="263">
        <f>SUM(AC82:$AV82)*$N83/100</f>
        <v>18395.266499999998</v>
      </c>
      <c r="AD83" s="263">
        <f>SUM(AD82:$AV82)*$N83/100</f>
        <v>17451.9195</v>
      </c>
      <c r="AE83" s="263">
        <f>SUM(AE82:$AV82)*$N83/100</f>
        <v>16508.572499999998</v>
      </c>
      <c r="AF83" s="263">
        <f>SUM(AF82:$AV82)*$N83/100</f>
        <v>15565.2255</v>
      </c>
      <c r="AG83" s="263">
        <f>SUM(AG82:$AV82)*$N83/100</f>
        <v>14621.878499999999</v>
      </c>
      <c r="AH83" s="263">
        <f>SUM(AH82:$AV82)*$N83/100</f>
        <v>13678.531499999999</v>
      </c>
      <c r="AI83" s="263">
        <f>SUM(AI82:$AV82)*$N83/100</f>
        <v>12735.184499999999</v>
      </c>
      <c r="AJ83" s="263">
        <f>SUM(AJ82:$AV82)*$N83/100</f>
        <v>11791.8375</v>
      </c>
      <c r="AK83" s="263">
        <f>SUM(AK82:$AV82)*$N83/100</f>
        <v>10848.4905</v>
      </c>
      <c r="AL83" s="263">
        <f>SUM(AL82:$AV82)*$N83/100</f>
        <v>9905.1435000000001</v>
      </c>
      <c r="AM83" s="263">
        <f>SUM(AM82:$AV82)*$N83/100</f>
        <v>8961.7965000000004</v>
      </c>
      <c r="AN83" s="263">
        <f>SUM(AN82:$AV82)*$N83/100</f>
        <v>8018.4494999999997</v>
      </c>
      <c r="AO83" s="263">
        <f>SUM(AO82:$AV82)*$N83/100</f>
        <v>7075.1025</v>
      </c>
      <c r="AP83" s="263">
        <f>SUM(AP82:$AV82)*$N83/100</f>
        <v>6131.7554999999993</v>
      </c>
      <c r="AQ83" s="263">
        <f>SUM(AQ82:$AV82)*$N83/100</f>
        <v>5188.4084999999995</v>
      </c>
      <c r="AR83" s="263">
        <f>SUM(AR82:$AV82)*$N83/100</f>
        <v>4245.0614999999998</v>
      </c>
      <c r="AS83" s="263">
        <f>SUM(AS82:$AV82)*$N83/100</f>
        <v>3301.7145</v>
      </c>
      <c r="AT83" s="263">
        <f>SUM(AT82:$AV82)*$N83/100</f>
        <v>2358.3674999999998</v>
      </c>
      <c r="AU83" s="263">
        <f>SUM(AU82:$AV82)*$N83/100</f>
        <v>1415.0204999999999</v>
      </c>
      <c r="AV83" s="263">
        <f>SUM(AV82:$AV82)*$N83/100</f>
        <v>471.67349999999999</v>
      </c>
      <c r="AW83" s="263"/>
      <c r="AX83" s="263"/>
      <c r="AY83" s="264">
        <f t="shared" si="7"/>
        <v>383888.72399999987</v>
      </c>
      <c r="AZ83" s="236">
        <f t="shared" si="8"/>
        <v>0</v>
      </c>
      <c r="BA83" s="265">
        <f t="shared" si="10"/>
        <v>228289.97400000002</v>
      </c>
      <c r="BB83" s="264">
        <f t="shared" si="11"/>
        <v>383888.72399999999</v>
      </c>
      <c r="BD83" s="257" t="b">
        <f t="shared" si="12"/>
        <v>1</v>
      </c>
    </row>
    <row r="84" spans="2:57" s="257" customFormat="1" x14ac:dyDescent="0.25">
      <c r="B84" s="250" t="s">
        <v>766</v>
      </c>
      <c r="C84" s="250">
        <v>40</v>
      </c>
      <c r="D84" s="250" t="s">
        <v>939</v>
      </c>
      <c r="E84" s="250" t="s">
        <v>940</v>
      </c>
      <c r="F84" s="250" t="s">
        <v>941</v>
      </c>
      <c r="G84" s="250" t="s">
        <v>942</v>
      </c>
      <c r="H84" s="250" t="s">
        <v>943</v>
      </c>
      <c r="I84" s="250" t="s">
        <v>726</v>
      </c>
      <c r="J84" s="251">
        <v>131926.07</v>
      </c>
      <c r="K84" s="251">
        <v>121795.07</v>
      </c>
      <c r="L84" s="251"/>
      <c r="M84" s="251"/>
      <c r="N84" s="252"/>
      <c r="O84" s="252"/>
      <c r="P84" s="252"/>
      <c r="Q84" s="252" t="s">
        <v>727</v>
      </c>
      <c r="R84" s="253">
        <v>3386</v>
      </c>
      <c r="S84" s="253">
        <v>3386</v>
      </c>
      <c r="T84" s="254">
        <f t="shared" si="9"/>
        <v>6772</v>
      </c>
      <c r="U84" s="254">
        <v>6772</v>
      </c>
      <c r="V84" s="254">
        <v>6772</v>
      </c>
      <c r="W84" s="254">
        <v>6772</v>
      </c>
      <c r="X84" s="254">
        <v>6772</v>
      </c>
      <c r="Y84" s="254">
        <v>6772</v>
      </c>
      <c r="Z84" s="254">
        <v>6772</v>
      </c>
      <c r="AA84" s="254">
        <v>6772</v>
      </c>
      <c r="AB84" s="254">
        <v>6772</v>
      </c>
      <c r="AC84" s="254">
        <v>6772</v>
      </c>
      <c r="AD84" s="254">
        <v>6772</v>
      </c>
      <c r="AE84" s="254">
        <v>6772</v>
      </c>
      <c r="AF84" s="254">
        <v>6772</v>
      </c>
      <c r="AG84" s="254">
        <v>6772</v>
      </c>
      <c r="AH84" s="254">
        <v>6772</v>
      </c>
      <c r="AI84" s="254">
        <v>6772</v>
      </c>
      <c r="AJ84" s="254">
        <v>6772</v>
      </c>
      <c r="AK84" s="254">
        <v>6772</v>
      </c>
      <c r="AL84" s="254">
        <v>3285.0699999999997</v>
      </c>
      <c r="AM84" s="254">
        <v>0</v>
      </c>
      <c r="AN84" s="254">
        <v>0</v>
      </c>
      <c r="AO84" s="254">
        <v>0</v>
      </c>
      <c r="AP84" s="254">
        <v>0</v>
      </c>
      <c r="AQ84" s="254">
        <v>0</v>
      </c>
      <c r="AR84" s="254">
        <v>0</v>
      </c>
      <c r="AS84" s="254">
        <v>0</v>
      </c>
      <c r="AT84" s="254">
        <v>0</v>
      </c>
      <c r="AU84" s="254">
        <v>0</v>
      </c>
      <c r="AV84" s="254">
        <v>0</v>
      </c>
      <c r="AW84" s="254"/>
      <c r="AX84" s="254"/>
      <c r="AY84" s="255">
        <f t="shared" si="7"/>
        <v>125181.07</v>
      </c>
      <c r="AZ84" s="236">
        <f t="shared" si="8"/>
        <v>0</v>
      </c>
      <c r="BA84" s="256">
        <f t="shared" si="10"/>
        <v>77777.070000000007</v>
      </c>
      <c r="BB84" s="255">
        <f t="shared" si="11"/>
        <v>125181.07</v>
      </c>
      <c r="BD84" s="257" t="b">
        <f t="shared" si="12"/>
        <v>1</v>
      </c>
      <c r="BE84" s="258">
        <f>BB84-K84-R84</f>
        <v>0</v>
      </c>
    </row>
    <row r="85" spans="2:57" x14ac:dyDescent="0.25">
      <c r="B85" s="259" t="s">
        <v>766</v>
      </c>
      <c r="C85" s="259"/>
      <c r="D85" s="259"/>
      <c r="E85" s="259"/>
      <c r="F85" s="259"/>
      <c r="G85" s="259"/>
      <c r="H85" s="259"/>
      <c r="I85" s="259"/>
      <c r="J85" s="260"/>
      <c r="K85" s="260"/>
      <c r="L85" s="260" t="s">
        <v>944</v>
      </c>
      <c r="M85" s="260"/>
      <c r="N85" s="261">
        <f>SUM(O85:P85)</f>
        <v>4.41</v>
      </c>
      <c r="O85" s="261">
        <v>4.41</v>
      </c>
      <c r="P85" s="261">
        <f>$P$4</f>
        <v>0</v>
      </c>
      <c r="Q85" s="261" t="s">
        <v>729</v>
      </c>
      <c r="R85" s="262">
        <v>1202.1199999999999</v>
      </c>
      <c r="S85" s="262">
        <v>1370.35</v>
      </c>
      <c r="T85" s="263">
        <f t="shared" si="9"/>
        <v>2572.4699999999998</v>
      </c>
      <c r="U85" s="263">
        <f>SUM(U84:$AV84)*$N85/100</f>
        <v>5221.8399870000003</v>
      </c>
      <c r="V85" s="263">
        <f>SUM(V84:$AV84)*$N85/100</f>
        <v>4923.1947870000004</v>
      </c>
      <c r="W85" s="263">
        <f>SUM(W84:$AV84)*$N85/100</f>
        <v>4624.5495870000004</v>
      </c>
      <c r="X85" s="263">
        <f>SUM(X84:$AV84)*$N85/100</f>
        <v>4325.9043870000005</v>
      </c>
      <c r="Y85" s="263">
        <f>SUM(Y84:$AV84)*$N85/100</f>
        <v>4027.2591870000006</v>
      </c>
      <c r="Z85" s="263">
        <f>SUM(Z84:$AV84)*$N85/100</f>
        <v>3728.6139870000002</v>
      </c>
      <c r="AA85" s="263">
        <f>SUM(AA84:$AV84)*$N85/100</f>
        <v>3429.9687870000007</v>
      </c>
      <c r="AB85" s="263">
        <f>SUM(AB84:$AV84)*$N85/100</f>
        <v>3131.3235870000003</v>
      </c>
      <c r="AC85" s="263">
        <f>SUM(AC84:$AV84)*$N85/100</f>
        <v>2832.6783870000004</v>
      </c>
      <c r="AD85" s="263">
        <f>SUM(AD84:$AV84)*$N85/100</f>
        <v>2534.033187</v>
      </c>
      <c r="AE85" s="263">
        <f>SUM(AE84:$AV84)*$N85/100</f>
        <v>2235.3879870000001</v>
      </c>
      <c r="AF85" s="263">
        <f>SUM(AF84:$AV84)*$N85/100</f>
        <v>1936.7427869999999</v>
      </c>
      <c r="AG85" s="263">
        <f>SUM(AG84:$AV84)*$N85/100</f>
        <v>1638.097587</v>
      </c>
      <c r="AH85" s="263">
        <f>SUM(AH84:$AV84)*$N85/100</f>
        <v>1339.4523870000003</v>
      </c>
      <c r="AI85" s="263">
        <f>SUM(AI84:$AV84)*$N85/100</f>
        <v>1040.8071869999999</v>
      </c>
      <c r="AJ85" s="263">
        <f>SUM(AJ84:$AV84)*$N85/100</f>
        <v>742.16198700000007</v>
      </c>
      <c r="AK85" s="263">
        <f>SUM(AK84:$AV84)*$N85/100</f>
        <v>443.51678699999997</v>
      </c>
      <c r="AL85" s="263">
        <f>SUM(AL84:$AV84)*$N85/100</f>
        <v>144.87158700000001</v>
      </c>
      <c r="AM85" s="263">
        <v>0</v>
      </c>
      <c r="AN85" s="263">
        <v>0</v>
      </c>
      <c r="AO85" s="263">
        <v>0</v>
      </c>
      <c r="AP85" s="263">
        <v>0</v>
      </c>
      <c r="AQ85" s="263">
        <v>0</v>
      </c>
      <c r="AR85" s="263">
        <v>0</v>
      </c>
      <c r="AS85" s="263">
        <v>0</v>
      </c>
      <c r="AT85" s="263">
        <v>0</v>
      </c>
      <c r="AU85" s="263">
        <v>0</v>
      </c>
      <c r="AV85" s="263">
        <v>0</v>
      </c>
      <c r="AW85" s="263"/>
      <c r="AX85" s="263"/>
      <c r="AY85" s="264">
        <f t="shared" si="7"/>
        <v>50872.874166000001</v>
      </c>
      <c r="AZ85" s="236">
        <f t="shared" si="8"/>
        <v>0</v>
      </c>
      <c r="BA85" s="265">
        <f t="shared" si="10"/>
        <v>21449.042244</v>
      </c>
      <c r="BB85" s="264">
        <f t="shared" si="11"/>
        <v>50872.874166000009</v>
      </c>
      <c r="BD85" s="257" t="b">
        <f t="shared" si="12"/>
        <v>1</v>
      </c>
    </row>
    <row r="86" spans="2:57" s="257" customFormat="1" x14ac:dyDescent="0.25">
      <c r="B86" s="250" t="s">
        <v>766</v>
      </c>
      <c r="C86" s="250">
        <v>41</v>
      </c>
      <c r="D86" s="250" t="s">
        <v>945</v>
      </c>
      <c r="E86" s="250" t="s">
        <v>946</v>
      </c>
      <c r="F86" s="250" t="s">
        <v>947</v>
      </c>
      <c r="G86" s="250" t="s">
        <v>942</v>
      </c>
      <c r="H86" s="250" t="s">
        <v>943</v>
      </c>
      <c r="I86" s="250" t="s">
        <v>726</v>
      </c>
      <c r="J86" s="251">
        <v>145332</v>
      </c>
      <c r="K86" s="251">
        <v>134208</v>
      </c>
      <c r="L86" s="251"/>
      <c r="M86" s="251"/>
      <c r="N86" s="252"/>
      <c r="O86" s="252"/>
      <c r="P86" s="252"/>
      <c r="Q86" s="252" t="s">
        <v>727</v>
      </c>
      <c r="R86" s="253">
        <v>3728</v>
      </c>
      <c r="S86" s="253">
        <v>3728</v>
      </c>
      <c r="T86" s="254">
        <f t="shared" si="9"/>
        <v>7456</v>
      </c>
      <c r="U86" s="254">
        <v>7456</v>
      </c>
      <c r="V86" s="254">
        <v>7456</v>
      </c>
      <c r="W86" s="254">
        <v>7456</v>
      </c>
      <c r="X86" s="254">
        <v>7456</v>
      </c>
      <c r="Y86" s="254">
        <v>7456</v>
      </c>
      <c r="Z86" s="254">
        <v>7456</v>
      </c>
      <c r="AA86" s="254">
        <v>7456</v>
      </c>
      <c r="AB86" s="254">
        <v>7456</v>
      </c>
      <c r="AC86" s="254">
        <v>7456</v>
      </c>
      <c r="AD86" s="254">
        <v>7456</v>
      </c>
      <c r="AE86" s="254">
        <v>7456</v>
      </c>
      <c r="AF86" s="254">
        <v>7456</v>
      </c>
      <c r="AG86" s="254">
        <v>7456</v>
      </c>
      <c r="AH86" s="254">
        <v>7456</v>
      </c>
      <c r="AI86" s="254">
        <v>7456</v>
      </c>
      <c r="AJ86" s="254">
        <v>7456</v>
      </c>
      <c r="AK86" s="254">
        <v>7456</v>
      </c>
      <c r="AL86" s="254">
        <v>3728</v>
      </c>
      <c r="AM86" s="254">
        <v>0</v>
      </c>
      <c r="AN86" s="254">
        <v>0</v>
      </c>
      <c r="AO86" s="254">
        <v>0</v>
      </c>
      <c r="AP86" s="254">
        <v>0</v>
      </c>
      <c r="AQ86" s="254">
        <v>0</v>
      </c>
      <c r="AR86" s="254">
        <v>0</v>
      </c>
      <c r="AS86" s="254">
        <v>0</v>
      </c>
      <c r="AT86" s="254">
        <v>0</v>
      </c>
      <c r="AU86" s="254">
        <v>0</v>
      </c>
      <c r="AV86" s="254">
        <v>0</v>
      </c>
      <c r="AW86" s="254"/>
      <c r="AX86" s="254"/>
      <c r="AY86" s="255">
        <f t="shared" si="7"/>
        <v>137936</v>
      </c>
      <c r="AZ86" s="236">
        <f t="shared" si="8"/>
        <v>0</v>
      </c>
      <c r="BA86" s="256">
        <f t="shared" si="10"/>
        <v>85744</v>
      </c>
      <c r="BB86" s="255">
        <f t="shared" si="11"/>
        <v>137936</v>
      </c>
      <c r="BD86" s="257" t="b">
        <f t="shared" si="12"/>
        <v>1</v>
      </c>
      <c r="BE86" s="258">
        <f>BB86-K86-R86</f>
        <v>0</v>
      </c>
    </row>
    <row r="87" spans="2:57" x14ac:dyDescent="0.25">
      <c r="B87" s="259" t="s">
        <v>766</v>
      </c>
      <c r="C87" s="259"/>
      <c r="D87" s="259"/>
      <c r="E87" s="259"/>
      <c r="F87" s="259"/>
      <c r="G87" s="259"/>
      <c r="H87" s="259"/>
      <c r="I87" s="259"/>
      <c r="J87" s="260"/>
      <c r="K87" s="260"/>
      <c r="L87" s="260" t="s">
        <v>944</v>
      </c>
      <c r="M87" s="260"/>
      <c r="N87" s="261">
        <f>SUM(O87:P87)</f>
        <v>4.41</v>
      </c>
      <c r="O87" s="261">
        <v>4.41</v>
      </c>
      <c r="P87" s="261">
        <f>$P$4</f>
        <v>0</v>
      </c>
      <c r="Q87" s="261" t="s">
        <v>729</v>
      </c>
      <c r="R87" s="262">
        <v>1324.6100000000001</v>
      </c>
      <c r="S87" s="262">
        <v>1510.01</v>
      </c>
      <c r="T87" s="263">
        <f t="shared" si="9"/>
        <v>2834.62</v>
      </c>
      <c r="U87" s="263">
        <f>SUM(U86:$AV86)*$N87/100</f>
        <v>5754.1680000000006</v>
      </c>
      <c r="V87" s="263">
        <f>SUM(V86:$AV86)*$N87/100</f>
        <v>5425.3584000000001</v>
      </c>
      <c r="W87" s="263">
        <f>SUM(W86:$AV86)*$N87/100</f>
        <v>5096.5488000000005</v>
      </c>
      <c r="X87" s="263">
        <f>SUM(X86:$AV86)*$N87/100</f>
        <v>4767.7392</v>
      </c>
      <c r="Y87" s="263">
        <f>SUM(Y86:$AV86)*$N87/100</f>
        <v>4438.9296000000004</v>
      </c>
      <c r="Z87" s="263">
        <f>SUM(Z86:$AV86)*$N87/100</f>
        <v>4110.12</v>
      </c>
      <c r="AA87" s="263">
        <f>SUM(AA86:$AV86)*$N87/100</f>
        <v>3781.3104000000003</v>
      </c>
      <c r="AB87" s="263">
        <f>SUM(AB86:$AV86)*$N87/100</f>
        <v>3452.5008000000003</v>
      </c>
      <c r="AC87" s="263">
        <f>SUM(AC86:$AV86)*$N87/100</f>
        <v>3123.6911999999998</v>
      </c>
      <c r="AD87" s="263">
        <f>SUM(AD86:$AV86)*$N87/100</f>
        <v>2794.8816000000002</v>
      </c>
      <c r="AE87" s="263">
        <f>SUM(AE86:$AV86)*$N87/100</f>
        <v>2466.0720000000001</v>
      </c>
      <c r="AF87" s="263">
        <f>SUM(AF86:$AV86)*$N87/100</f>
        <v>2137.2624000000001</v>
      </c>
      <c r="AG87" s="263">
        <f>SUM(AG86:$AV86)*$N87/100</f>
        <v>1808.4528</v>
      </c>
      <c r="AH87" s="263">
        <f>SUM(AH86:$AV86)*$N87/100</f>
        <v>1479.6432</v>
      </c>
      <c r="AI87" s="263">
        <f>SUM(AI86:$AV86)*$N87/100</f>
        <v>1150.8335999999999</v>
      </c>
      <c r="AJ87" s="263">
        <f>SUM(AJ86:$AV86)*$N87/100</f>
        <v>822.02400000000011</v>
      </c>
      <c r="AK87" s="263">
        <f>SUM(AK86:$AV86)*$N87/100</f>
        <v>493.21440000000001</v>
      </c>
      <c r="AL87" s="263">
        <f>SUM(AL86:$AV86)*$N87/100</f>
        <v>164.40479999999999</v>
      </c>
      <c r="AM87" s="263">
        <v>0</v>
      </c>
      <c r="AN87" s="263">
        <v>0</v>
      </c>
      <c r="AO87" s="263">
        <v>0</v>
      </c>
      <c r="AP87" s="263">
        <v>0</v>
      </c>
      <c r="AQ87" s="263">
        <v>0</v>
      </c>
      <c r="AR87" s="263">
        <v>0</v>
      </c>
      <c r="AS87" s="263">
        <v>0</v>
      </c>
      <c r="AT87" s="263">
        <v>0</v>
      </c>
      <c r="AU87" s="263">
        <v>0</v>
      </c>
      <c r="AV87" s="263">
        <v>0</v>
      </c>
      <c r="AW87" s="263"/>
      <c r="AX87" s="263"/>
      <c r="AY87" s="264">
        <f t="shared" si="7"/>
        <v>56101.775199999989</v>
      </c>
      <c r="AZ87" s="236">
        <f t="shared" si="8"/>
        <v>0</v>
      </c>
      <c r="BA87" s="265">
        <f t="shared" si="10"/>
        <v>23674.291200000003</v>
      </c>
      <c r="BB87" s="264">
        <f t="shared" si="11"/>
        <v>56101.775200000004</v>
      </c>
      <c r="BD87" s="257" t="b">
        <f t="shared" si="12"/>
        <v>1</v>
      </c>
    </row>
    <row r="88" spans="2:57" s="257" customFormat="1" x14ac:dyDescent="0.25">
      <c r="B88" s="250" t="s">
        <v>720</v>
      </c>
      <c r="C88" s="250">
        <v>42</v>
      </c>
      <c r="D88" s="250" t="s">
        <v>948</v>
      </c>
      <c r="E88" s="250" t="s">
        <v>949</v>
      </c>
      <c r="F88" s="250" t="s">
        <v>950</v>
      </c>
      <c r="G88" s="250" t="s">
        <v>951</v>
      </c>
      <c r="H88" s="250" t="s">
        <v>952</v>
      </c>
      <c r="I88" s="250" t="s">
        <v>726</v>
      </c>
      <c r="J88" s="251">
        <v>141294</v>
      </c>
      <c r="K88" s="251">
        <v>96681</v>
      </c>
      <c r="L88" s="251"/>
      <c r="M88" s="251"/>
      <c r="N88" s="252"/>
      <c r="O88" s="252"/>
      <c r="P88" s="252"/>
      <c r="Q88" s="252" t="s">
        <v>727</v>
      </c>
      <c r="R88" s="253">
        <v>14874</v>
      </c>
      <c r="S88" s="253">
        <v>14874</v>
      </c>
      <c r="T88" s="254">
        <f t="shared" si="9"/>
        <v>29748</v>
      </c>
      <c r="U88" s="254">
        <v>29748</v>
      </c>
      <c r="V88" s="254">
        <v>29748</v>
      </c>
      <c r="W88" s="254">
        <v>22311</v>
      </c>
      <c r="X88" s="254">
        <v>0</v>
      </c>
      <c r="Y88" s="254">
        <v>0</v>
      </c>
      <c r="Z88" s="254">
        <v>0</v>
      </c>
      <c r="AA88" s="254">
        <v>0</v>
      </c>
      <c r="AB88" s="254">
        <v>0</v>
      </c>
      <c r="AC88" s="254">
        <v>0</v>
      </c>
      <c r="AD88" s="254">
        <v>0</v>
      </c>
      <c r="AE88" s="254">
        <v>0</v>
      </c>
      <c r="AF88" s="254">
        <v>0</v>
      </c>
      <c r="AG88" s="254">
        <v>0</v>
      </c>
      <c r="AH88" s="254">
        <v>0</v>
      </c>
      <c r="AI88" s="254">
        <v>0</v>
      </c>
      <c r="AJ88" s="254">
        <v>0</v>
      </c>
      <c r="AK88" s="254">
        <v>0</v>
      </c>
      <c r="AL88" s="254">
        <v>0</v>
      </c>
      <c r="AM88" s="254">
        <v>0</v>
      </c>
      <c r="AN88" s="254">
        <v>0</v>
      </c>
      <c r="AO88" s="254">
        <v>0</v>
      </c>
      <c r="AP88" s="254">
        <v>0</v>
      </c>
      <c r="AQ88" s="254">
        <v>0</v>
      </c>
      <c r="AR88" s="254">
        <v>0</v>
      </c>
      <c r="AS88" s="254">
        <v>0</v>
      </c>
      <c r="AT88" s="254">
        <v>0</v>
      </c>
      <c r="AU88" s="254">
        <v>0</v>
      </c>
      <c r="AV88" s="254">
        <v>0</v>
      </c>
      <c r="AW88" s="254"/>
      <c r="AX88" s="254"/>
      <c r="AY88" s="255">
        <f t="shared" si="7"/>
        <v>111555</v>
      </c>
      <c r="AZ88" s="236">
        <f t="shared" si="8"/>
        <v>0</v>
      </c>
      <c r="BA88" s="256">
        <f t="shared" si="10"/>
        <v>0</v>
      </c>
      <c r="BB88" s="255">
        <f t="shared" si="11"/>
        <v>111555</v>
      </c>
      <c r="BD88" s="257" t="b">
        <f t="shared" si="12"/>
        <v>1</v>
      </c>
      <c r="BE88" s="258">
        <f>BB88-K88-R88</f>
        <v>0</v>
      </c>
    </row>
    <row r="89" spans="2:57" x14ac:dyDescent="0.25">
      <c r="B89" s="259" t="s">
        <v>720</v>
      </c>
      <c r="C89" s="259"/>
      <c r="D89" s="259"/>
      <c r="E89" s="259"/>
      <c r="F89" s="259"/>
      <c r="G89" s="259"/>
      <c r="H89" s="259"/>
      <c r="I89" s="259"/>
      <c r="J89" s="260"/>
      <c r="K89" s="260"/>
      <c r="L89" s="260">
        <v>0</v>
      </c>
      <c r="M89" s="260" t="s">
        <v>896</v>
      </c>
      <c r="N89" s="261">
        <f>SUM(O89:P89)</f>
        <v>0.25</v>
      </c>
      <c r="O89" s="261">
        <v>0.25</v>
      </c>
      <c r="P89" s="261">
        <f>$P$4</f>
        <v>0</v>
      </c>
      <c r="Q89" s="261" t="s">
        <v>729</v>
      </c>
      <c r="R89" s="262">
        <v>209.75</v>
      </c>
      <c r="S89" s="262">
        <v>61.2</v>
      </c>
      <c r="T89" s="263">
        <f t="shared" si="9"/>
        <v>270.95</v>
      </c>
      <c r="U89" s="263">
        <f>SUM(U88:$AV88)*$N89/100</f>
        <v>204.51750000000001</v>
      </c>
      <c r="V89" s="263">
        <f>SUM(V88:$AV88)*$N89/100</f>
        <v>130.14750000000001</v>
      </c>
      <c r="W89" s="263">
        <f>SUM(W88:$AV88)*$N89/100</f>
        <v>55.777500000000003</v>
      </c>
      <c r="X89" s="263">
        <v>0</v>
      </c>
      <c r="Y89" s="263">
        <v>0</v>
      </c>
      <c r="Z89" s="263">
        <v>0</v>
      </c>
      <c r="AA89" s="263">
        <v>0</v>
      </c>
      <c r="AB89" s="263">
        <v>0</v>
      </c>
      <c r="AC89" s="263">
        <v>0</v>
      </c>
      <c r="AD89" s="263">
        <v>0</v>
      </c>
      <c r="AE89" s="263">
        <v>0</v>
      </c>
      <c r="AF89" s="263">
        <v>0</v>
      </c>
      <c r="AG89" s="263">
        <v>0</v>
      </c>
      <c r="AH89" s="263">
        <v>0</v>
      </c>
      <c r="AI89" s="263">
        <v>0</v>
      </c>
      <c r="AJ89" s="263">
        <v>0</v>
      </c>
      <c r="AK89" s="263">
        <v>0</v>
      </c>
      <c r="AL89" s="263">
        <v>0</v>
      </c>
      <c r="AM89" s="263">
        <v>0</v>
      </c>
      <c r="AN89" s="263">
        <v>0</v>
      </c>
      <c r="AO89" s="263">
        <v>0</v>
      </c>
      <c r="AP89" s="263">
        <v>0</v>
      </c>
      <c r="AQ89" s="263">
        <v>0</v>
      </c>
      <c r="AR89" s="263">
        <v>0</v>
      </c>
      <c r="AS89" s="263">
        <v>0</v>
      </c>
      <c r="AT89" s="263">
        <v>0</v>
      </c>
      <c r="AU89" s="263">
        <v>0</v>
      </c>
      <c r="AV89" s="263">
        <v>0</v>
      </c>
      <c r="AW89" s="263"/>
      <c r="AX89" s="263"/>
      <c r="AY89" s="264">
        <f t="shared" si="7"/>
        <v>661.39250000000004</v>
      </c>
      <c r="AZ89" s="236">
        <f t="shared" si="8"/>
        <v>0</v>
      </c>
      <c r="BA89" s="265">
        <f t="shared" si="10"/>
        <v>0</v>
      </c>
      <c r="BB89" s="264">
        <f t="shared" si="11"/>
        <v>661.39250000000004</v>
      </c>
      <c r="BD89" s="257" t="b">
        <f t="shared" si="12"/>
        <v>1</v>
      </c>
    </row>
    <row r="90" spans="2:57" s="257" customFormat="1" x14ac:dyDescent="0.25">
      <c r="B90" s="250" t="s">
        <v>720</v>
      </c>
      <c r="C90" s="250">
        <v>43</v>
      </c>
      <c r="D90" s="250" t="s">
        <v>538</v>
      </c>
      <c r="E90" s="250" t="s">
        <v>953</v>
      </c>
      <c r="F90" s="250" t="s">
        <v>954</v>
      </c>
      <c r="G90" s="250" t="s">
        <v>955</v>
      </c>
      <c r="H90" s="250" t="s">
        <v>956</v>
      </c>
      <c r="I90" s="250" t="s">
        <v>726</v>
      </c>
      <c r="J90" s="251">
        <v>186392</v>
      </c>
      <c r="K90" s="251">
        <v>164720</v>
      </c>
      <c r="L90" s="251"/>
      <c r="M90" s="251"/>
      <c r="N90" s="252"/>
      <c r="O90" s="252">
        <v>3.4460000000000002</v>
      </c>
      <c r="P90" s="252"/>
      <c r="Q90" s="252" t="s">
        <v>727</v>
      </c>
      <c r="R90" s="253">
        <v>8680</v>
      </c>
      <c r="S90" s="253">
        <v>8680</v>
      </c>
      <c r="T90" s="254">
        <f t="shared" si="9"/>
        <v>17360</v>
      </c>
      <c r="U90" s="254">
        <v>17360</v>
      </c>
      <c r="V90" s="254">
        <v>15080</v>
      </c>
      <c r="W90" s="254">
        <v>8240</v>
      </c>
      <c r="X90" s="254">
        <v>8240</v>
      </c>
      <c r="Y90" s="254">
        <v>8240</v>
      </c>
      <c r="Z90" s="254">
        <v>8240</v>
      </c>
      <c r="AA90" s="254">
        <v>8240</v>
      </c>
      <c r="AB90" s="254">
        <v>8240</v>
      </c>
      <c r="AC90" s="254">
        <v>8240</v>
      </c>
      <c r="AD90" s="254">
        <v>8240</v>
      </c>
      <c r="AE90" s="254">
        <v>8240</v>
      </c>
      <c r="AF90" s="254">
        <v>8240</v>
      </c>
      <c r="AG90" s="254">
        <v>8240</v>
      </c>
      <c r="AH90" s="254">
        <v>8240</v>
      </c>
      <c r="AI90" s="254">
        <v>8240</v>
      </c>
      <c r="AJ90" s="254">
        <v>8240</v>
      </c>
      <c r="AK90" s="254">
        <v>8240</v>
      </c>
      <c r="AL90" s="254">
        <v>0</v>
      </c>
      <c r="AM90" s="254">
        <v>0</v>
      </c>
      <c r="AN90" s="254">
        <v>0</v>
      </c>
      <c r="AO90" s="254">
        <v>0</v>
      </c>
      <c r="AP90" s="254">
        <v>0</v>
      </c>
      <c r="AQ90" s="254">
        <v>0</v>
      </c>
      <c r="AR90" s="254">
        <v>0</v>
      </c>
      <c r="AS90" s="254">
        <v>0</v>
      </c>
      <c r="AT90" s="254">
        <v>0</v>
      </c>
      <c r="AU90" s="254">
        <v>0</v>
      </c>
      <c r="AV90" s="254">
        <v>0</v>
      </c>
      <c r="AW90" s="254"/>
      <c r="AX90" s="254"/>
      <c r="AY90" s="255">
        <f t="shared" si="7"/>
        <v>173400</v>
      </c>
      <c r="AZ90" s="236">
        <f t="shared" si="8"/>
        <v>0</v>
      </c>
      <c r="BA90" s="256">
        <f t="shared" si="10"/>
        <v>90640</v>
      </c>
      <c r="BB90" s="255">
        <f t="shared" si="11"/>
        <v>173400</v>
      </c>
      <c r="BD90" s="257" t="b">
        <f t="shared" si="12"/>
        <v>1</v>
      </c>
      <c r="BE90" s="258">
        <f>BB90-K90-R90</f>
        <v>0</v>
      </c>
    </row>
    <row r="91" spans="2:57" x14ac:dyDescent="0.25">
      <c r="B91" s="259" t="s">
        <v>720</v>
      </c>
      <c r="C91" s="259"/>
      <c r="D91" s="259"/>
      <c r="E91" s="259"/>
      <c r="F91" s="259"/>
      <c r="G91" s="259"/>
      <c r="H91" s="259"/>
      <c r="I91" s="259"/>
      <c r="J91" s="260"/>
      <c r="K91" s="260"/>
      <c r="L91" s="260" t="s">
        <v>957</v>
      </c>
      <c r="M91" s="260"/>
      <c r="N91" s="261">
        <f>SUM(O91:P91)</f>
        <v>4.5999999999999996</v>
      </c>
      <c r="O91" s="267">
        <v>4.5999999999999996</v>
      </c>
      <c r="P91" s="261">
        <f>$P$4</f>
        <v>0</v>
      </c>
      <c r="Q91" s="261" t="s">
        <v>729</v>
      </c>
      <c r="R91" s="262">
        <v>3538.87</v>
      </c>
      <c r="S91" s="262">
        <v>1446.03</v>
      </c>
      <c r="T91" s="263">
        <f t="shared" si="9"/>
        <v>4984.8999999999996</v>
      </c>
      <c r="U91" s="263">
        <f>SUM(U90:$AV90)*$N91/100</f>
        <v>7177.84</v>
      </c>
      <c r="V91" s="263">
        <f>SUM(V90:$AV90)*$N91/100</f>
        <v>6379.28</v>
      </c>
      <c r="W91" s="263">
        <f>SUM(W90:$AV90)*$N91/100</f>
        <v>5685.6</v>
      </c>
      <c r="X91" s="263">
        <f>SUM(X90:$AV90)*$N91/100</f>
        <v>5306.56</v>
      </c>
      <c r="Y91" s="263">
        <f>SUM(Y90:$AV90)*$N91/100</f>
        <v>4927.5199999999995</v>
      </c>
      <c r="Z91" s="263">
        <f>SUM(Z90:$AV90)*$N91/100</f>
        <v>4548.4799999999996</v>
      </c>
      <c r="AA91" s="263">
        <f>SUM(AA90:$AV90)*$N91/100</f>
        <v>4169.4399999999996</v>
      </c>
      <c r="AB91" s="263">
        <f>SUM(AB90:$AV90)*$N91/100</f>
        <v>3790.3999999999996</v>
      </c>
      <c r="AC91" s="263">
        <f>SUM(AC90:$AV90)*$N91/100</f>
        <v>3411.36</v>
      </c>
      <c r="AD91" s="263">
        <f>SUM(AD90:$AV90)*$N91/100</f>
        <v>3032.32</v>
      </c>
      <c r="AE91" s="263">
        <f>SUM(AE90:$AV90)*$N91/100</f>
        <v>2653.28</v>
      </c>
      <c r="AF91" s="263">
        <f>SUM(AF90:$AV90)*$N91/100</f>
        <v>2274.2399999999998</v>
      </c>
      <c r="AG91" s="263">
        <f>SUM(AG90:$AV90)*$N91/100</f>
        <v>1895.1999999999998</v>
      </c>
      <c r="AH91" s="263">
        <f>SUM(AH90:$AV90)*$N91/100</f>
        <v>1516.16</v>
      </c>
      <c r="AI91" s="263">
        <f>SUM(AI90:$AV90)*$N91/100</f>
        <v>1137.1199999999999</v>
      </c>
      <c r="AJ91" s="263">
        <f>SUM(AJ90:$AV90)*$N91/100</f>
        <v>758.08</v>
      </c>
      <c r="AK91" s="263">
        <f>SUM(AK90:$AV90)*$N91/100</f>
        <v>379.04</v>
      </c>
      <c r="AL91" s="263">
        <v>0</v>
      </c>
      <c r="AM91" s="263">
        <v>0</v>
      </c>
      <c r="AN91" s="263">
        <v>0</v>
      </c>
      <c r="AO91" s="263">
        <v>0</v>
      </c>
      <c r="AP91" s="263">
        <v>0</v>
      </c>
      <c r="AQ91" s="263">
        <v>0</v>
      </c>
      <c r="AR91" s="263">
        <v>0</v>
      </c>
      <c r="AS91" s="263">
        <v>0</v>
      </c>
      <c r="AT91" s="263">
        <v>0</v>
      </c>
      <c r="AU91" s="263">
        <v>0</v>
      </c>
      <c r="AV91" s="263">
        <v>0</v>
      </c>
      <c r="AW91" s="263"/>
      <c r="AX91" s="263"/>
      <c r="AY91" s="264">
        <f t="shared" si="7"/>
        <v>64026.820000000014</v>
      </c>
      <c r="AZ91" s="236">
        <f t="shared" si="8"/>
        <v>0</v>
      </c>
      <c r="BA91" s="265">
        <f t="shared" si="10"/>
        <v>25016.640000000003</v>
      </c>
      <c r="BB91" s="264">
        <f t="shared" si="11"/>
        <v>64026.820000000007</v>
      </c>
      <c r="BD91" s="257" t="b">
        <f t="shared" si="12"/>
        <v>1</v>
      </c>
    </row>
    <row r="92" spans="2:57" s="257" customFormat="1" x14ac:dyDescent="0.25">
      <c r="B92" s="250" t="s">
        <v>720</v>
      </c>
      <c r="C92" s="250">
        <v>44</v>
      </c>
      <c r="D92" s="250" t="s">
        <v>958</v>
      </c>
      <c r="E92" s="250" t="s">
        <v>959</v>
      </c>
      <c r="F92" s="250" t="s">
        <v>960</v>
      </c>
      <c r="G92" s="250" t="s">
        <v>955</v>
      </c>
      <c r="H92" s="250" t="s">
        <v>961</v>
      </c>
      <c r="I92" s="250" t="s">
        <v>726</v>
      </c>
      <c r="J92" s="251">
        <v>697002</v>
      </c>
      <c r="K92" s="251">
        <v>623662</v>
      </c>
      <c r="L92" s="251"/>
      <c r="M92" s="251"/>
      <c r="N92" s="252"/>
      <c r="O92" s="252">
        <v>3.302</v>
      </c>
      <c r="P92" s="252"/>
      <c r="Q92" s="252" t="s">
        <v>727</v>
      </c>
      <c r="R92" s="253">
        <v>36686</v>
      </c>
      <c r="S92" s="253">
        <v>36686</v>
      </c>
      <c r="T92" s="254">
        <f t="shared" si="9"/>
        <v>73372</v>
      </c>
      <c r="U92" s="254">
        <v>73372</v>
      </c>
      <c r="V92" s="254">
        <v>73372</v>
      </c>
      <c r="W92" s="254">
        <v>73372</v>
      </c>
      <c r="X92" s="254">
        <v>73372</v>
      </c>
      <c r="Y92" s="254">
        <v>73372</v>
      </c>
      <c r="Z92" s="254">
        <v>73372</v>
      </c>
      <c r="AA92" s="254">
        <v>73372</v>
      </c>
      <c r="AB92" s="254">
        <v>73372</v>
      </c>
      <c r="AC92" s="254">
        <v>0</v>
      </c>
      <c r="AD92" s="254">
        <v>0</v>
      </c>
      <c r="AE92" s="254">
        <v>0</v>
      </c>
      <c r="AF92" s="254">
        <v>0</v>
      </c>
      <c r="AG92" s="254">
        <v>0</v>
      </c>
      <c r="AH92" s="254">
        <v>0</v>
      </c>
      <c r="AI92" s="254">
        <v>0</v>
      </c>
      <c r="AJ92" s="254">
        <v>0</v>
      </c>
      <c r="AK92" s="254">
        <v>0</v>
      </c>
      <c r="AL92" s="254">
        <v>0</v>
      </c>
      <c r="AM92" s="254">
        <v>0</v>
      </c>
      <c r="AN92" s="254">
        <v>0</v>
      </c>
      <c r="AO92" s="254">
        <v>0</v>
      </c>
      <c r="AP92" s="254">
        <v>0</v>
      </c>
      <c r="AQ92" s="254">
        <v>0</v>
      </c>
      <c r="AR92" s="254">
        <v>0</v>
      </c>
      <c r="AS92" s="254">
        <v>0</v>
      </c>
      <c r="AT92" s="254">
        <v>0</v>
      </c>
      <c r="AU92" s="254">
        <v>0</v>
      </c>
      <c r="AV92" s="254">
        <v>0</v>
      </c>
      <c r="AW92" s="254"/>
      <c r="AX92" s="254"/>
      <c r="AY92" s="255">
        <f t="shared" si="7"/>
        <v>660348</v>
      </c>
      <c r="AZ92" s="236">
        <f t="shared" si="8"/>
        <v>0</v>
      </c>
      <c r="BA92" s="256">
        <f t="shared" si="10"/>
        <v>146744</v>
      </c>
      <c r="BB92" s="255">
        <f t="shared" si="11"/>
        <v>660348</v>
      </c>
      <c r="BD92" s="257" t="b">
        <f t="shared" si="12"/>
        <v>1</v>
      </c>
      <c r="BE92" s="258">
        <f>BB92-K92-R92</f>
        <v>0</v>
      </c>
    </row>
    <row r="93" spans="2:57" x14ac:dyDescent="0.25">
      <c r="B93" s="259" t="s">
        <v>720</v>
      </c>
      <c r="C93" s="259"/>
      <c r="D93" s="259"/>
      <c r="E93" s="259"/>
      <c r="F93" s="259"/>
      <c r="G93" s="259"/>
      <c r="H93" s="259"/>
      <c r="I93" s="259"/>
      <c r="J93" s="260"/>
      <c r="K93" s="260"/>
      <c r="L93" s="260" t="s">
        <v>957</v>
      </c>
      <c r="M93" s="260"/>
      <c r="N93" s="261">
        <f>SUM(O93:P93)</f>
        <v>4.4000000000000004</v>
      </c>
      <c r="O93" s="267">
        <v>4.4000000000000004</v>
      </c>
      <c r="P93" s="261">
        <f>$P$4</f>
        <v>0</v>
      </c>
      <c r="Q93" s="261" t="s">
        <v>729</v>
      </c>
      <c r="R93" s="262">
        <v>12683.64</v>
      </c>
      <c r="S93" s="262">
        <v>5244.23</v>
      </c>
      <c r="T93" s="263">
        <f t="shared" si="9"/>
        <v>17927.87</v>
      </c>
      <c r="U93" s="263">
        <f>SUM(U92:$AV92)*$N93/100</f>
        <v>25826.944000000003</v>
      </c>
      <c r="V93" s="263">
        <f>SUM(V92:$AV92)*$N93/100</f>
        <v>22598.576000000001</v>
      </c>
      <c r="W93" s="263">
        <f>SUM(W92:$AV92)*$N93/100</f>
        <v>19370.207999999999</v>
      </c>
      <c r="X93" s="263">
        <f>SUM(X92:$AV92)*$N93/100</f>
        <v>16141.840000000002</v>
      </c>
      <c r="Y93" s="263">
        <f>SUM(Y92:$AV92)*$N93/100</f>
        <v>12913.472000000002</v>
      </c>
      <c r="Z93" s="263">
        <f>SUM(Z92:$AV92)*$N93/100</f>
        <v>9685.1039999999994</v>
      </c>
      <c r="AA93" s="263">
        <f>SUM(AA92:$AV92)*$N93/100</f>
        <v>6456.7360000000008</v>
      </c>
      <c r="AB93" s="263">
        <f>SUM(AB92:$AV92)*$N93/100</f>
        <v>3228.3680000000004</v>
      </c>
      <c r="AC93" s="263">
        <v>0</v>
      </c>
      <c r="AD93" s="263">
        <v>0</v>
      </c>
      <c r="AE93" s="263">
        <v>0</v>
      </c>
      <c r="AF93" s="263">
        <v>0</v>
      </c>
      <c r="AG93" s="263">
        <v>0</v>
      </c>
      <c r="AH93" s="263">
        <v>0</v>
      </c>
      <c r="AI93" s="263">
        <v>0</v>
      </c>
      <c r="AJ93" s="263">
        <v>0</v>
      </c>
      <c r="AK93" s="263">
        <v>0</v>
      </c>
      <c r="AL93" s="263">
        <v>0</v>
      </c>
      <c r="AM93" s="263">
        <v>0</v>
      </c>
      <c r="AN93" s="263">
        <v>0</v>
      </c>
      <c r="AO93" s="263">
        <v>0</v>
      </c>
      <c r="AP93" s="263">
        <v>0</v>
      </c>
      <c r="AQ93" s="263">
        <v>0</v>
      </c>
      <c r="AR93" s="263">
        <v>0</v>
      </c>
      <c r="AS93" s="263">
        <v>0</v>
      </c>
      <c r="AT93" s="263">
        <v>0</v>
      </c>
      <c r="AU93" s="263">
        <v>0</v>
      </c>
      <c r="AV93" s="263">
        <v>0</v>
      </c>
      <c r="AW93" s="263"/>
      <c r="AX93" s="263"/>
      <c r="AY93" s="264">
        <f t="shared" si="7"/>
        <v>134149.11799999999</v>
      </c>
      <c r="AZ93" s="236">
        <f t="shared" si="8"/>
        <v>0</v>
      </c>
      <c r="BA93" s="265">
        <f t="shared" si="10"/>
        <v>9685.1040000000012</v>
      </c>
      <c r="BB93" s="264">
        <f t="shared" si="11"/>
        <v>134149.11799999999</v>
      </c>
      <c r="BD93" s="257" t="b">
        <f t="shared" si="12"/>
        <v>1</v>
      </c>
    </row>
    <row r="94" spans="2:57" s="257" customFormat="1" x14ac:dyDescent="0.25">
      <c r="B94" s="250" t="s">
        <v>720</v>
      </c>
      <c r="C94" s="250">
        <v>45</v>
      </c>
      <c r="D94" s="250" t="s">
        <v>962</v>
      </c>
      <c r="E94" s="250" t="s">
        <v>963</v>
      </c>
      <c r="F94" s="250" t="s">
        <v>964</v>
      </c>
      <c r="G94" s="250" t="s">
        <v>955</v>
      </c>
      <c r="H94" s="250" t="s">
        <v>961</v>
      </c>
      <c r="I94" s="250" t="s">
        <v>726</v>
      </c>
      <c r="J94" s="251">
        <v>559121.98</v>
      </c>
      <c r="K94" s="251">
        <v>471865.86</v>
      </c>
      <c r="L94" s="251"/>
      <c r="M94" s="251"/>
      <c r="N94" s="252"/>
      <c r="O94" s="252">
        <v>3.302</v>
      </c>
      <c r="P94" s="252"/>
      <c r="Q94" s="252" t="s">
        <v>727</v>
      </c>
      <c r="R94" s="253">
        <v>29058</v>
      </c>
      <c r="S94" s="253">
        <v>29058</v>
      </c>
      <c r="T94" s="254">
        <f t="shared" si="9"/>
        <v>58116</v>
      </c>
      <c r="U94" s="254">
        <v>58116</v>
      </c>
      <c r="V94" s="254">
        <v>58116</v>
      </c>
      <c r="W94" s="254">
        <v>58116</v>
      </c>
      <c r="X94" s="254">
        <v>58116</v>
      </c>
      <c r="Y94" s="254">
        <v>58116</v>
      </c>
      <c r="Z94" s="254">
        <v>58116</v>
      </c>
      <c r="AA94" s="254">
        <v>58116</v>
      </c>
      <c r="AB94" s="254">
        <v>35995.86</v>
      </c>
      <c r="AC94" s="254">
        <v>0</v>
      </c>
      <c r="AD94" s="254">
        <v>0</v>
      </c>
      <c r="AE94" s="254">
        <v>0</v>
      </c>
      <c r="AF94" s="254">
        <v>0</v>
      </c>
      <c r="AG94" s="254">
        <v>0</v>
      </c>
      <c r="AH94" s="254">
        <v>0</v>
      </c>
      <c r="AI94" s="254">
        <v>0</v>
      </c>
      <c r="AJ94" s="254">
        <v>0</v>
      </c>
      <c r="AK94" s="254">
        <v>0</v>
      </c>
      <c r="AL94" s="254">
        <v>0</v>
      </c>
      <c r="AM94" s="254">
        <v>0</v>
      </c>
      <c r="AN94" s="254">
        <v>0</v>
      </c>
      <c r="AO94" s="254">
        <v>0</v>
      </c>
      <c r="AP94" s="254">
        <v>0</v>
      </c>
      <c r="AQ94" s="254">
        <v>0</v>
      </c>
      <c r="AR94" s="254">
        <v>0</v>
      </c>
      <c r="AS94" s="254">
        <v>0</v>
      </c>
      <c r="AT94" s="254">
        <v>0</v>
      </c>
      <c r="AU94" s="254">
        <v>0</v>
      </c>
      <c r="AV94" s="254">
        <v>0</v>
      </c>
      <c r="AW94" s="254"/>
      <c r="AX94" s="254"/>
      <c r="AY94" s="255">
        <f t="shared" si="7"/>
        <v>500923.86</v>
      </c>
      <c r="AZ94" s="236">
        <f t="shared" si="8"/>
        <v>0</v>
      </c>
      <c r="BA94" s="256">
        <f t="shared" si="10"/>
        <v>94111.86</v>
      </c>
      <c r="BB94" s="255">
        <f t="shared" si="11"/>
        <v>500923.86</v>
      </c>
      <c r="BD94" s="257" t="b">
        <f t="shared" si="12"/>
        <v>1</v>
      </c>
      <c r="BE94" s="258">
        <f>BB94-K94-R94</f>
        <v>0</v>
      </c>
    </row>
    <row r="95" spans="2:57" x14ac:dyDescent="0.25">
      <c r="B95" s="259" t="s">
        <v>720</v>
      </c>
      <c r="C95" s="259"/>
      <c r="D95" s="259"/>
      <c r="E95" s="259"/>
      <c r="F95" s="259"/>
      <c r="G95" s="259"/>
      <c r="H95" s="259"/>
      <c r="I95" s="259"/>
      <c r="J95" s="260"/>
      <c r="K95" s="260"/>
      <c r="L95" s="260" t="s">
        <v>957</v>
      </c>
      <c r="M95" s="260"/>
      <c r="N95" s="261">
        <f>SUM(O95:P95)</f>
        <v>4.4000000000000004</v>
      </c>
      <c r="O95" s="267">
        <v>4.4000000000000004</v>
      </c>
      <c r="P95" s="261">
        <f>$P$4</f>
        <v>0</v>
      </c>
      <c r="Q95" s="261" t="s">
        <v>729</v>
      </c>
      <c r="R95" s="262">
        <v>9717.24</v>
      </c>
      <c r="S95" s="262">
        <v>3967.16</v>
      </c>
      <c r="T95" s="263">
        <f t="shared" si="9"/>
        <v>13684.4</v>
      </c>
      <c r="U95" s="263">
        <f>SUM(U94:$AV94)*$N95/100</f>
        <v>19483.545839999999</v>
      </c>
      <c r="V95" s="263">
        <f>SUM(V94:$AV94)*$N95/100</f>
        <v>16926.44184</v>
      </c>
      <c r="W95" s="263">
        <f>SUM(W94:$AV94)*$N95/100</f>
        <v>14369.33784</v>
      </c>
      <c r="X95" s="263">
        <f>SUM(X94:$AV94)*$N95/100</f>
        <v>11812.233840000001</v>
      </c>
      <c r="Y95" s="263">
        <f>SUM(Y94:$AV94)*$N95/100</f>
        <v>9255.1298400000014</v>
      </c>
      <c r="Z95" s="263">
        <f>SUM(Z94:$AV94)*$N95/100</f>
        <v>6698.0258400000002</v>
      </c>
      <c r="AA95" s="263">
        <f>SUM(AA94:$AV94)*$N95/100</f>
        <v>4140.92184</v>
      </c>
      <c r="AB95" s="263">
        <f>SUM(AB94:$AV94)*$N95/100</f>
        <v>1583.8178400000002</v>
      </c>
      <c r="AC95" s="263">
        <v>0</v>
      </c>
      <c r="AD95" s="263">
        <v>0</v>
      </c>
      <c r="AE95" s="263">
        <v>0</v>
      </c>
      <c r="AF95" s="263">
        <v>0</v>
      </c>
      <c r="AG95" s="263">
        <v>0</v>
      </c>
      <c r="AH95" s="263">
        <v>0</v>
      </c>
      <c r="AI95" s="263">
        <v>0</v>
      </c>
      <c r="AJ95" s="263">
        <v>0</v>
      </c>
      <c r="AK95" s="263">
        <v>0</v>
      </c>
      <c r="AL95" s="263">
        <v>0</v>
      </c>
      <c r="AM95" s="263">
        <v>0</v>
      </c>
      <c r="AN95" s="263">
        <v>0</v>
      </c>
      <c r="AO95" s="263">
        <v>0</v>
      </c>
      <c r="AP95" s="263">
        <v>0</v>
      </c>
      <c r="AQ95" s="263">
        <v>0</v>
      </c>
      <c r="AR95" s="263">
        <v>0</v>
      </c>
      <c r="AS95" s="263">
        <v>0</v>
      </c>
      <c r="AT95" s="263">
        <v>0</v>
      </c>
      <c r="AU95" s="263">
        <v>0</v>
      </c>
      <c r="AV95" s="263">
        <v>0</v>
      </c>
      <c r="AW95" s="263"/>
      <c r="AX95" s="263"/>
      <c r="AY95" s="264">
        <f t="shared" si="7"/>
        <v>97953.854720000018</v>
      </c>
      <c r="AZ95" s="236">
        <f t="shared" si="8"/>
        <v>0</v>
      </c>
      <c r="BA95" s="265">
        <f t="shared" si="10"/>
        <v>5724.7396800000006</v>
      </c>
      <c r="BB95" s="264">
        <f t="shared" si="11"/>
        <v>97953.854720000018</v>
      </c>
      <c r="BD95" s="257" t="b">
        <f t="shared" si="12"/>
        <v>1</v>
      </c>
    </row>
    <row r="96" spans="2:57" s="257" customFormat="1" x14ac:dyDescent="0.25">
      <c r="B96" s="250" t="s">
        <v>766</v>
      </c>
      <c r="C96" s="250">
        <v>46</v>
      </c>
      <c r="D96" s="250" t="s">
        <v>965</v>
      </c>
      <c r="E96" s="250" t="s">
        <v>966</v>
      </c>
      <c r="F96" s="250" t="s">
        <v>967</v>
      </c>
      <c r="G96" s="250" t="s">
        <v>968</v>
      </c>
      <c r="H96" s="250" t="s">
        <v>969</v>
      </c>
      <c r="I96" s="250" t="s">
        <v>726</v>
      </c>
      <c r="J96" s="251">
        <v>247902</v>
      </c>
      <c r="K96" s="251">
        <v>216916</v>
      </c>
      <c r="L96" s="251"/>
      <c r="M96" s="251"/>
      <c r="N96" s="252"/>
      <c r="O96" s="252">
        <v>3.6269999999999998</v>
      </c>
      <c r="P96" s="252"/>
      <c r="Q96" s="252" t="s">
        <v>727</v>
      </c>
      <c r="R96" s="253">
        <v>30988</v>
      </c>
      <c r="S96" s="253">
        <v>30988</v>
      </c>
      <c r="T96" s="254">
        <f t="shared" si="9"/>
        <v>61976</v>
      </c>
      <c r="U96" s="254">
        <v>61976</v>
      </c>
      <c r="V96" s="254">
        <v>61976</v>
      </c>
      <c r="W96" s="254">
        <v>61976</v>
      </c>
      <c r="X96" s="254">
        <v>0</v>
      </c>
      <c r="Y96" s="254">
        <v>0</v>
      </c>
      <c r="Z96" s="254">
        <v>0</v>
      </c>
      <c r="AA96" s="254">
        <v>0</v>
      </c>
      <c r="AB96" s="254">
        <v>0</v>
      </c>
      <c r="AC96" s="254">
        <v>0</v>
      </c>
      <c r="AD96" s="254">
        <v>0</v>
      </c>
      <c r="AE96" s="254">
        <v>0</v>
      </c>
      <c r="AF96" s="254">
        <v>0</v>
      </c>
      <c r="AG96" s="254">
        <v>0</v>
      </c>
      <c r="AH96" s="254">
        <v>0</v>
      </c>
      <c r="AI96" s="254">
        <v>0</v>
      </c>
      <c r="AJ96" s="254">
        <v>0</v>
      </c>
      <c r="AK96" s="254">
        <v>0</v>
      </c>
      <c r="AL96" s="254">
        <v>0</v>
      </c>
      <c r="AM96" s="254">
        <v>0</v>
      </c>
      <c r="AN96" s="254">
        <v>0</v>
      </c>
      <c r="AO96" s="254">
        <v>0</v>
      </c>
      <c r="AP96" s="254">
        <v>0</v>
      </c>
      <c r="AQ96" s="254">
        <v>0</v>
      </c>
      <c r="AR96" s="254">
        <v>0</v>
      </c>
      <c r="AS96" s="254">
        <v>0</v>
      </c>
      <c r="AT96" s="254">
        <v>0</v>
      </c>
      <c r="AU96" s="254">
        <v>0</v>
      </c>
      <c r="AV96" s="254">
        <v>0</v>
      </c>
      <c r="AW96" s="254"/>
      <c r="AX96" s="254"/>
      <c r="AY96" s="255">
        <f t="shared" si="7"/>
        <v>247904</v>
      </c>
      <c r="AZ96" s="236">
        <f t="shared" si="8"/>
        <v>0</v>
      </c>
      <c r="BA96" s="256">
        <f t="shared" si="10"/>
        <v>0</v>
      </c>
      <c r="BB96" s="255">
        <f t="shared" si="11"/>
        <v>247904</v>
      </c>
      <c r="BD96" s="257" t="b">
        <f t="shared" si="12"/>
        <v>1</v>
      </c>
      <c r="BE96" s="258">
        <f>BB96-K96-R96</f>
        <v>0</v>
      </c>
    </row>
    <row r="97" spans="2:57" x14ac:dyDescent="0.25">
      <c r="B97" s="259" t="s">
        <v>766</v>
      </c>
      <c r="C97" s="259"/>
      <c r="D97" s="259"/>
      <c r="E97" s="259"/>
      <c r="F97" s="259"/>
      <c r="G97" s="259"/>
      <c r="H97" s="259"/>
      <c r="I97" s="259"/>
      <c r="J97" s="260"/>
      <c r="K97" s="260"/>
      <c r="L97" s="260" t="s">
        <v>970</v>
      </c>
      <c r="M97" s="260"/>
      <c r="N97" s="261">
        <f>SUM(O97:P97)</f>
        <v>4.0999999999999996</v>
      </c>
      <c r="O97" s="267">
        <v>4.0999999999999996</v>
      </c>
      <c r="P97" s="261">
        <f>$P$4</f>
        <v>0</v>
      </c>
      <c r="Q97" s="261" t="s">
        <v>729</v>
      </c>
      <c r="R97" s="262">
        <v>4671.8600000000006</v>
      </c>
      <c r="S97" s="262">
        <v>1993.43</v>
      </c>
      <c r="T97" s="263">
        <f t="shared" si="9"/>
        <v>6665.2900000000009</v>
      </c>
      <c r="U97" s="263">
        <f>SUM(U96:$AV96)*$N97/100</f>
        <v>7623.0479999999989</v>
      </c>
      <c r="V97" s="263">
        <v>5336.22</v>
      </c>
      <c r="W97" s="263">
        <v>2449.1499999999996</v>
      </c>
      <c r="X97" s="263">
        <v>160.5</v>
      </c>
      <c r="Y97" s="263">
        <v>0</v>
      </c>
      <c r="Z97" s="263">
        <v>0</v>
      </c>
      <c r="AA97" s="263">
        <v>0</v>
      </c>
      <c r="AB97" s="263">
        <v>0</v>
      </c>
      <c r="AC97" s="263">
        <v>0</v>
      </c>
      <c r="AD97" s="263">
        <v>0</v>
      </c>
      <c r="AE97" s="263">
        <v>0</v>
      </c>
      <c r="AF97" s="263">
        <v>0</v>
      </c>
      <c r="AG97" s="263">
        <v>0</v>
      </c>
      <c r="AH97" s="263">
        <v>0</v>
      </c>
      <c r="AI97" s="263">
        <v>0</v>
      </c>
      <c r="AJ97" s="263">
        <v>0</v>
      </c>
      <c r="AK97" s="263">
        <v>0</v>
      </c>
      <c r="AL97" s="263">
        <v>0</v>
      </c>
      <c r="AM97" s="263">
        <v>0</v>
      </c>
      <c r="AN97" s="263">
        <v>0</v>
      </c>
      <c r="AO97" s="263">
        <v>0</v>
      </c>
      <c r="AP97" s="263">
        <v>0</v>
      </c>
      <c r="AQ97" s="263">
        <v>0</v>
      </c>
      <c r="AR97" s="263">
        <v>0</v>
      </c>
      <c r="AS97" s="263">
        <v>0</v>
      </c>
      <c r="AT97" s="263">
        <v>0</v>
      </c>
      <c r="AU97" s="263">
        <v>0</v>
      </c>
      <c r="AV97" s="263">
        <v>0</v>
      </c>
      <c r="AW97" s="263"/>
      <c r="AX97" s="263"/>
      <c r="AY97" s="264">
        <f t="shared" si="7"/>
        <v>22234.207999999999</v>
      </c>
      <c r="AZ97" s="236">
        <f t="shared" si="8"/>
        <v>0</v>
      </c>
      <c r="BA97" s="265">
        <f t="shared" si="10"/>
        <v>0</v>
      </c>
      <c r="BB97" s="264">
        <f t="shared" si="11"/>
        <v>22234.207999999999</v>
      </c>
      <c r="BD97" s="257" t="b">
        <f t="shared" si="12"/>
        <v>1</v>
      </c>
    </row>
    <row r="98" spans="2:57" s="257" customFormat="1" x14ac:dyDescent="0.25">
      <c r="B98" s="250" t="s">
        <v>766</v>
      </c>
      <c r="C98" s="250">
        <v>47</v>
      </c>
      <c r="D98" s="250" t="s">
        <v>971</v>
      </c>
      <c r="E98" s="250" t="s">
        <v>972</v>
      </c>
      <c r="F98" s="250" t="s">
        <v>973</v>
      </c>
      <c r="G98" s="250" t="s">
        <v>974</v>
      </c>
      <c r="H98" s="250" t="s">
        <v>975</v>
      </c>
      <c r="I98" s="250" t="s">
        <v>726</v>
      </c>
      <c r="J98" s="251">
        <v>178121</v>
      </c>
      <c r="K98" s="251">
        <v>99533.52</v>
      </c>
      <c r="L98" s="251"/>
      <c r="M98" s="251"/>
      <c r="N98" s="252"/>
      <c r="O98" s="252"/>
      <c r="P98" s="252"/>
      <c r="Q98" s="252" t="s">
        <v>727</v>
      </c>
      <c r="R98" s="253">
        <f>6250+72338</f>
        <v>78588</v>
      </c>
      <c r="S98" s="253">
        <v>6250</v>
      </c>
      <c r="T98" s="254">
        <f t="shared" si="9"/>
        <v>84838</v>
      </c>
      <c r="U98" s="254">
        <v>12500</v>
      </c>
      <c r="V98" s="254">
        <v>12500</v>
      </c>
      <c r="W98" s="254">
        <v>12500</v>
      </c>
      <c r="X98" s="254">
        <v>12500</v>
      </c>
      <c r="Y98" s="254">
        <v>12500</v>
      </c>
      <c r="Z98" s="254">
        <v>12500</v>
      </c>
      <c r="AA98" s="254">
        <v>12500</v>
      </c>
      <c r="AB98" s="254">
        <v>5783.52</v>
      </c>
      <c r="AC98" s="254">
        <v>0</v>
      </c>
      <c r="AD98" s="254">
        <v>0</v>
      </c>
      <c r="AE98" s="254">
        <v>0</v>
      </c>
      <c r="AF98" s="254">
        <v>0</v>
      </c>
      <c r="AG98" s="254">
        <v>0</v>
      </c>
      <c r="AH98" s="254">
        <v>0</v>
      </c>
      <c r="AI98" s="254">
        <v>0</v>
      </c>
      <c r="AJ98" s="254">
        <v>0</v>
      </c>
      <c r="AK98" s="254">
        <v>0</v>
      </c>
      <c r="AL98" s="254">
        <v>0</v>
      </c>
      <c r="AM98" s="254">
        <v>0</v>
      </c>
      <c r="AN98" s="254">
        <v>0</v>
      </c>
      <c r="AO98" s="254">
        <v>0</v>
      </c>
      <c r="AP98" s="254">
        <v>0</v>
      </c>
      <c r="AQ98" s="254">
        <v>0</v>
      </c>
      <c r="AR98" s="254">
        <v>0</v>
      </c>
      <c r="AS98" s="254">
        <v>0</v>
      </c>
      <c r="AT98" s="254">
        <v>0</v>
      </c>
      <c r="AU98" s="254">
        <v>0</v>
      </c>
      <c r="AV98" s="254">
        <v>0</v>
      </c>
      <c r="AW98" s="254"/>
      <c r="AX98" s="254"/>
      <c r="AY98" s="255">
        <f t="shared" si="7"/>
        <v>178121.52</v>
      </c>
      <c r="AZ98" s="236">
        <f t="shared" si="8"/>
        <v>0</v>
      </c>
      <c r="BA98" s="256">
        <f t="shared" si="10"/>
        <v>18283.52</v>
      </c>
      <c r="BB98" s="255">
        <f t="shared" si="11"/>
        <v>178121.52</v>
      </c>
      <c r="BD98" s="257" t="b">
        <f t="shared" si="12"/>
        <v>1</v>
      </c>
      <c r="BE98" s="258">
        <f>BB98-K98-R98</f>
        <v>0</v>
      </c>
    </row>
    <row r="99" spans="2:57" x14ac:dyDescent="0.25">
      <c r="B99" s="259" t="s">
        <v>766</v>
      </c>
      <c r="C99" s="259"/>
      <c r="D99" s="259"/>
      <c r="E99" s="259"/>
      <c r="F99" s="259"/>
      <c r="G99" s="259"/>
      <c r="H99" s="259"/>
      <c r="I99" s="259"/>
      <c r="J99" s="260"/>
      <c r="K99" s="260"/>
      <c r="L99" s="260" t="s">
        <v>976</v>
      </c>
      <c r="M99" s="260"/>
      <c r="N99" s="261">
        <f>SUM(O99:P99)</f>
        <v>3.9020000000000001</v>
      </c>
      <c r="O99" s="261">
        <v>3.9020000000000001</v>
      </c>
      <c r="P99" s="261">
        <f>$P$4</f>
        <v>0</v>
      </c>
      <c r="Q99" s="261" t="s">
        <v>729</v>
      </c>
      <c r="R99" s="262">
        <v>1807.31</v>
      </c>
      <c r="S99" s="262">
        <v>988.8</v>
      </c>
      <c r="T99" s="263">
        <f t="shared" si="9"/>
        <v>2796.1099999999997</v>
      </c>
      <c r="U99" s="263">
        <f>SUM(U98:$AV98)*$N99/100</f>
        <v>3639.9229504000004</v>
      </c>
      <c r="V99" s="263">
        <f>SUM(V98:$AV98)*$N99/100</f>
        <v>3152.1729504000004</v>
      </c>
      <c r="W99" s="263">
        <f>SUM(W98:$AV98)*$N99/100</f>
        <v>2664.4229504</v>
      </c>
      <c r="X99" s="263">
        <f>SUM(X98:$AV98)*$N99/100</f>
        <v>2176.6729504000004</v>
      </c>
      <c r="Y99" s="263">
        <f>SUM(Y98:$AV98)*$N99/100</f>
        <v>1688.9229504000002</v>
      </c>
      <c r="Z99" s="263">
        <f>SUM(Z98:$AV98)*$N99/100</f>
        <v>1201.1729504000002</v>
      </c>
      <c r="AA99" s="263">
        <f>SUM(AA98:$AV98)*$N99/100</f>
        <v>713.42295039999999</v>
      </c>
      <c r="AB99" s="263">
        <f>SUM(AB98:$AV98)*$N99/100</f>
        <v>225.67295040000002</v>
      </c>
      <c r="AC99" s="263">
        <v>0</v>
      </c>
      <c r="AD99" s="263">
        <v>0</v>
      </c>
      <c r="AE99" s="263">
        <v>0</v>
      </c>
      <c r="AF99" s="263">
        <v>0</v>
      </c>
      <c r="AG99" s="263">
        <v>0</v>
      </c>
      <c r="AH99" s="263">
        <v>0</v>
      </c>
      <c r="AI99" s="263">
        <v>0</v>
      </c>
      <c r="AJ99" s="263">
        <v>0</v>
      </c>
      <c r="AK99" s="263">
        <v>0</v>
      </c>
      <c r="AL99" s="263">
        <v>0</v>
      </c>
      <c r="AM99" s="263">
        <v>0</v>
      </c>
      <c r="AN99" s="263">
        <v>0</v>
      </c>
      <c r="AO99" s="263">
        <v>0</v>
      </c>
      <c r="AP99" s="263">
        <v>0</v>
      </c>
      <c r="AQ99" s="263">
        <v>0</v>
      </c>
      <c r="AR99" s="263">
        <v>0</v>
      </c>
      <c r="AS99" s="263">
        <v>0</v>
      </c>
      <c r="AT99" s="263">
        <v>0</v>
      </c>
      <c r="AU99" s="263">
        <v>0</v>
      </c>
      <c r="AV99" s="263">
        <v>0</v>
      </c>
      <c r="AW99" s="263"/>
      <c r="AX99" s="263"/>
      <c r="AY99" s="264">
        <f t="shared" si="7"/>
        <v>18258.493603199997</v>
      </c>
      <c r="AZ99" s="236">
        <f t="shared" si="8"/>
        <v>0</v>
      </c>
      <c r="BA99" s="265">
        <f t="shared" si="10"/>
        <v>939.09590079999998</v>
      </c>
      <c r="BB99" s="264">
        <f t="shared" si="11"/>
        <v>18258.493603199997</v>
      </c>
      <c r="BD99" s="257" t="b">
        <f t="shared" si="12"/>
        <v>1</v>
      </c>
    </row>
    <row r="100" spans="2:57" s="257" customFormat="1" x14ac:dyDescent="0.25">
      <c r="B100" s="250" t="s">
        <v>766</v>
      </c>
      <c r="C100" s="250">
        <v>48</v>
      </c>
      <c r="D100" s="250" t="s">
        <v>977</v>
      </c>
      <c r="E100" s="250" t="s">
        <v>978</v>
      </c>
      <c r="F100" s="250" t="s">
        <v>979</v>
      </c>
      <c r="G100" s="250" t="s">
        <v>974</v>
      </c>
      <c r="H100" s="250" t="s">
        <v>980</v>
      </c>
      <c r="I100" s="250" t="s">
        <v>726</v>
      </c>
      <c r="J100" s="251">
        <v>48155</v>
      </c>
      <c r="K100" s="251">
        <v>1701.58</v>
      </c>
      <c r="L100" s="251"/>
      <c r="M100" s="251"/>
      <c r="N100" s="252"/>
      <c r="O100" s="252"/>
      <c r="P100" s="252"/>
      <c r="Q100" s="252" t="s">
        <v>727</v>
      </c>
      <c r="R100" s="253">
        <v>3568</v>
      </c>
      <c r="S100" s="253">
        <v>1701.58</v>
      </c>
      <c r="T100" s="254">
        <f t="shared" si="9"/>
        <v>5269.58</v>
      </c>
      <c r="U100" s="254">
        <v>0</v>
      </c>
      <c r="V100" s="254">
        <v>0</v>
      </c>
      <c r="W100" s="254">
        <v>0</v>
      </c>
      <c r="X100" s="254">
        <v>0</v>
      </c>
      <c r="Y100" s="254">
        <v>0</v>
      </c>
      <c r="Z100" s="254">
        <v>0</v>
      </c>
      <c r="AA100" s="254">
        <v>0</v>
      </c>
      <c r="AB100" s="254">
        <v>0</v>
      </c>
      <c r="AC100" s="254">
        <v>0</v>
      </c>
      <c r="AD100" s="254">
        <v>0</v>
      </c>
      <c r="AE100" s="254">
        <v>0</v>
      </c>
      <c r="AF100" s="254">
        <v>0</v>
      </c>
      <c r="AG100" s="254">
        <v>0</v>
      </c>
      <c r="AH100" s="254">
        <v>0</v>
      </c>
      <c r="AI100" s="254">
        <v>0</v>
      </c>
      <c r="AJ100" s="254">
        <v>0</v>
      </c>
      <c r="AK100" s="254">
        <v>0</v>
      </c>
      <c r="AL100" s="254">
        <v>0</v>
      </c>
      <c r="AM100" s="254">
        <v>0</v>
      </c>
      <c r="AN100" s="254">
        <v>0</v>
      </c>
      <c r="AO100" s="254">
        <v>0</v>
      </c>
      <c r="AP100" s="254">
        <v>0</v>
      </c>
      <c r="AQ100" s="254">
        <v>0</v>
      </c>
      <c r="AR100" s="254">
        <v>0</v>
      </c>
      <c r="AS100" s="254">
        <v>0</v>
      </c>
      <c r="AT100" s="254">
        <v>0</v>
      </c>
      <c r="AU100" s="254">
        <v>0</v>
      </c>
      <c r="AV100" s="254">
        <v>0</v>
      </c>
      <c r="AW100" s="254"/>
      <c r="AX100" s="254"/>
      <c r="AY100" s="255">
        <f t="shared" si="7"/>
        <v>5269.58</v>
      </c>
      <c r="AZ100" s="236">
        <f t="shared" si="8"/>
        <v>0</v>
      </c>
      <c r="BA100" s="256">
        <f t="shared" si="10"/>
        <v>0</v>
      </c>
      <c r="BB100" s="255">
        <f t="shared" si="11"/>
        <v>5269.58</v>
      </c>
      <c r="BD100" s="257" t="b">
        <f t="shared" si="12"/>
        <v>1</v>
      </c>
      <c r="BE100" s="258">
        <f>BB100-K100-R100</f>
        <v>0</v>
      </c>
    </row>
    <row r="101" spans="2:57" x14ac:dyDescent="0.25">
      <c r="B101" s="259" t="s">
        <v>766</v>
      </c>
      <c r="C101" s="259"/>
      <c r="D101" s="259"/>
      <c r="E101" s="259"/>
      <c r="F101" s="259"/>
      <c r="G101" s="259"/>
      <c r="H101" s="259"/>
      <c r="I101" s="259"/>
      <c r="J101" s="260"/>
      <c r="K101" s="260"/>
      <c r="L101" s="260" t="s">
        <v>976</v>
      </c>
      <c r="M101" s="260"/>
      <c r="N101" s="261">
        <f>SUM(O101:P101)</f>
        <v>3.7269999999999999</v>
      </c>
      <c r="O101" s="261">
        <v>3.7269999999999999</v>
      </c>
      <c r="P101" s="261">
        <f>$P$4</f>
        <v>0</v>
      </c>
      <c r="Q101" s="261" t="s">
        <v>729</v>
      </c>
      <c r="R101" s="262">
        <v>90.08</v>
      </c>
      <c r="S101" s="262">
        <v>14.27</v>
      </c>
      <c r="T101" s="263">
        <f t="shared" si="9"/>
        <v>104.35</v>
      </c>
      <c r="U101" s="263">
        <v>0</v>
      </c>
      <c r="V101" s="263">
        <v>0</v>
      </c>
      <c r="W101" s="263">
        <v>0</v>
      </c>
      <c r="X101" s="263">
        <v>0</v>
      </c>
      <c r="Y101" s="263">
        <v>0</v>
      </c>
      <c r="Z101" s="263">
        <v>0</v>
      </c>
      <c r="AA101" s="263">
        <v>0</v>
      </c>
      <c r="AB101" s="263">
        <v>0</v>
      </c>
      <c r="AC101" s="263">
        <v>0</v>
      </c>
      <c r="AD101" s="263">
        <v>0</v>
      </c>
      <c r="AE101" s="263">
        <v>0</v>
      </c>
      <c r="AF101" s="263">
        <v>0</v>
      </c>
      <c r="AG101" s="263">
        <v>0</v>
      </c>
      <c r="AH101" s="263">
        <v>0</v>
      </c>
      <c r="AI101" s="263">
        <v>0</v>
      </c>
      <c r="AJ101" s="263">
        <v>0</v>
      </c>
      <c r="AK101" s="263">
        <v>0</v>
      </c>
      <c r="AL101" s="263">
        <v>0</v>
      </c>
      <c r="AM101" s="263">
        <v>0</v>
      </c>
      <c r="AN101" s="263">
        <v>0</v>
      </c>
      <c r="AO101" s="263">
        <v>0</v>
      </c>
      <c r="AP101" s="263">
        <v>0</v>
      </c>
      <c r="AQ101" s="263">
        <v>0</v>
      </c>
      <c r="AR101" s="263">
        <v>0</v>
      </c>
      <c r="AS101" s="263">
        <v>0</v>
      </c>
      <c r="AT101" s="263">
        <v>0</v>
      </c>
      <c r="AU101" s="263">
        <v>0</v>
      </c>
      <c r="AV101" s="263">
        <v>0</v>
      </c>
      <c r="AW101" s="263"/>
      <c r="AX101" s="263"/>
      <c r="AY101" s="264">
        <f t="shared" si="7"/>
        <v>104.35</v>
      </c>
      <c r="AZ101" s="236">
        <f t="shared" si="8"/>
        <v>0</v>
      </c>
      <c r="BA101" s="265">
        <f t="shared" si="10"/>
        <v>0</v>
      </c>
      <c r="BB101" s="264">
        <f t="shared" si="11"/>
        <v>104.35</v>
      </c>
      <c r="BD101" s="257" t="b">
        <f t="shared" si="12"/>
        <v>1</v>
      </c>
    </row>
    <row r="102" spans="2:57" s="257" customFormat="1" x14ac:dyDescent="0.25">
      <c r="B102" s="250" t="s">
        <v>720</v>
      </c>
      <c r="C102" s="250">
        <v>49</v>
      </c>
      <c r="D102" s="250" t="s">
        <v>981</v>
      </c>
      <c r="E102" s="250" t="s">
        <v>982</v>
      </c>
      <c r="F102" s="250" t="s">
        <v>983</v>
      </c>
      <c r="G102" s="250" t="s">
        <v>984</v>
      </c>
      <c r="H102" s="250" t="s">
        <v>985</v>
      </c>
      <c r="I102" s="250" t="s">
        <v>726</v>
      </c>
      <c r="J102" s="251">
        <v>1230506</v>
      </c>
      <c r="K102" s="251">
        <v>873506.23</v>
      </c>
      <c r="L102" s="251"/>
      <c r="M102" s="251"/>
      <c r="N102" s="252"/>
      <c r="O102" s="252"/>
      <c r="P102" s="252"/>
      <c r="Q102" s="252" t="s">
        <v>727</v>
      </c>
      <c r="R102" s="253">
        <v>21578</v>
      </c>
      <c r="S102" s="253">
        <v>43176</v>
      </c>
      <c r="T102" s="254">
        <f t="shared" si="9"/>
        <v>64754</v>
      </c>
      <c r="U102" s="254">
        <v>86352</v>
      </c>
      <c r="V102" s="254">
        <v>86352</v>
      </c>
      <c r="W102" s="254">
        <v>86352</v>
      </c>
      <c r="X102" s="254">
        <v>86352</v>
      </c>
      <c r="Y102" s="254">
        <v>86352</v>
      </c>
      <c r="Z102" s="254">
        <v>86352</v>
      </c>
      <c r="AA102" s="254">
        <v>86352</v>
      </c>
      <c r="AB102" s="254">
        <v>86352</v>
      </c>
      <c r="AC102" s="254">
        <v>86352</v>
      </c>
      <c r="AD102" s="254">
        <v>53162.229999999996</v>
      </c>
      <c r="AE102" s="254">
        <v>0</v>
      </c>
      <c r="AF102" s="254">
        <v>0</v>
      </c>
      <c r="AG102" s="254">
        <v>0</v>
      </c>
      <c r="AH102" s="254">
        <v>0</v>
      </c>
      <c r="AI102" s="254">
        <v>0</v>
      </c>
      <c r="AJ102" s="254">
        <v>0</v>
      </c>
      <c r="AK102" s="254">
        <v>0</v>
      </c>
      <c r="AL102" s="254">
        <v>0</v>
      </c>
      <c r="AM102" s="254">
        <v>0</v>
      </c>
      <c r="AN102" s="254">
        <v>0</v>
      </c>
      <c r="AO102" s="254">
        <v>0</v>
      </c>
      <c r="AP102" s="254">
        <v>0</v>
      </c>
      <c r="AQ102" s="254">
        <v>0</v>
      </c>
      <c r="AR102" s="254">
        <v>0</v>
      </c>
      <c r="AS102" s="254">
        <v>0</v>
      </c>
      <c r="AT102" s="254">
        <v>0</v>
      </c>
      <c r="AU102" s="254">
        <v>0</v>
      </c>
      <c r="AV102" s="254">
        <v>0</v>
      </c>
      <c r="AW102" s="254"/>
      <c r="AX102" s="254"/>
      <c r="AY102" s="255">
        <f t="shared" ref="AY102:AY133" si="13">SUM(T102:AX102)</f>
        <v>895084.23</v>
      </c>
      <c r="AZ102" s="236">
        <f t="shared" ref="AZ102:AZ133" si="14">AY102-SUM(T102:AX102)</f>
        <v>0</v>
      </c>
      <c r="BA102" s="256">
        <f t="shared" si="10"/>
        <v>312218.23</v>
      </c>
      <c r="BB102" s="255">
        <f t="shared" si="11"/>
        <v>895084.23</v>
      </c>
      <c r="BD102" s="257" t="b">
        <f t="shared" si="12"/>
        <v>1</v>
      </c>
      <c r="BE102" s="258">
        <f>BB102-K102-R102</f>
        <v>0</v>
      </c>
    </row>
    <row r="103" spans="2:57" x14ac:dyDescent="0.25">
      <c r="B103" s="259" t="s">
        <v>720</v>
      </c>
      <c r="C103" s="259"/>
      <c r="D103" s="259"/>
      <c r="E103" s="259"/>
      <c r="F103" s="259"/>
      <c r="G103" s="259"/>
      <c r="H103" s="259"/>
      <c r="I103" s="259"/>
      <c r="J103" s="260"/>
      <c r="K103" s="260"/>
      <c r="L103" s="260" t="s">
        <v>986</v>
      </c>
      <c r="M103" s="260"/>
      <c r="N103" s="261">
        <f>SUM(O103:P103)</f>
        <v>5.0529999999999999</v>
      </c>
      <c r="O103" s="261">
        <v>5.0529999999999999</v>
      </c>
      <c r="P103" s="261">
        <f>$P$4</f>
        <v>0</v>
      </c>
      <c r="Q103" s="261" t="s">
        <v>729</v>
      </c>
      <c r="R103" s="262">
        <v>11211.34</v>
      </c>
      <c r="S103" s="262">
        <v>11246.45</v>
      </c>
      <c r="T103" s="263">
        <f t="shared" si="9"/>
        <v>22457.79</v>
      </c>
      <c r="U103" s="263">
        <f>SUM(U102:$AV102)*$N103/100</f>
        <v>41956.586521899997</v>
      </c>
      <c r="V103" s="263">
        <f>SUM(V102:$AV102)*$N103/100</f>
        <v>37593.219961900002</v>
      </c>
      <c r="W103" s="263">
        <f>SUM(W102:$AV102)*$N103/100</f>
        <v>33229.8534019</v>
      </c>
      <c r="X103" s="263">
        <f>SUM(X102:$AV102)*$N103/100</f>
        <v>28866.486841899998</v>
      </c>
      <c r="Y103" s="263">
        <f>SUM(Y102:$AV102)*$N103/100</f>
        <v>24503.120281899999</v>
      </c>
      <c r="Z103" s="263">
        <f>SUM(Z102:$AV102)*$N103/100</f>
        <v>20139.753721899997</v>
      </c>
      <c r="AA103" s="263">
        <f>SUM(AA102:$AV102)*$N103/100</f>
        <v>15776.387161899998</v>
      </c>
      <c r="AB103" s="263">
        <f>SUM(AB102:$AV102)*$N103/100</f>
        <v>11413.020601899998</v>
      </c>
      <c r="AC103" s="263">
        <f>SUM(AC102:$AV102)*$N103/100</f>
        <v>7049.6540418999994</v>
      </c>
      <c r="AD103" s="263">
        <f>SUM(AD102:$AV102)*$N103/100</f>
        <v>2686.2874818999994</v>
      </c>
      <c r="AE103" s="263">
        <v>0</v>
      </c>
      <c r="AF103" s="263">
        <v>0</v>
      </c>
      <c r="AG103" s="263">
        <v>0</v>
      </c>
      <c r="AH103" s="263">
        <v>0</v>
      </c>
      <c r="AI103" s="263">
        <v>0</v>
      </c>
      <c r="AJ103" s="263">
        <v>0</v>
      </c>
      <c r="AK103" s="263">
        <v>0</v>
      </c>
      <c r="AL103" s="263">
        <v>0</v>
      </c>
      <c r="AM103" s="263">
        <v>0</v>
      </c>
      <c r="AN103" s="263">
        <v>0</v>
      </c>
      <c r="AO103" s="263">
        <v>0</v>
      </c>
      <c r="AP103" s="263">
        <v>0</v>
      </c>
      <c r="AQ103" s="263">
        <v>0</v>
      </c>
      <c r="AR103" s="263">
        <v>0</v>
      </c>
      <c r="AS103" s="263">
        <v>0</v>
      </c>
      <c r="AT103" s="263">
        <v>0</v>
      </c>
      <c r="AU103" s="263">
        <v>0</v>
      </c>
      <c r="AV103" s="263">
        <v>0</v>
      </c>
      <c r="AW103" s="263"/>
      <c r="AX103" s="263"/>
      <c r="AY103" s="264">
        <f t="shared" si="13"/>
        <v>245672.160019</v>
      </c>
      <c r="AZ103" s="236">
        <f t="shared" si="14"/>
        <v>0</v>
      </c>
      <c r="BA103" s="265">
        <f t="shared" si="10"/>
        <v>36925.349287599995</v>
      </c>
      <c r="BB103" s="264">
        <f t="shared" si="11"/>
        <v>245672.16001899997</v>
      </c>
      <c r="BD103" s="257" t="b">
        <f t="shared" si="12"/>
        <v>1</v>
      </c>
    </row>
    <row r="104" spans="2:57" s="257" customFormat="1" x14ac:dyDescent="0.25">
      <c r="B104" s="250" t="s">
        <v>720</v>
      </c>
      <c r="C104" s="250">
        <v>50</v>
      </c>
      <c r="D104" s="250" t="s">
        <v>987</v>
      </c>
      <c r="E104" s="250" t="s">
        <v>988</v>
      </c>
      <c r="F104" s="250" t="s">
        <v>989</v>
      </c>
      <c r="G104" s="250" t="s">
        <v>990</v>
      </c>
      <c r="H104" s="250" t="s">
        <v>991</v>
      </c>
      <c r="I104" s="250" t="s">
        <v>726</v>
      </c>
      <c r="J104" s="251">
        <v>156436.10999999999</v>
      </c>
      <c r="K104" s="251">
        <v>137903.10999999999</v>
      </c>
      <c r="L104" s="251"/>
      <c r="M104" s="251"/>
      <c r="N104" s="252"/>
      <c r="O104" s="252"/>
      <c r="P104" s="252"/>
      <c r="Q104" s="252" t="s">
        <v>727</v>
      </c>
      <c r="R104" s="253">
        <v>18533</v>
      </c>
      <c r="S104" s="253">
        <v>18538</v>
      </c>
      <c r="T104" s="254">
        <f t="shared" si="9"/>
        <v>37071</v>
      </c>
      <c r="U104" s="254">
        <v>37076</v>
      </c>
      <c r="V104" s="254">
        <v>37076</v>
      </c>
      <c r="W104" s="254">
        <v>37076</v>
      </c>
      <c r="X104" s="254">
        <v>8137.11</v>
      </c>
      <c r="Y104" s="254">
        <v>0</v>
      </c>
      <c r="Z104" s="254">
        <v>0</v>
      </c>
      <c r="AA104" s="254">
        <v>0</v>
      </c>
      <c r="AB104" s="254">
        <v>0</v>
      </c>
      <c r="AC104" s="254">
        <v>0</v>
      </c>
      <c r="AD104" s="254">
        <v>0</v>
      </c>
      <c r="AE104" s="254">
        <v>0</v>
      </c>
      <c r="AF104" s="254">
        <v>0</v>
      </c>
      <c r="AG104" s="254">
        <v>0</v>
      </c>
      <c r="AH104" s="254">
        <v>0</v>
      </c>
      <c r="AI104" s="254">
        <v>0</v>
      </c>
      <c r="AJ104" s="254">
        <v>0</v>
      </c>
      <c r="AK104" s="254">
        <v>0</v>
      </c>
      <c r="AL104" s="254">
        <v>0</v>
      </c>
      <c r="AM104" s="254">
        <v>0</v>
      </c>
      <c r="AN104" s="254">
        <v>0</v>
      </c>
      <c r="AO104" s="254">
        <v>0</v>
      </c>
      <c r="AP104" s="254">
        <v>0</v>
      </c>
      <c r="AQ104" s="254">
        <v>0</v>
      </c>
      <c r="AR104" s="254">
        <v>0</v>
      </c>
      <c r="AS104" s="254">
        <v>0</v>
      </c>
      <c r="AT104" s="254">
        <v>0</v>
      </c>
      <c r="AU104" s="254">
        <v>0</v>
      </c>
      <c r="AV104" s="254">
        <v>0</v>
      </c>
      <c r="AW104" s="254"/>
      <c r="AX104" s="254"/>
      <c r="AY104" s="255">
        <f t="shared" si="13"/>
        <v>156436.10999999999</v>
      </c>
      <c r="AZ104" s="236">
        <f t="shared" si="14"/>
        <v>0</v>
      </c>
      <c r="BA104" s="256">
        <f t="shared" si="10"/>
        <v>0</v>
      </c>
      <c r="BB104" s="255">
        <f t="shared" si="11"/>
        <v>156436.10999999999</v>
      </c>
      <c r="BD104" s="257" t="b">
        <f t="shared" si="12"/>
        <v>1</v>
      </c>
      <c r="BE104" s="258">
        <f>BB104-K104-R104</f>
        <v>0</v>
      </c>
    </row>
    <row r="105" spans="2:57" x14ac:dyDescent="0.25">
      <c r="B105" s="259" t="s">
        <v>720</v>
      </c>
      <c r="C105" s="259"/>
      <c r="D105" s="259"/>
      <c r="E105" s="259"/>
      <c r="F105" s="259"/>
      <c r="G105" s="259"/>
      <c r="H105" s="259"/>
      <c r="I105" s="259"/>
      <c r="J105" s="260"/>
      <c r="K105" s="260"/>
      <c r="L105" s="260" t="s">
        <v>992</v>
      </c>
      <c r="M105" s="260"/>
      <c r="N105" s="261">
        <f>SUM(O105:P105)</f>
        <v>5.0449999999999999</v>
      </c>
      <c r="O105" s="261">
        <v>5.0449999999999999</v>
      </c>
      <c r="P105" s="261">
        <f>$P$4</f>
        <v>0</v>
      </c>
      <c r="Q105" s="261" t="s">
        <v>729</v>
      </c>
      <c r="R105" s="262">
        <v>1897.61</v>
      </c>
      <c r="S105" s="262">
        <v>1727.08</v>
      </c>
      <c r="T105" s="263">
        <f t="shared" si="9"/>
        <v>3624.6899999999996</v>
      </c>
      <c r="U105" s="263">
        <f>SUM(U104:$AV104)*$N105/100</f>
        <v>6021.9697994999997</v>
      </c>
      <c r="V105" s="263">
        <f>SUM(V104:$AV104)*$N105/100</f>
        <v>4151.4855994999998</v>
      </c>
      <c r="W105" s="263">
        <f>SUM(W104:$AV104)*$N105/100</f>
        <v>2281.0013994999999</v>
      </c>
      <c r="X105" s="263">
        <f>SUM(X104:$AV104)*$N105/100</f>
        <v>410.5171995</v>
      </c>
      <c r="Y105" s="263">
        <v>0</v>
      </c>
      <c r="Z105" s="263">
        <v>0</v>
      </c>
      <c r="AA105" s="263">
        <v>0</v>
      </c>
      <c r="AB105" s="263">
        <v>0</v>
      </c>
      <c r="AC105" s="263">
        <v>0</v>
      </c>
      <c r="AD105" s="263">
        <v>0</v>
      </c>
      <c r="AE105" s="263">
        <v>0</v>
      </c>
      <c r="AF105" s="263">
        <v>0</v>
      </c>
      <c r="AG105" s="263">
        <v>0</v>
      </c>
      <c r="AH105" s="263">
        <v>0</v>
      </c>
      <c r="AI105" s="263">
        <v>0</v>
      </c>
      <c r="AJ105" s="263">
        <v>0</v>
      </c>
      <c r="AK105" s="263">
        <v>0</v>
      </c>
      <c r="AL105" s="263">
        <v>0</v>
      </c>
      <c r="AM105" s="263">
        <v>0</v>
      </c>
      <c r="AN105" s="263">
        <v>0</v>
      </c>
      <c r="AO105" s="263">
        <v>0</v>
      </c>
      <c r="AP105" s="263">
        <v>0</v>
      </c>
      <c r="AQ105" s="263">
        <v>0</v>
      </c>
      <c r="AR105" s="263">
        <v>0</v>
      </c>
      <c r="AS105" s="263">
        <v>0</v>
      </c>
      <c r="AT105" s="263">
        <v>0</v>
      </c>
      <c r="AU105" s="263">
        <v>0</v>
      </c>
      <c r="AV105" s="263">
        <v>0</v>
      </c>
      <c r="AW105" s="263"/>
      <c r="AX105" s="263"/>
      <c r="AY105" s="264">
        <f t="shared" si="13"/>
        <v>16489.663997999996</v>
      </c>
      <c r="AZ105" s="236">
        <f t="shared" si="14"/>
        <v>0</v>
      </c>
      <c r="BA105" s="265">
        <f t="shared" si="10"/>
        <v>0</v>
      </c>
      <c r="BB105" s="264">
        <f t="shared" si="11"/>
        <v>16489.663997999996</v>
      </c>
      <c r="BD105" s="257" t="b">
        <f t="shared" si="12"/>
        <v>1</v>
      </c>
    </row>
    <row r="106" spans="2:57" s="257" customFormat="1" x14ac:dyDescent="0.25">
      <c r="B106" s="250" t="s">
        <v>720</v>
      </c>
      <c r="C106" s="250">
        <v>51</v>
      </c>
      <c r="D106" s="250" t="s">
        <v>993</v>
      </c>
      <c r="E106" s="250" t="s">
        <v>994</v>
      </c>
      <c r="F106" s="250" t="s">
        <v>995</v>
      </c>
      <c r="G106" s="250" t="s">
        <v>996</v>
      </c>
      <c r="H106" s="250" t="s">
        <v>997</v>
      </c>
      <c r="I106" s="250" t="s">
        <v>726</v>
      </c>
      <c r="J106" s="251">
        <v>90861.19</v>
      </c>
      <c r="K106" s="251">
        <v>80676.19</v>
      </c>
      <c r="L106" s="251"/>
      <c r="M106" s="251"/>
      <c r="N106" s="252"/>
      <c r="O106" s="252">
        <v>2.1520000000000001</v>
      </c>
      <c r="P106" s="252"/>
      <c r="Q106" s="252" t="s">
        <v>727</v>
      </c>
      <c r="R106" s="253">
        <v>10185</v>
      </c>
      <c r="S106" s="253">
        <v>10190</v>
      </c>
      <c r="T106" s="254">
        <f t="shared" si="9"/>
        <v>20375</v>
      </c>
      <c r="U106" s="254">
        <v>20380</v>
      </c>
      <c r="V106" s="254">
        <v>20380</v>
      </c>
      <c r="W106" s="254">
        <v>20380</v>
      </c>
      <c r="X106" s="254">
        <v>9346.1899999999987</v>
      </c>
      <c r="Y106" s="254">
        <v>0</v>
      </c>
      <c r="Z106" s="254">
        <v>0</v>
      </c>
      <c r="AA106" s="254">
        <v>0</v>
      </c>
      <c r="AB106" s="254">
        <v>0</v>
      </c>
      <c r="AC106" s="254">
        <v>0</v>
      </c>
      <c r="AD106" s="254">
        <v>0</v>
      </c>
      <c r="AE106" s="254">
        <v>0</v>
      </c>
      <c r="AF106" s="254">
        <v>0</v>
      </c>
      <c r="AG106" s="254">
        <v>0</v>
      </c>
      <c r="AH106" s="254">
        <v>0</v>
      </c>
      <c r="AI106" s="254">
        <v>0</v>
      </c>
      <c r="AJ106" s="254">
        <v>0</v>
      </c>
      <c r="AK106" s="254">
        <v>0</v>
      </c>
      <c r="AL106" s="254">
        <v>0</v>
      </c>
      <c r="AM106" s="254">
        <v>0</v>
      </c>
      <c r="AN106" s="254">
        <v>0</v>
      </c>
      <c r="AO106" s="254">
        <v>0</v>
      </c>
      <c r="AP106" s="254">
        <v>0</v>
      </c>
      <c r="AQ106" s="254">
        <v>0</v>
      </c>
      <c r="AR106" s="254">
        <v>0</v>
      </c>
      <c r="AS106" s="254">
        <v>0</v>
      </c>
      <c r="AT106" s="254">
        <v>0</v>
      </c>
      <c r="AU106" s="254">
        <v>0</v>
      </c>
      <c r="AV106" s="254">
        <v>0</v>
      </c>
      <c r="AW106" s="254"/>
      <c r="AX106" s="254"/>
      <c r="AY106" s="255">
        <f t="shared" si="13"/>
        <v>90861.19</v>
      </c>
      <c r="AZ106" s="236">
        <f t="shared" si="14"/>
        <v>0</v>
      </c>
      <c r="BA106" s="256">
        <f t="shared" si="10"/>
        <v>0</v>
      </c>
      <c r="BB106" s="255">
        <f t="shared" si="11"/>
        <v>90861.19</v>
      </c>
      <c r="BD106" s="257" t="b">
        <f t="shared" si="12"/>
        <v>1</v>
      </c>
      <c r="BE106" s="258">
        <f>BB106-K106-R106</f>
        <v>0</v>
      </c>
    </row>
    <row r="107" spans="2:57" x14ac:dyDescent="0.25">
      <c r="B107" s="259" t="s">
        <v>720</v>
      </c>
      <c r="C107" s="259"/>
      <c r="D107" s="259"/>
      <c r="E107" s="259"/>
      <c r="F107" s="259"/>
      <c r="G107" s="259"/>
      <c r="H107" s="259"/>
      <c r="I107" s="259"/>
      <c r="J107" s="260"/>
      <c r="K107" s="260"/>
      <c r="L107" s="260" t="s">
        <v>998</v>
      </c>
      <c r="M107" s="260"/>
      <c r="N107" s="261">
        <f>SUM(O107:P107)</f>
        <v>5.2210000000000001</v>
      </c>
      <c r="O107" s="267">
        <v>5.2210000000000001</v>
      </c>
      <c r="P107" s="261">
        <f>$P$4</f>
        <v>0</v>
      </c>
      <c r="Q107" s="261" t="s">
        <v>729</v>
      </c>
      <c r="R107" s="262">
        <v>1431.26</v>
      </c>
      <c r="S107" s="262">
        <v>937.63</v>
      </c>
      <c r="T107" s="263">
        <f t="shared" si="9"/>
        <v>2368.89</v>
      </c>
      <c r="U107" s="263">
        <f>SUM(U106:$AV106)*$N107/100</f>
        <v>3680.0839799000005</v>
      </c>
      <c r="V107" s="263">
        <f>SUM(V106:$AV106)*$N107/100</f>
        <v>2616.0441799</v>
      </c>
      <c r="W107" s="263">
        <f>SUM(W106:$AV106)*$N107/100</f>
        <v>1552.0043799</v>
      </c>
      <c r="X107" s="263">
        <f>SUM(X106:$AV106)*$N107/100</f>
        <v>487.96457989999993</v>
      </c>
      <c r="Y107" s="263">
        <v>0</v>
      </c>
      <c r="Z107" s="263">
        <v>0</v>
      </c>
      <c r="AA107" s="263">
        <v>0</v>
      </c>
      <c r="AB107" s="263">
        <v>0</v>
      </c>
      <c r="AC107" s="263">
        <v>0</v>
      </c>
      <c r="AD107" s="263">
        <v>0</v>
      </c>
      <c r="AE107" s="263">
        <v>0</v>
      </c>
      <c r="AF107" s="263">
        <v>0</v>
      </c>
      <c r="AG107" s="263">
        <v>0</v>
      </c>
      <c r="AH107" s="263">
        <v>0</v>
      </c>
      <c r="AI107" s="263">
        <v>0</v>
      </c>
      <c r="AJ107" s="263">
        <v>0</v>
      </c>
      <c r="AK107" s="263">
        <v>0</v>
      </c>
      <c r="AL107" s="263">
        <v>0</v>
      </c>
      <c r="AM107" s="263">
        <v>0</v>
      </c>
      <c r="AN107" s="263">
        <v>0</v>
      </c>
      <c r="AO107" s="263">
        <v>0</v>
      </c>
      <c r="AP107" s="263">
        <v>0</v>
      </c>
      <c r="AQ107" s="263">
        <v>0</v>
      </c>
      <c r="AR107" s="263">
        <v>0</v>
      </c>
      <c r="AS107" s="263">
        <v>0</v>
      </c>
      <c r="AT107" s="263">
        <v>0</v>
      </c>
      <c r="AU107" s="263">
        <v>0</v>
      </c>
      <c r="AV107" s="263">
        <v>0</v>
      </c>
      <c r="AW107" s="263"/>
      <c r="AX107" s="263"/>
      <c r="AY107" s="264">
        <f t="shared" si="13"/>
        <v>10704.987119599999</v>
      </c>
      <c r="AZ107" s="236">
        <f t="shared" si="14"/>
        <v>0</v>
      </c>
      <c r="BA107" s="265">
        <f t="shared" si="10"/>
        <v>0</v>
      </c>
      <c r="BB107" s="264">
        <f t="shared" si="11"/>
        <v>10704.987119599999</v>
      </c>
      <c r="BD107" s="257" t="b">
        <f t="shared" si="12"/>
        <v>1</v>
      </c>
    </row>
    <row r="108" spans="2:57" s="257" customFormat="1" x14ac:dyDescent="0.25">
      <c r="B108" s="250" t="s">
        <v>720</v>
      </c>
      <c r="C108" s="250">
        <v>52</v>
      </c>
      <c r="D108" s="250" t="s">
        <v>999</v>
      </c>
      <c r="E108" s="250" t="s">
        <v>1000</v>
      </c>
      <c r="F108" s="250" t="s">
        <v>1001</v>
      </c>
      <c r="G108" s="250" t="s">
        <v>1002</v>
      </c>
      <c r="H108" s="250" t="s">
        <v>1003</v>
      </c>
      <c r="I108" s="250" t="s">
        <v>726</v>
      </c>
      <c r="J108" s="251">
        <v>496340</v>
      </c>
      <c r="K108" s="251">
        <v>491872</v>
      </c>
      <c r="L108" s="251"/>
      <c r="M108" s="251"/>
      <c r="N108" s="252"/>
      <c r="O108" s="252"/>
      <c r="P108" s="252"/>
      <c r="Q108" s="252" t="s">
        <v>727</v>
      </c>
      <c r="R108" s="253">
        <v>4468</v>
      </c>
      <c r="S108" s="253">
        <v>22347</v>
      </c>
      <c r="T108" s="254">
        <f t="shared" si="9"/>
        <v>26815</v>
      </c>
      <c r="U108" s="254">
        <v>53660</v>
      </c>
      <c r="V108" s="254">
        <v>53660</v>
      </c>
      <c r="W108" s="254">
        <v>53660</v>
      </c>
      <c r="X108" s="254">
        <v>53660</v>
      </c>
      <c r="Y108" s="254">
        <v>53660</v>
      </c>
      <c r="Z108" s="254">
        <v>53660</v>
      </c>
      <c r="AA108" s="254">
        <v>53660</v>
      </c>
      <c r="AB108" s="254">
        <v>53660</v>
      </c>
      <c r="AC108" s="254">
        <v>40245</v>
      </c>
      <c r="AD108" s="254">
        <v>0</v>
      </c>
      <c r="AE108" s="254">
        <v>0</v>
      </c>
      <c r="AF108" s="254">
        <v>0</v>
      </c>
      <c r="AG108" s="254">
        <v>0</v>
      </c>
      <c r="AH108" s="254">
        <v>0</v>
      </c>
      <c r="AI108" s="254">
        <v>0</v>
      </c>
      <c r="AJ108" s="254">
        <v>0</v>
      </c>
      <c r="AK108" s="254">
        <v>0</v>
      </c>
      <c r="AL108" s="254">
        <v>0</v>
      </c>
      <c r="AM108" s="254">
        <v>0</v>
      </c>
      <c r="AN108" s="254">
        <v>0</v>
      </c>
      <c r="AO108" s="254">
        <v>0</v>
      </c>
      <c r="AP108" s="254">
        <v>0</v>
      </c>
      <c r="AQ108" s="254">
        <v>0</v>
      </c>
      <c r="AR108" s="254">
        <v>0</v>
      </c>
      <c r="AS108" s="254">
        <v>0</v>
      </c>
      <c r="AT108" s="254">
        <v>0</v>
      </c>
      <c r="AU108" s="254">
        <v>0</v>
      </c>
      <c r="AV108" s="254">
        <v>0</v>
      </c>
      <c r="AW108" s="254"/>
      <c r="AX108" s="254"/>
      <c r="AY108" s="255">
        <f t="shared" si="13"/>
        <v>496340</v>
      </c>
      <c r="AZ108" s="236">
        <f t="shared" si="14"/>
        <v>0</v>
      </c>
      <c r="BA108" s="256">
        <f t="shared" si="10"/>
        <v>147565</v>
      </c>
      <c r="BB108" s="255">
        <f t="shared" si="11"/>
        <v>496340</v>
      </c>
      <c r="BD108" s="257" t="b">
        <f t="shared" si="12"/>
        <v>1</v>
      </c>
      <c r="BE108" s="258">
        <f>BB108-K108-R108</f>
        <v>0</v>
      </c>
    </row>
    <row r="109" spans="2:57" x14ac:dyDescent="0.25">
      <c r="B109" s="259" t="s">
        <v>720</v>
      </c>
      <c r="C109" s="259"/>
      <c r="D109" s="259"/>
      <c r="E109" s="259"/>
      <c r="F109" s="259"/>
      <c r="G109" s="259"/>
      <c r="H109" s="259"/>
      <c r="I109" s="259"/>
      <c r="J109" s="260"/>
      <c r="K109" s="260"/>
      <c r="L109" s="260" t="s">
        <v>1004</v>
      </c>
      <c r="M109" s="260"/>
      <c r="N109" s="261">
        <f>SUM(O109:P109)</f>
        <v>5.5309999999999997</v>
      </c>
      <c r="O109" s="261">
        <v>5.5309999999999997</v>
      </c>
      <c r="P109" s="261">
        <f>$P$4</f>
        <v>0</v>
      </c>
      <c r="Q109" s="261" t="s">
        <v>729</v>
      </c>
      <c r="R109" s="262">
        <v>8391.08</v>
      </c>
      <c r="S109" s="262">
        <v>5533.52</v>
      </c>
      <c r="T109" s="263">
        <f t="shared" si="9"/>
        <v>13924.6</v>
      </c>
      <c r="U109" s="263">
        <f>SUM(U108:$AV108)*$N109/100</f>
        <v>25969.427749999999</v>
      </c>
      <c r="V109" s="263">
        <f>SUM(V108:$AV108)*$N109/100</f>
        <v>23001.493149999998</v>
      </c>
      <c r="W109" s="263">
        <f>SUM(W108:$AV108)*$N109/100</f>
        <v>20033.558550000002</v>
      </c>
      <c r="X109" s="263">
        <f>SUM(X108:$AV108)*$N109/100</f>
        <v>17065.623950000001</v>
      </c>
      <c r="Y109" s="263">
        <f>SUM(Y108:$AV108)*$N109/100</f>
        <v>14097.689349999999</v>
      </c>
      <c r="Z109" s="263">
        <f>SUM(Z108:$AV108)*$N109/100</f>
        <v>11129.754749999998</v>
      </c>
      <c r="AA109" s="263">
        <f>SUM(AA108:$AV108)*$N109/100</f>
        <v>8161.8201499999986</v>
      </c>
      <c r="AB109" s="263">
        <f>SUM(AB108:$AV108)*$N109/100</f>
        <v>5193.88555</v>
      </c>
      <c r="AC109" s="263">
        <f>SUM(AC108:$AV108)*$N109/100</f>
        <v>2225.9509499999999</v>
      </c>
      <c r="AD109" s="263">
        <v>0</v>
      </c>
      <c r="AE109" s="263">
        <v>0</v>
      </c>
      <c r="AF109" s="263">
        <v>0</v>
      </c>
      <c r="AG109" s="263">
        <v>0</v>
      </c>
      <c r="AH109" s="263">
        <v>0</v>
      </c>
      <c r="AI109" s="263">
        <v>0</v>
      </c>
      <c r="AJ109" s="263">
        <v>0</v>
      </c>
      <c r="AK109" s="263">
        <v>0</v>
      </c>
      <c r="AL109" s="263">
        <v>0</v>
      </c>
      <c r="AM109" s="263">
        <v>0</v>
      </c>
      <c r="AN109" s="263">
        <v>0</v>
      </c>
      <c r="AO109" s="263">
        <v>0</v>
      </c>
      <c r="AP109" s="263">
        <v>0</v>
      </c>
      <c r="AQ109" s="263">
        <v>0</v>
      </c>
      <c r="AR109" s="263">
        <v>0</v>
      </c>
      <c r="AS109" s="263">
        <v>0</v>
      </c>
      <c r="AT109" s="263">
        <v>0</v>
      </c>
      <c r="AU109" s="263">
        <v>0</v>
      </c>
      <c r="AV109" s="263">
        <v>0</v>
      </c>
      <c r="AW109" s="263"/>
      <c r="AX109" s="263"/>
      <c r="AY109" s="264">
        <f t="shared" si="13"/>
        <v>140803.80414999998</v>
      </c>
      <c r="AZ109" s="236">
        <f t="shared" si="14"/>
        <v>0</v>
      </c>
      <c r="BA109" s="265">
        <f t="shared" si="10"/>
        <v>15581.656649999999</v>
      </c>
      <c r="BB109" s="264">
        <f t="shared" si="11"/>
        <v>140803.80414999998</v>
      </c>
      <c r="BD109" s="257" t="b">
        <f t="shared" si="12"/>
        <v>1</v>
      </c>
    </row>
    <row r="110" spans="2:57" s="257" customFormat="1" x14ac:dyDescent="0.25">
      <c r="B110" s="250" t="s">
        <v>766</v>
      </c>
      <c r="C110" s="250">
        <v>53</v>
      </c>
      <c r="D110" s="250" t="s">
        <v>1005</v>
      </c>
      <c r="E110" s="250" t="s">
        <v>1006</v>
      </c>
      <c r="F110" s="250" t="s">
        <v>1007</v>
      </c>
      <c r="G110" s="250" t="s">
        <v>1008</v>
      </c>
      <c r="H110" s="250" t="s">
        <v>1009</v>
      </c>
      <c r="I110" s="250" t="s">
        <v>726</v>
      </c>
      <c r="J110" s="251">
        <v>6469</v>
      </c>
      <c r="K110" s="251">
        <v>5800</v>
      </c>
      <c r="L110" s="251"/>
      <c r="M110" s="251"/>
      <c r="N110" s="252"/>
      <c r="O110" s="252">
        <v>2.403</v>
      </c>
      <c r="P110" s="252"/>
      <c r="Q110" s="252" t="s">
        <v>727</v>
      </c>
      <c r="R110" s="253">
        <v>464</v>
      </c>
      <c r="S110" s="253">
        <v>464</v>
      </c>
      <c r="T110" s="254">
        <f t="shared" si="9"/>
        <v>928</v>
      </c>
      <c r="U110" s="254">
        <v>928</v>
      </c>
      <c r="V110" s="254">
        <v>928</v>
      </c>
      <c r="W110" s="254">
        <v>928</v>
      </c>
      <c r="X110" s="254">
        <v>928</v>
      </c>
      <c r="Y110" s="254">
        <v>928</v>
      </c>
      <c r="Z110" s="254">
        <v>696</v>
      </c>
      <c r="AA110" s="254">
        <v>0</v>
      </c>
      <c r="AB110" s="254">
        <v>0</v>
      </c>
      <c r="AC110" s="254">
        <v>0</v>
      </c>
      <c r="AD110" s="254">
        <v>0</v>
      </c>
      <c r="AE110" s="254">
        <v>0</v>
      </c>
      <c r="AF110" s="254">
        <v>0</v>
      </c>
      <c r="AG110" s="254">
        <v>0</v>
      </c>
      <c r="AH110" s="254">
        <v>0</v>
      </c>
      <c r="AI110" s="254">
        <v>0</v>
      </c>
      <c r="AJ110" s="254">
        <v>0</v>
      </c>
      <c r="AK110" s="254">
        <v>0</v>
      </c>
      <c r="AL110" s="254">
        <v>0</v>
      </c>
      <c r="AM110" s="254">
        <v>0</v>
      </c>
      <c r="AN110" s="254">
        <v>0</v>
      </c>
      <c r="AO110" s="254">
        <v>0</v>
      </c>
      <c r="AP110" s="254">
        <v>0</v>
      </c>
      <c r="AQ110" s="254">
        <v>0</v>
      </c>
      <c r="AR110" s="254">
        <v>0</v>
      </c>
      <c r="AS110" s="254">
        <v>0</v>
      </c>
      <c r="AT110" s="254">
        <v>0</v>
      </c>
      <c r="AU110" s="254">
        <v>0</v>
      </c>
      <c r="AV110" s="254">
        <v>0</v>
      </c>
      <c r="AW110" s="254"/>
      <c r="AX110" s="254"/>
      <c r="AY110" s="255">
        <f t="shared" si="13"/>
        <v>6264</v>
      </c>
      <c r="AZ110" s="236">
        <f t="shared" si="14"/>
        <v>0</v>
      </c>
      <c r="BA110" s="256">
        <f t="shared" si="10"/>
        <v>0</v>
      </c>
      <c r="BB110" s="255">
        <f t="shared" si="11"/>
        <v>6264</v>
      </c>
      <c r="BD110" s="257" t="b">
        <f t="shared" si="12"/>
        <v>1</v>
      </c>
      <c r="BE110" s="258">
        <f>BB110-K110-R110</f>
        <v>0</v>
      </c>
    </row>
    <row r="111" spans="2:57" x14ac:dyDescent="0.25">
      <c r="B111" s="259" t="s">
        <v>766</v>
      </c>
      <c r="C111" s="259"/>
      <c r="D111" s="259"/>
      <c r="E111" s="259"/>
      <c r="F111" s="259"/>
      <c r="G111" s="259"/>
      <c r="H111" s="259"/>
      <c r="I111" s="259"/>
      <c r="J111" s="260"/>
      <c r="K111" s="260"/>
      <c r="L111" s="260" t="s">
        <v>1010</v>
      </c>
      <c r="M111" s="260"/>
      <c r="N111" s="261">
        <f>SUM(O111:P111)</f>
        <v>5.4349999999999996</v>
      </c>
      <c r="O111" s="267">
        <v>5.4349999999999996</v>
      </c>
      <c r="P111" s="261">
        <f>$P$4</f>
        <v>0</v>
      </c>
      <c r="Q111" s="261" t="s">
        <v>729</v>
      </c>
      <c r="R111" s="262">
        <v>113.34</v>
      </c>
      <c r="S111" s="262">
        <v>61.61</v>
      </c>
      <c r="T111" s="263">
        <f t="shared" si="9"/>
        <v>174.95</v>
      </c>
      <c r="U111" s="263">
        <f>SUM(U110:$AV110)*$N111/100</f>
        <v>290.01159999999999</v>
      </c>
      <c r="V111" s="263">
        <f>SUM(V110:$AV110)*$N111/100</f>
        <v>239.57479999999998</v>
      </c>
      <c r="W111" s="263">
        <f>SUM(W110:$AV110)*$N111/100</f>
        <v>189.13800000000001</v>
      </c>
      <c r="X111" s="263">
        <f>SUM(X110:$AV110)*$N111/100</f>
        <v>138.7012</v>
      </c>
      <c r="Y111" s="263">
        <f>SUM(Y110:$AV110)*$N111/100</f>
        <v>88.264399999999981</v>
      </c>
      <c r="Z111" s="263">
        <f>SUM(Z110:$AV110)*$N111/100</f>
        <v>37.827599999999997</v>
      </c>
      <c r="AA111" s="263">
        <v>0</v>
      </c>
      <c r="AB111" s="263">
        <v>0</v>
      </c>
      <c r="AC111" s="263">
        <v>0</v>
      </c>
      <c r="AD111" s="263">
        <v>0</v>
      </c>
      <c r="AE111" s="263">
        <v>0</v>
      </c>
      <c r="AF111" s="263">
        <v>0</v>
      </c>
      <c r="AG111" s="263">
        <v>0</v>
      </c>
      <c r="AH111" s="263">
        <v>0</v>
      </c>
      <c r="AI111" s="263">
        <v>0</v>
      </c>
      <c r="AJ111" s="263">
        <v>0</v>
      </c>
      <c r="AK111" s="263">
        <v>0</v>
      </c>
      <c r="AL111" s="263">
        <v>0</v>
      </c>
      <c r="AM111" s="263">
        <v>0</v>
      </c>
      <c r="AN111" s="263">
        <v>0</v>
      </c>
      <c r="AO111" s="263">
        <v>0</v>
      </c>
      <c r="AP111" s="263">
        <v>0</v>
      </c>
      <c r="AQ111" s="263">
        <v>0</v>
      </c>
      <c r="AR111" s="263">
        <v>0</v>
      </c>
      <c r="AS111" s="263">
        <v>0</v>
      </c>
      <c r="AT111" s="263">
        <v>0</v>
      </c>
      <c r="AU111" s="263">
        <v>0</v>
      </c>
      <c r="AV111" s="263">
        <v>0</v>
      </c>
      <c r="AW111" s="263"/>
      <c r="AX111" s="263"/>
      <c r="AY111" s="264">
        <f t="shared" si="13"/>
        <v>1158.4676000000002</v>
      </c>
      <c r="AZ111" s="236">
        <f t="shared" si="14"/>
        <v>0</v>
      </c>
      <c r="BA111" s="265">
        <f t="shared" si="10"/>
        <v>0</v>
      </c>
      <c r="BB111" s="264">
        <f t="shared" si="11"/>
        <v>1158.4676000000002</v>
      </c>
      <c r="BD111" s="257" t="b">
        <f t="shared" si="12"/>
        <v>1</v>
      </c>
    </row>
    <row r="112" spans="2:57" s="257" customFormat="1" x14ac:dyDescent="0.25">
      <c r="B112" s="250" t="s">
        <v>766</v>
      </c>
      <c r="C112" s="250">
        <v>54</v>
      </c>
      <c r="D112" s="250" t="s">
        <v>1011</v>
      </c>
      <c r="E112" s="250" t="s">
        <v>1012</v>
      </c>
      <c r="F112" s="250" t="s">
        <v>1013</v>
      </c>
      <c r="G112" s="250" t="s">
        <v>1014</v>
      </c>
      <c r="H112" s="250" t="s">
        <v>1015</v>
      </c>
      <c r="I112" s="250" t="s">
        <v>726</v>
      </c>
      <c r="J112" s="251">
        <v>503660</v>
      </c>
      <c r="K112" s="251">
        <v>503660</v>
      </c>
      <c r="L112" s="251"/>
      <c r="M112" s="251"/>
      <c r="N112" s="252"/>
      <c r="O112" s="252"/>
      <c r="P112" s="252"/>
      <c r="Q112" s="252" t="s">
        <v>727</v>
      </c>
      <c r="R112" s="253"/>
      <c r="S112" s="253">
        <v>8788</v>
      </c>
      <c r="T112" s="254">
        <f t="shared" si="9"/>
        <v>8788</v>
      </c>
      <c r="U112" s="254">
        <v>35348</v>
      </c>
      <c r="V112" s="254">
        <v>35348</v>
      </c>
      <c r="W112" s="254">
        <v>35348</v>
      </c>
      <c r="X112" s="254">
        <v>35348</v>
      </c>
      <c r="Y112" s="254">
        <v>35348</v>
      </c>
      <c r="Z112" s="254">
        <v>35348</v>
      </c>
      <c r="AA112" s="254">
        <v>35348</v>
      </c>
      <c r="AB112" s="254">
        <v>35348</v>
      </c>
      <c r="AC112" s="254">
        <v>35348</v>
      </c>
      <c r="AD112" s="254">
        <v>35348</v>
      </c>
      <c r="AE112" s="254">
        <v>35348</v>
      </c>
      <c r="AF112" s="254">
        <v>35348</v>
      </c>
      <c r="AG112" s="254">
        <v>35348</v>
      </c>
      <c r="AH112" s="254">
        <v>35348</v>
      </c>
      <c r="AI112" s="254">
        <v>0</v>
      </c>
      <c r="AJ112" s="254">
        <v>0</v>
      </c>
      <c r="AK112" s="254">
        <v>0</v>
      </c>
      <c r="AL112" s="254">
        <v>0</v>
      </c>
      <c r="AM112" s="254">
        <v>0</v>
      </c>
      <c r="AN112" s="254">
        <v>0</v>
      </c>
      <c r="AO112" s="254">
        <v>0</v>
      </c>
      <c r="AP112" s="254">
        <v>0</v>
      </c>
      <c r="AQ112" s="254">
        <v>0</v>
      </c>
      <c r="AR112" s="254">
        <v>0</v>
      </c>
      <c r="AS112" s="254">
        <v>0</v>
      </c>
      <c r="AT112" s="254">
        <v>0</v>
      </c>
      <c r="AU112" s="254">
        <v>0</v>
      </c>
      <c r="AV112" s="254">
        <v>0</v>
      </c>
      <c r="AW112" s="254"/>
      <c r="AX112" s="254"/>
      <c r="AY112" s="255">
        <f t="shared" si="13"/>
        <v>503660</v>
      </c>
      <c r="AZ112" s="236">
        <f t="shared" si="14"/>
        <v>0</v>
      </c>
      <c r="BA112" s="256">
        <f t="shared" si="10"/>
        <v>282784</v>
      </c>
      <c r="BB112" s="255">
        <f t="shared" si="11"/>
        <v>503660</v>
      </c>
      <c r="BD112" s="257" t="b">
        <f t="shared" si="12"/>
        <v>1</v>
      </c>
      <c r="BE112" s="258">
        <f>BB112-K112-R112</f>
        <v>0</v>
      </c>
    </row>
    <row r="113" spans="2:57" x14ac:dyDescent="0.25">
      <c r="B113" s="259" t="s">
        <v>766</v>
      </c>
      <c r="C113" s="259"/>
      <c r="D113" s="259"/>
      <c r="E113" s="259"/>
      <c r="F113" s="259"/>
      <c r="G113" s="259"/>
      <c r="H113" s="259"/>
      <c r="I113" s="259"/>
      <c r="J113" s="260"/>
      <c r="K113" s="260"/>
      <c r="L113" s="260">
        <v>0</v>
      </c>
      <c r="M113" s="260" t="s">
        <v>896</v>
      </c>
      <c r="N113" s="261">
        <f>SUM(O113:P113)</f>
        <v>4.6120000000000001</v>
      </c>
      <c r="O113" s="261">
        <v>4.6120000000000001</v>
      </c>
      <c r="P113" s="261">
        <f>$P$4</f>
        <v>0</v>
      </c>
      <c r="Q113" s="261" t="s">
        <v>729</v>
      </c>
      <c r="R113" s="262">
        <v>13106.650000000001</v>
      </c>
      <c r="S113" s="262">
        <v>5936.25</v>
      </c>
      <c r="T113" s="263">
        <f t="shared" si="9"/>
        <v>19042.900000000001</v>
      </c>
      <c r="U113" s="263">
        <f>SUM(U112:$AV112)*$N113/100</f>
        <v>22823.496639999998</v>
      </c>
      <c r="V113" s="263">
        <f>SUM(V112:$AV112)*$N113/100</f>
        <v>21193.246880000002</v>
      </c>
      <c r="W113" s="263">
        <f>SUM(W112:$AV112)*$N113/100</f>
        <v>19562.99712</v>
      </c>
      <c r="X113" s="263">
        <f>SUM(X112:$AV112)*$N113/100</f>
        <v>17932.747360000001</v>
      </c>
      <c r="Y113" s="263">
        <f>SUM(Y112:$AV112)*$N113/100</f>
        <v>16302.497600000001</v>
      </c>
      <c r="Z113" s="263">
        <f>SUM(Z112:$AV112)*$N113/100</f>
        <v>14672.24784</v>
      </c>
      <c r="AA113" s="263">
        <f>SUM(AA112:$AV112)*$N113/100</f>
        <v>13041.998079999999</v>
      </c>
      <c r="AB113" s="263">
        <f>SUM(AB112:$AV112)*$N113/100</f>
        <v>11411.748319999999</v>
      </c>
      <c r="AC113" s="263">
        <f>SUM(AC112:$AV112)*$N113/100</f>
        <v>9781.49856</v>
      </c>
      <c r="AD113" s="263">
        <f>SUM(AD112:$AV112)*$N113/100</f>
        <v>8151.2488000000003</v>
      </c>
      <c r="AE113" s="263">
        <f>SUM(AE112:$AV112)*$N113/100</f>
        <v>6520.9990399999997</v>
      </c>
      <c r="AF113" s="263">
        <f>SUM(AF112:$AV112)*$N113/100</f>
        <v>4890.74928</v>
      </c>
      <c r="AG113" s="263">
        <f>SUM(AG112:$AV112)*$N113/100</f>
        <v>3260.4995199999998</v>
      </c>
      <c r="AH113" s="263">
        <f>SUM(AH112:$AV112)*$N113/100</f>
        <v>1630.2497599999999</v>
      </c>
      <c r="AI113" s="263">
        <v>0</v>
      </c>
      <c r="AJ113" s="263">
        <v>0</v>
      </c>
      <c r="AK113" s="263">
        <v>0</v>
      </c>
      <c r="AL113" s="263">
        <v>0</v>
      </c>
      <c r="AM113" s="263">
        <v>0</v>
      </c>
      <c r="AN113" s="263">
        <v>0</v>
      </c>
      <c r="AO113" s="263">
        <v>0</v>
      </c>
      <c r="AP113" s="263">
        <v>0</v>
      </c>
      <c r="AQ113" s="263">
        <v>0</v>
      </c>
      <c r="AR113" s="263">
        <v>0</v>
      </c>
      <c r="AS113" s="263">
        <v>0</v>
      </c>
      <c r="AT113" s="263">
        <v>0</v>
      </c>
      <c r="AU113" s="263">
        <v>0</v>
      </c>
      <c r="AV113" s="263">
        <v>0</v>
      </c>
      <c r="AW113" s="263"/>
      <c r="AX113" s="263"/>
      <c r="AY113" s="264">
        <f t="shared" si="13"/>
        <v>190219.12480000002</v>
      </c>
      <c r="AZ113" s="236">
        <f t="shared" si="14"/>
        <v>0</v>
      </c>
      <c r="BA113" s="265">
        <f t="shared" si="10"/>
        <v>58688.991359999993</v>
      </c>
      <c r="BB113" s="264">
        <f t="shared" si="11"/>
        <v>190219.12479999999</v>
      </c>
      <c r="BD113" s="257" t="b">
        <f t="shared" si="12"/>
        <v>1</v>
      </c>
    </row>
    <row r="114" spans="2:57" s="257" customFormat="1" x14ac:dyDescent="0.25">
      <c r="B114" s="250" t="s">
        <v>766</v>
      </c>
      <c r="C114" s="250">
        <v>55</v>
      </c>
      <c r="D114" s="250" t="s">
        <v>1016</v>
      </c>
      <c r="E114" s="250" t="s">
        <v>1017</v>
      </c>
      <c r="F114" s="250" t="s">
        <v>1018</v>
      </c>
      <c r="G114" s="250" t="s">
        <v>1014</v>
      </c>
      <c r="H114" s="250" t="s">
        <v>1019</v>
      </c>
      <c r="I114" s="250" t="s">
        <v>726</v>
      </c>
      <c r="J114" s="251">
        <v>300000</v>
      </c>
      <c r="K114" s="251">
        <v>300000</v>
      </c>
      <c r="L114" s="251"/>
      <c r="M114" s="251"/>
      <c r="N114" s="252"/>
      <c r="O114" s="252"/>
      <c r="P114" s="252"/>
      <c r="Q114" s="252" t="s">
        <v>727</v>
      </c>
      <c r="R114" s="253"/>
      <c r="S114" s="253">
        <v>8076</v>
      </c>
      <c r="T114" s="254">
        <f t="shared" si="9"/>
        <v>8076</v>
      </c>
      <c r="U114" s="254">
        <v>32436</v>
      </c>
      <c r="V114" s="254">
        <v>32436</v>
      </c>
      <c r="W114" s="254">
        <v>32436</v>
      </c>
      <c r="X114" s="254">
        <v>32436</v>
      </c>
      <c r="Y114" s="254">
        <v>32436</v>
      </c>
      <c r="Z114" s="254">
        <v>32436</v>
      </c>
      <c r="AA114" s="254">
        <v>32436</v>
      </c>
      <c r="AB114" s="254">
        <v>32436</v>
      </c>
      <c r="AC114" s="254">
        <v>32436</v>
      </c>
      <c r="AD114" s="254">
        <v>0</v>
      </c>
      <c r="AE114" s="254">
        <v>0</v>
      </c>
      <c r="AF114" s="254">
        <v>0</v>
      </c>
      <c r="AG114" s="254">
        <v>0</v>
      </c>
      <c r="AH114" s="254">
        <v>0</v>
      </c>
      <c r="AI114" s="254">
        <v>0</v>
      </c>
      <c r="AJ114" s="254">
        <v>0</v>
      </c>
      <c r="AK114" s="254">
        <v>0</v>
      </c>
      <c r="AL114" s="254">
        <v>0</v>
      </c>
      <c r="AM114" s="254">
        <v>0</v>
      </c>
      <c r="AN114" s="254">
        <v>0</v>
      </c>
      <c r="AO114" s="254">
        <v>0</v>
      </c>
      <c r="AP114" s="254">
        <v>0</v>
      </c>
      <c r="AQ114" s="254">
        <v>0</v>
      </c>
      <c r="AR114" s="254">
        <v>0</v>
      </c>
      <c r="AS114" s="254">
        <v>0</v>
      </c>
      <c r="AT114" s="254">
        <v>0</v>
      </c>
      <c r="AU114" s="254">
        <v>0</v>
      </c>
      <c r="AV114" s="254">
        <v>0</v>
      </c>
      <c r="AW114" s="254"/>
      <c r="AX114" s="254"/>
      <c r="AY114" s="255">
        <f t="shared" si="13"/>
        <v>300000</v>
      </c>
      <c r="AZ114" s="236">
        <f t="shared" si="14"/>
        <v>0</v>
      </c>
      <c r="BA114" s="256">
        <f t="shared" si="10"/>
        <v>97308</v>
      </c>
      <c r="BB114" s="255">
        <f t="shared" si="11"/>
        <v>300000</v>
      </c>
      <c r="BD114" s="257" t="b">
        <f t="shared" si="12"/>
        <v>1</v>
      </c>
      <c r="BE114" s="258">
        <f>BB114-K114-R114</f>
        <v>0</v>
      </c>
    </row>
    <row r="115" spans="2:57" x14ac:dyDescent="0.25">
      <c r="B115" s="259" t="s">
        <v>766</v>
      </c>
      <c r="C115" s="259"/>
      <c r="D115" s="259"/>
      <c r="E115" s="259"/>
      <c r="F115" s="259"/>
      <c r="G115" s="259"/>
      <c r="H115" s="259"/>
      <c r="I115" s="259"/>
      <c r="J115" s="260"/>
      <c r="K115" s="260"/>
      <c r="L115" s="260">
        <v>0</v>
      </c>
      <c r="M115" s="260" t="s">
        <v>896</v>
      </c>
      <c r="N115" s="261">
        <f>SUM(O115:P115)</f>
        <v>4.3979999999999997</v>
      </c>
      <c r="O115" s="261">
        <v>4.3979999999999997</v>
      </c>
      <c r="P115" s="261">
        <f>$P$4</f>
        <v>0</v>
      </c>
      <c r="Q115" s="261" t="s">
        <v>729</v>
      </c>
      <c r="R115" s="262">
        <v>7541.8600000000006</v>
      </c>
      <c r="S115" s="262">
        <v>3371.8</v>
      </c>
      <c r="T115" s="263">
        <f t="shared" si="9"/>
        <v>10913.66</v>
      </c>
      <c r="U115" s="263">
        <f>SUM(U114:$AV114)*$N115/100</f>
        <v>12838.817519999999</v>
      </c>
      <c r="V115" s="263">
        <f>SUM(V114:$AV114)*$N115/100</f>
        <v>11412.282239999999</v>
      </c>
      <c r="W115" s="263">
        <f>SUM(W114:$AV114)*$N115/100</f>
        <v>9985.7469599999986</v>
      </c>
      <c r="X115" s="263">
        <f>SUM(X114:$AV114)*$N115/100</f>
        <v>8559.2116800000003</v>
      </c>
      <c r="Y115" s="263">
        <f>SUM(Y114:$AV114)*$N115/100</f>
        <v>7132.6763999999994</v>
      </c>
      <c r="Z115" s="263">
        <f>SUM(Z114:$AV114)*$N115/100</f>
        <v>5706.1411199999993</v>
      </c>
      <c r="AA115" s="263">
        <f>SUM(AA114:$AV114)*$N115/100</f>
        <v>4279.6058400000002</v>
      </c>
      <c r="AB115" s="263">
        <f>SUM(AB114:$AV114)*$N115/100</f>
        <v>2853.0705599999997</v>
      </c>
      <c r="AC115" s="263">
        <f>SUM(AC114:$AV114)*$N115/100</f>
        <v>1426.5352799999998</v>
      </c>
      <c r="AD115" s="263">
        <v>0</v>
      </c>
      <c r="AE115" s="263">
        <v>0</v>
      </c>
      <c r="AF115" s="263">
        <v>0</v>
      </c>
      <c r="AG115" s="263">
        <v>0</v>
      </c>
      <c r="AH115" s="263">
        <v>0</v>
      </c>
      <c r="AI115" s="263">
        <v>0</v>
      </c>
      <c r="AJ115" s="263">
        <v>0</v>
      </c>
      <c r="AK115" s="263">
        <v>0</v>
      </c>
      <c r="AL115" s="263">
        <v>0</v>
      </c>
      <c r="AM115" s="263">
        <v>0</v>
      </c>
      <c r="AN115" s="263">
        <v>0</v>
      </c>
      <c r="AO115" s="263">
        <v>0</v>
      </c>
      <c r="AP115" s="263">
        <v>0</v>
      </c>
      <c r="AQ115" s="263">
        <v>0</v>
      </c>
      <c r="AR115" s="263">
        <v>0</v>
      </c>
      <c r="AS115" s="263">
        <v>0</v>
      </c>
      <c r="AT115" s="263">
        <v>0</v>
      </c>
      <c r="AU115" s="263">
        <v>0</v>
      </c>
      <c r="AV115" s="263">
        <v>0</v>
      </c>
      <c r="AW115" s="263"/>
      <c r="AX115" s="263"/>
      <c r="AY115" s="264">
        <f t="shared" si="13"/>
        <v>75107.747599999988</v>
      </c>
      <c r="AZ115" s="236">
        <f t="shared" si="14"/>
        <v>0</v>
      </c>
      <c r="BA115" s="265">
        <f t="shared" si="10"/>
        <v>8559.2116800000003</v>
      </c>
      <c r="BB115" s="264">
        <f t="shared" si="11"/>
        <v>75107.747600000002</v>
      </c>
      <c r="BD115" s="257" t="b">
        <f t="shared" si="12"/>
        <v>1</v>
      </c>
    </row>
    <row r="116" spans="2:57" s="257" customFormat="1" x14ac:dyDescent="0.25">
      <c r="B116" s="250" t="s">
        <v>720</v>
      </c>
      <c r="C116" s="250">
        <v>56</v>
      </c>
      <c r="D116" s="250" t="s">
        <v>1020</v>
      </c>
      <c r="E116" s="250" t="s">
        <v>1021</v>
      </c>
      <c r="F116" s="250" t="s">
        <v>1022</v>
      </c>
      <c r="G116" s="250" t="s">
        <v>1023</v>
      </c>
      <c r="H116" s="250" t="s">
        <v>1024</v>
      </c>
      <c r="I116" s="250" t="s">
        <v>726</v>
      </c>
      <c r="J116" s="251">
        <v>292889</v>
      </c>
      <c r="K116" s="251">
        <v>126903.87</v>
      </c>
      <c r="L116" s="251"/>
      <c r="M116" s="251"/>
      <c r="N116" s="252"/>
      <c r="O116" s="252"/>
      <c r="P116" s="252"/>
      <c r="Q116" s="252" t="s">
        <v>727</v>
      </c>
      <c r="R116" s="253">
        <v>1681</v>
      </c>
      <c r="S116" s="253">
        <v>8408</v>
      </c>
      <c r="T116" s="254">
        <f t="shared" si="9"/>
        <v>10089</v>
      </c>
      <c r="U116" s="254">
        <v>20200</v>
      </c>
      <c r="V116" s="254">
        <v>20200</v>
      </c>
      <c r="W116" s="254">
        <v>20200</v>
      </c>
      <c r="X116" s="254">
        <v>20200</v>
      </c>
      <c r="Y116" s="254">
        <v>20200</v>
      </c>
      <c r="Z116" s="254">
        <v>20200</v>
      </c>
      <c r="AA116" s="254">
        <v>20200</v>
      </c>
      <c r="AB116" s="254">
        <v>20200</v>
      </c>
      <c r="AC116" s="254">
        <v>20200</v>
      </c>
      <c r="AD116" s="254">
        <v>20200</v>
      </c>
      <c r="AE116" s="254">
        <v>20200</v>
      </c>
      <c r="AF116" s="254">
        <v>20200</v>
      </c>
      <c r="AG116" s="254">
        <v>20200</v>
      </c>
      <c r="AH116" s="254">
        <f>J116-AG116-AF116-AE116-AD116-AC116-AB116-AA116-Z116-Y116-X116-W116-V116-U116-T116</f>
        <v>20200</v>
      </c>
      <c r="AI116" s="254">
        <v>0</v>
      </c>
      <c r="AJ116" s="254">
        <v>0</v>
      </c>
      <c r="AK116" s="254">
        <v>0</v>
      </c>
      <c r="AL116" s="254">
        <v>0</v>
      </c>
      <c r="AM116" s="254">
        <v>0</v>
      </c>
      <c r="AN116" s="254">
        <v>0</v>
      </c>
      <c r="AO116" s="254">
        <v>0</v>
      </c>
      <c r="AP116" s="254">
        <v>0</v>
      </c>
      <c r="AQ116" s="254">
        <v>0</v>
      </c>
      <c r="AR116" s="254">
        <v>0</v>
      </c>
      <c r="AS116" s="254">
        <v>0</v>
      </c>
      <c r="AT116" s="254">
        <v>0</v>
      </c>
      <c r="AU116" s="254">
        <v>0</v>
      </c>
      <c r="AV116" s="254">
        <v>0</v>
      </c>
      <c r="AW116" s="254"/>
      <c r="AX116" s="254"/>
      <c r="AY116" s="255">
        <f t="shared" si="13"/>
        <v>292889</v>
      </c>
      <c r="AZ116" s="236">
        <f t="shared" si="14"/>
        <v>0</v>
      </c>
      <c r="BA116" s="256">
        <f t="shared" si="10"/>
        <v>161600</v>
      </c>
      <c r="BB116" s="255">
        <f t="shared" si="11"/>
        <v>292889</v>
      </c>
      <c r="BD116" s="257" t="b">
        <f t="shared" si="12"/>
        <v>1</v>
      </c>
      <c r="BE116" s="258">
        <f>BB116-J116</f>
        <v>0</v>
      </c>
    </row>
    <row r="117" spans="2:57" x14ac:dyDescent="0.25">
      <c r="B117" s="259" t="s">
        <v>720</v>
      </c>
      <c r="C117" s="259"/>
      <c r="D117" s="259"/>
      <c r="E117" s="259"/>
      <c r="F117" s="259"/>
      <c r="G117" s="259"/>
      <c r="H117" s="259"/>
      <c r="I117" s="259"/>
      <c r="J117" s="260"/>
      <c r="K117" s="260"/>
      <c r="L117" s="260">
        <v>0</v>
      </c>
      <c r="M117" s="260" t="s">
        <v>896</v>
      </c>
      <c r="N117" s="261">
        <f>SUM(O117:P117)</f>
        <v>4.6100000000000003</v>
      </c>
      <c r="O117" s="261">
        <v>4.6100000000000003</v>
      </c>
      <c r="P117" s="261">
        <f>$P$4</f>
        <v>0</v>
      </c>
      <c r="Q117" s="261" t="s">
        <v>729</v>
      </c>
      <c r="R117" s="262">
        <v>85.43</v>
      </c>
      <c r="S117" s="262">
        <v>438.67</v>
      </c>
      <c r="T117" s="263">
        <f t="shared" si="9"/>
        <v>524.1</v>
      </c>
      <c r="U117" s="263">
        <f>SUM(U116:$AV116)*$N117/100</f>
        <v>13037.08</v>
      </c>
      <c r="V117" s="263">
        <f>SUM(V116:$AV116)*$N117/100</f>
        <v>12105.86</v>
      </c>
      <c r="W117" s="263">
        <f>SUM(W116:$AV116)*$N117/100</f>
        <v>11174.64</v>
      </c>
      <c r="X117" s="263">
        <f>SUM(X116:$AV116)*$N117/100</f>
        <v>10243.420000000002</v>
      </c>
      <c r="Y117" s="263">
        <f>SUM(Y116:$AV116)*$N117/100</f>
        <v>9312.2000000000007</v>
      </c>
      <c r="Z117" s="263">
        <f>SUM(Z116:$AV116)*$N117/100</f>
        <v>8380.98</v>
      </c>
      <c r="AA117" s="263">
        <f>SUM(AA116:$AV116)*$N117/100</f>
        <v>7449.76</v>
      </c>
      <c r="AB117" s="263">
        <f>SUM(AB116:$AV116)*$N117/100</f>
        <v>6518.54</v>
      </c>
      <c r="AC117" s="263">
        <f>SUM(AC116:$AV116)*$N117/100</f>
        <v>5587.32</v>
      </c>
      <c r="AD117" s="263">
        <f>SUM(AD116:$AV116)*$N117/100</f>
        <v>4656.1000000000004</v>
      </c>
      <c r="AE117" s="263">
        <f>SUM(AE116:$AV116)*$N117/100</f>
        <v>3724.88</v>
      </c>
      <c r="AF117" s="263">
        <f>SUM(AF116:$AV116)*$N117/100</f>
        <v>2793.66</v>
      </c>
      <c r="AG117" s="263">
        <f>SUM(AG116:$AV116)*$N117/100</f>
        <v>1862.44</v>
      </c>
      <c r="AH117" s="263">
        <f>SUM(AH116:$AV116)*$N117/100</f>
        <v>931.22</v>
      </c>
      <c r="AI117" s="263">
        <v>0</v>
      </c>
      <c r="AJ117" s="263">
        <v>0</v>
      </c>
      <c r="AK117" s="263">
        <v>0</v>
      </c>
      <c r="AL117" s="263">
        <v>0</v>
      </c>
      <c r="AM117" s="263">
        <v>0</v>
      </c>
      <c r="AN117" s="263">
        <v>0</v>
      </c>
      <c r="AO117" s="263">
        <v>0</v>
      </c>
      <c r="AP117" s="263">
        <v>0</v>
      </c>
      <c r="AQ117" s="263">
        <v>0</v>
      </c>
      <c r="AR117" s="263">
        <v>0</v>
      </c>
      <c r="AS117" s="263">
        <v>0</v>
      </c>
      <c r="AT117" s="263">
        <v>0</v>
      </c>
      <c r="AU117" s="263">
        <v>0</v>
      </c>
      <c r="AV117" s="263">
        <v>0</v>
      </c>
      <c r="AW117" s="263"/>
      <c r="AX117" s="263"/>
      <c r="AY117" s="264">
        <f t="shared" si="13"/>
        <v>98302.200000000012</v>
      </c>
      <c r="AZ117" s="236">
        <f t="shared" si="14"/>
        <v>0</v>
      </c>
      <c r="BA117" s="265">
        <f t="shared" si="10"/>
        <v>33523.919999999998</v>
      </c>
      <c r="BB117" s="264">
        <f t="shared" si="11"/>
        <v>98302.2</v>
      </c>
      <c r="BD117" s="257" t="b">
        <f t="shared" si="12"/>
        <v>1</v>
      </c>
    </row>
    <row r="118" spans="2:57" s="257" customFormat="1" x14ac:dyDescent="0.25">
      <c r="B118" s="250" t="s">
        <v>766</v>
      </c>
      <c r="C118" s="250">
        <v>57</v>
      </c>
      <c r="D118" s="250" t="s">
        <v>204</v>
      </c>
      <c r="E118" s="250" t="s">
        <v>1025</v>
      </c>
      <c r="F118" s="250" t="s">
        <v>1026</v>
      </c>
      <c r="G118" s="250" t="s">
        <v>1027</v>
      </c>
      <c r="H118" s="250" t="s">
        <v>932</v>
      </c>
      <c r="I118" s="250" t="s">
        <v>726</v>
      </c>
      <c r="J118" s="251">
        <v>37335</v>
      </c>
      <c r="K118" s="251">
        <v>37335</v>
      </c>
      <c r="L118" s="251"/>
      <c r="M118" s="251"/>
      <c r="N118" s="252"/>
      <c r="O118" s="252"/>
      <c r="P118" s="252"/>
      <c r="Q118" s="252" t="s">
        <v>727</v>
      </c>
      <c r="R118" s="253"/>
      <c r="S118" s="253">
        <v>0</v>
      </c>
      <c r="T118" s="254">
        <f t="shared" si="9"/>
        <v>0</v>
      </c>
      <c r="U118" s="254">
        <v>37335</v>
      </c>
      <c r="V118" s="254">
        <v>0</v>
      </c>
      <c r="W118" s="254">
        <v>0</v>
      </c>
      <c r="X118" s="254">
        <v>0</v>
      </c>
      <c r="Y118" s="254">
        <v>0</v>
      </c>
      <c r="Z118" s="254">
        <v>0</v>
      </c>
      <c r="AA118" s="254">
        <v>0</v>
      </c>
      <c r="AB118" s="254">
        <v>0</v>
      </c>
      <c r="AC118" s="254">
        <v>0</v>
      </c>
      <c r="AD118" s="254">
        <v>0</v>
      </c>
      <c r="AE118" s="254">
        <v>0</v>
      </c>
      <c r="AF118" s="254">
        <v>0</v>
      </c>
      <c r="AG118" s="254">
        <v>0</v>
      </c>
      <c r="AH118" s="254">
        <v>0</v>
      </c>
      <c r="AI118" s="254">
        <v>0</v>
      </c>
      <c r="AJ118" s="254">
        <v>0</v>
      </c>
      <c r="AK118" s="254">
        <v>0</v>
      </c>
      <c r="AL118" s="254">
        <v>0</v>
      </c>
      <c r="AM118" s="254">
        <v>0</v>
      </c>
      <c r="AN118" s="254">
        <v>0</v>
      </c>
      <c r="AO118" s="254">
        <v>0</v>
      </c>
      <c r="AP118" s="254">
        <v>0</v>
      </c>
      <c r="AQ118" s="254">
        <v>0</v>
      </c>
      <c r="AR118" s="254">
        <v>0</v>
      </c>
      <c r="AS118" s="254">
        <v>0</v>
      </c>
      <c r="AT118" s="254">
        <v>0</v>
      </c>
      <c r="AU118" s="254">
        <v>0</v>
      </c>
      <c r="AV118" s="254">
        <v>0</v>
      </c>
      <c r="AW118" s="254"/>
      <c r="AX118" s="254"/>
      <c r="AY118" s="255">
        <f t="shared" si="13"/>
        <v>37335</v>
      </c>
      <c r="AZ118" s="236">
        <f t="shared" si="14"/>
        <v>0</v>
      </c>
      <c r="BA118" s="256">
        <f t="shared" si="10"/>
        <v>0</v>
      </c>
      <c r="BB118" s="255">
        <f t="shared" si="11"/>
        <v>37335</v>
      </c>
      <c r="BD118" s="257" t="b">
        <f t="shared" si="12"/>
        <v>1</v>
      </c>
      <c r="BE118" s="258">
        <f>BB118-K118-R118</f>
        <v>0</v>
      </c>
    </row>
    <row r="119" spans="2:57" x14ac:dyDescent="0.25">
      <c r="B119" s="259" t="s">
        <v>766</v>
      </c>
      <c r="C119" s="259"/>
      <c r="D119" s="259"/>
      <c r="E119" s="259"/>
      <c r="F119" s="259"/>
      <c r="G119" s="259"/>
      <c r="H119" s="259"/>
      <c r="I119" s="259"/>
      <c r="J119" s="260"/>
      <c r="K119" s="260"/>
      <c r="L119" s="260" t="s">
        <v>1028</v>
      </c>
      <c r="M119" s="260"/>
      <c r="N119" s="261">
        <f>SUM(O119:P119)</f>
        <v>3.605</v>
      </c>
      <c r="O119" s="261">
        <v>3.605</v>
      </c>
      <c r="P119" s="261">
        <f>$P$4</f>
        <v>0</v>
      </c>
      <c r="Q119" s="261" t="s">
        <v>729</v>
      </c>
      <c r="R119" s="262">
        <v>119.64</v>
      </c>
      <c r="S119" s="262">
        <v>343.96</v>
      </c>
      <c r="T119" s="263">
        <f t="shared" si="9"/>
        <v>463.59999999999997</v>
      </c>
      <c r="U119" s="263">
        <f>SUM(U118:$AV118)*$N119/100</f>
        <v>1345.9267499999999</v>
      </c>
      <c r="V119" s="263">
        <v>0</v>
      </c>
      <c r="W119" s="263">
        <v>0</v>
      </c>
      <c r="X119" s="263">
        <v>0</v>
      </c>
      <c r="Y119" s="263">
        <v>0</v>
      </c>
      <c r="Z119" s="263">
        <v>0</v>
      </c>
      <c r="AA119" s="263">
        <v>0</v>
      </c>
      <c r="AB119" s="263">
        <v>0</v>
      </c>
      <c r="AC119" s="263">
        <v>0</v>
      </c>
      <c r="AD119" s="263">
        <v>0</v>
      </c>
      <c r="AE119" s="263">
        <v>0</v>
      </c>
      <c r="AF119" s="263">
        <v>0</v>
      </c>
      <c r="AG119" s="263">
        <v>0</v>
      </c>
      <c r="AH119" s="263">
        <v>0</v>
      </c>
      <c r="AI119" s="263">
        <v>0</v>
      </c>
      <c r="AJ119" s="263">
        <v>0</v>
      </c>
      <c r="AK119" s="263">
        <v>0</v>
      </c>
      <c r="AL119" s="263">
        <v>0</v>
      </c>
      <c r="AM119" s="263">
        <v>0</v>
      </c>
      <c r="AN119" s="263">
        <v>0</v>
      </c>
      <c r="AO119" s="263">
        <v>0</v>
      </c>
      <c r="AP119" s="263">
        <v>0</v>
      </c>
      <c r="AQ119" s="263">
        <v>0</v>
      </c>
      <c r="AR119" s="263">
        <v>0</v>
      </c>
      <c r="AS119" s="263">
        <v>0</v>
      </c>
      <c r="AT119" s="263">
        <v>0</v>
      </c>
      <c r="AU119" s="263">
        <v>0</v>
      </c>
      <c r="AV119" s="263">
        <v>0</v>
      </c>
      <c r="AW119" s="263"/>
      <c r="AX119" s="263"/>
      <c r="AY119" s="264">
        <f t="shared" si="13"/>
        <v>1809.5267499999998</v>
      </c>
      <c r="AZ119" s="236">
        <f t="shared" si="14"/>
        <v>0</v>
      </c>
      <c r="BA119" s="265">
        <f t="shared" si="10"/>
        <v>0</v>
      </c>
      <c r="BB119" s="264">
        <f t="shared" si="11"/>
        <v>1809.5267499999998</v>
      </c>
      <c r="BD119" s="257" t="b">
        <f t="shared" si="12"/>
        <v>1</v>
      </c>
    </row>
    <row r="120" spans="2:57" s="257" customFormat="1" x14ac:dyDescent="0.25">
      <c r="B120" s="250" t="s">
        <v>766</v>
      </c>
      <c r="C120" s="250">
        <v>58</v>
      </c>
      <c r="D120" s="250" t="s">
        <v>1029</v>
      </c>
      <c r="E120" s="250" t="s">
        <v>1030</v>
      </c>
      <c r="F120" s="250" t="s">
        <v>1031</v>
      </c>
      <c r="G120" s="250" t="s">
        <v>1032</v>
      </c>
      <c r="H120" s="250" t="s">
        <v>931</v>
      </c>
      <c r="I120" s="250" t="s">
        <v>726</v>
      </c>
      <c r="J120" s="251">
        <v>495501</v>
      </c>
      <c r="K120" s="268">
        <v>296400.88</v>
      </c>
      <c r="L120" s="251"/>
      <c r="M120" s="251"/>
      <c r="N120" s="252"/>
      <c r="O120" s="252"/>
      <c r="P120" s="252"/>
      <c r="Q120" s="252" t="s">
        <v>727</v>
      </c>
      <c r="R120" s="253"/>
      <c r="S120" s="253">
        <v>0</v>
      </c>
      <c r="T120" s="254">
        <f t="shared" si="9"/>
        <v>0</v>
      </c>
      <c r="U120" s="254">
        <v>26079</v>
      </c>
      <c r="V120" s="254">
        <v>34772</v>
      </c>
      <c r="W120" s="254">
        <v>34772</v>
      </c>
      <c r="X120" s="254">
        <v>34772</v>
      </c>
      <c r="Y120" s="254">
        <v>34772</v>
      </c>
      <c r="Z120" s="254">
        <v>34772</v>
      </c>
      <c r="AA120" s="254">
        <v>34772</v>
      </c>
      <c r="AB120" s="254">
        <v>34772</v>
      </c>
      <c r="AC120" s="254">
        <v>34772</v>
      </c>
      <c r="AD120" s="254">
        <v>34772</v>
      </c>
      <c r="AE120" s="254">
        <v>34772</v>
      </c>
      <c r="AF120" s="254">
        <v>34772</v>
      </c>
      <c r="AG120" s="254">
        <v>34772</v>
      </c>
      <c r="AH120" s="254">
        <v>34772</v>
      </c>
      <c r="AI120" s="254">
        <v>17386</v>
      </c>
      <c r="AJ120" s="254">
        <v>0</v>
      </c>
      <c r="AK120" s="254">
        <v>0</v>
      </c>
      <c r="AL120" s="254">
        <v>0</v>
      </c>
      <c r="AM120" s="254">
        <v>0</v>
      </c>
      <c r="AN120" s="254">
        <v>0</v>
      </c>
      <c r="AO120" s="254">
        <v>0</v>
      </c>
      <c r="AP120" s="254">
        <v>0</v>
      </c>
      <c r="AQ120" s="254">
        <v>0</v>
      </c>
      <c r="AR120" s="254">
        <v>0</v>
      </c>
      <c r="AS120" s="254">
        <v>0</v>
      </c>
      <c r="AT120" s="254">
        <v>0</v>
      </c>
      <c r="AU120" s="254">
        <v>0</v>
      </c>
      <c r="AV120" s="254">
        <v>0</v>
      </c>
      <c r="AW120" s="254"/>
      <c r="AX120" s="254"/>
      <c r="AY120" s="255">
        <f t="shared" si="13"/>
        <v>495501</v>
      </c>
      <c r="AZ120" s="236">
        <f t="shared" si="14"/>
        <v>0</v>
      </c>
      <c r="BA120" s="256">
        <f t="shared" si="10"/>
        <v>295562</v>
      </c>
      <c r="BB120" s="255">
        <f t="shared" si="11"/>
        <v>495501</v>
      </c>
      <c r="BD120" s="257" t="b">
        <f t="shared" si="12"/>
        <v>1</v>
      </c>
      <c r="BE120" s="258">
        <f>BB120-K120-R120</f>
        <v>199100.12</v>
      </c>
    </row>
    <row r="121" spans="2:57" x14ac:dyDescent="0.25">
      <c r="B121" s="259" t="s">
        <v>766</v>
      </c>
      <c r="C121" s="259"/>
      <c r="D121" s="259"/>
      <c r="E121" s="259"/>
      <c r="F121" s="259"/>
      <c r="G121" s="259"/>
      <c r="H121" s="259"/>
      <c r="I121" s="259"/>
      <c r="J121" s="260"/>
      <c r="K121" s="266"/>
      <c r="L121" s="260" t="s">
        <v>1033</v>
      </c>
      <c r="M121" s="260"/>
      <c r="N121" s="261">
        <f>SUM(O121:P121)</f>
        <v>5.524</v>
      </c>
      <c r="O121" s="261">
        <v>5.524</v>
      </c>
      <c r="P121" s="261">
        <f>$P$4</f>
        <v>0</v>
      </c>
      <c r="Q121" s="261" t="s">
        <v>729</v>
      </c>
      <c r="R121" s="262">
        <v>20.170000000000002</v>
      </c>
      <c r="S121" s="262">
        <v>2283.11</v>
      </c>
      <c r="T121" s="263">
        <f t="shared" si="9"/>
        <v>2303.2800000000002</v>
      </c>
      <c r="U121" s="263">
        <f>SUM(U120:$AV120)*$N121/100</f>
        <v>27371.475240000003</v>
      </c>
      <c r="V121" s="263">
        <f>SUM(V120:$AV120)*$N121/100</f>
        <v>25930.871279999999</v>
      </c>
      <c r="W121" s="263">
        <f>SUM(W120:$AV120)*$N121/100</f>
        <v>24010.066000000003</v>
      </c>
      <c r="X121" s="263">
        <f>SUM(X120:$AV120)*$N121/100</f>
        <v>22089.260720000002</v>
      </c>
      <c r="Y121" s="263">
        <f>SUM(Y120:$AV120)*$N121/100</f>
        <v>20168.455440000002</v>
      </c>
      <c r="Z121" s="263">
        <f>SUM(Z120:$AV120)*$N121/100</f>
        <v>18247.650160000001</v>
      </c>
      <c r="AA121" s="263">
        <f>SUM(AA120:$AV120)*$N121/100</f>
        <v>16326.844879999999</v>
      </c>
      <c r="AB121" s="263">
        <f>SUM(AB120:$AV120)*$N121/100</f>
        <v>14406.0396</v>
      </c>
      <c r="AC121" s="263">
        <f>SUM(AC120:$AV120)*$N121/100</f>
        <v>12485.23432</v>
      </c>
      <c r="AD121" s="263">
        <f>SUM(AD120:$AV120)*$N121/100</f>
        <v>10564.429040000001</v>
      </c>
      <c r="AE121" s="263">
        <f>SUM(AE120:$AV120)*$N121/100</f>
        <v>8643.6237600000004</v>
      </c>
      <c r="AF121" s="263">
        <f>SUM(AF120:$AV120)*$N121/100</f>
        <v>6722.8184799999999</v>
      </c>
      <c r="AG121" s="263">
        <f>SUM(AG120:$AV120)*$N121/100</f>
        <v>4802.0132000000003</v>
      </c>
      <c r="AH121" s="263">
        <f>SUM(AH120:$AV120)*$N121/100</f>
        <v>2881.2079200000003</v>
      </c>
      <c r="AI121" s="263">
        <f>SUM(AI120:$AV120)*$N121/100</f>
        <v>960.40263999999991</v>
      </c>
      <c r="AJ121" s="263">
        <v>0</v>
      </c>
      <c r="AK121" s="263">
        <v>0</v>
      </c>
      <c r="AL121" s="263">
        <v>0</v>
      </c>
      <c r="AM121" s="263">
        <v>0</v>
      </c>
      <c r="AN121" s="263">
        <v>0</v>
      </c>
      <c r="AO121" s="263">
        <v>0</v>
      </c>
      <c r="AP121" s="263">
        <v>0</v>
      </c>
      <c r="AQ121" s="263">
        <v>0</v>
      </c>
      <c r="AR121" s="263">
        <v>0</v>
      </c>
      <c r="AS121" s="263">
        <v>0</v>
      </c>
      <c r="AT121" s="263">
        <v>0</v>
      </c>
      <c r="AU121" s="263">
        <v>0</v>
      </c>
      <c r="AV121" s="263">
        <v>0</v>
      </c>
      <c r="AW121" s="263"/>
      <c r="AX121" s="263"/>
      <c r="AY121" s="264">
        <f t="shared" si="13"/>
        <v>217913.6726799999</v>
      </c>
      <c r="AZ121" s="236">
        <f t="shared" si="14"/>
        <v>0</v>
      </c>
      <c r="BA121" s="265">
        <f t="shared" si="10"/>
        <v>77792.613840000005</v>
      </c>
      <c r="BB121" s="264">
        <f t="shared" si="11"/>
        <v>217913.67268000002</v>
      </c>
      <c r="BD121" s="257" t="b">
        <f t="shared" si="12"/>
        <v>1</v>
      </c>
    </row>
    <row r="122" spans="2:57" s="257" customFormat="1" x14ac:dyDescent="0.25">
      <c r="B122" s="250" t="s">
        <v>766</v>
      </c>
      <c r="C122" s="250">
        <v>59</v>
      </c>
      <c r="D122" s="250" t="s">
        <v>1034</v>
      </c>
      <c r="E122" s="250" t="s">
        <v>1035</v>
      </c>
      <c r="F122" s="250" t="s">
        <v>1036</v>
      </c>
      <c r="G122" s="250" t="s">
        <v>1037</v>
      </c>
      <c r="H122" s="250" t="s">
        <v>1038</v>
      </c>
      <c r="I122" s="250" t="s">
        <v>726</v>
      </c>
      <c r="J122" s="251">
        <v>167687</v>
      </c>
      <c r="K122" s="268">
        <v>119519.3</v>
      </c>
      <c r="L122" s="251"/>
      <c r="M122" s="251"/>
      <c r="N122" s="252"/>
      <c r="O122" s="252"/>
      <c r="P122" s="252"/>
      <c r="Q122" s="252" t="s">
        <v>727</v>
      </c>
      <c r="R122" s="253"/>
      <c r="S122" s="253">
        <v>0</v>
      </c>
      <c r="T122" s="254">
        <f t="shared" si="9"/>
        <v>0</v>
      </c>
      <c r="U122" s="254">
        <f>16769*3</f>
        <v>50307</v>
      </c>
      <c r="V122" s="254">
        <f>16769*4</f>
        <v>67076</v>
      </c>
      <c r="W122" s="254">
        <f>16769*3</f>
        <v>50307</v>
      </c>
      <c r="X122" s="254">
        <v>0</v>
      </c>
      <c r="Y122" s="254">
        <v>0</v>
      </c>
      <c r="Z122" s="254">
        <v>0</v>
      </c>
      <c r="AA122" s="254">
        <v>0</v>
      </c>
      <c r="AB122" s="254">
        <v>0</v>
      </c>
      <c r="AC122" s="254">
        <v>0</v>
      </c>
      <c r="AD122" s="254">
        <v>0</v>
      </c>
      <c r="AE122" s="254">
        <v>0</v>
      </c>
      <c r="AF122" s="254">
        <v>0</v>
      </c>
      <c r="AG122" s="254">
        <v>0</v>
      </c>
      <c r="AH122" s="254">
        <v>0</v>
      </c>
      <c r="AI122" s="254">
        <v>0</v>
      </c>
      <c r="AJ122" s="254">
        <v>0</v>
      </c>
      <c r="AK122" s="254">
        <v>0</v>
      </c>
      <c r="AL122" s="254">
        <v>0</v>
      </c>
      <c r="AM122" s="254">
        <v>0</v>
      </c>
      <c r="AN122" s="254">
        <v>0</v>
      </c>
      <c r="AO122" s="254">
        <v>0</v>
      </c>
      <c r="AP122" s="254">
        <v>0</v>
      </c>
      <c r="AQ122" s="254">
        <v>0</v>
      </c>
      <c r="AR122" s="254">
        <v>0</v>
      </c>
      <c r="AS122" s="254">
        <v>0</v>
      </c>
      <c r="AT122" s="254">
        <v>0</v>
      </c>
      <c r="AU122" s="254">
        <v>0</v>
      </c>
      <c r="AV122" s="254">
        <v>0</v>
      </c>
      <c r="AW122" s="254"/>
      <c r="AX122" s="254"/>
      <c r="AY122" s="255">
        <f t="shared" si="13"/>
        <v>167690</v>
      </c>
      <c r="AZ122" s="236">
        <f t="shared" si="14"/>
        <v>0</v>
      </c>
      <c r="BA122" s="256">
        <f t="shared" si="10"/>
        <v>0</v>
      </c>
      <c r="BB122" s="255">
        <f t="shared" si="11"/>
        <v>167690</v>
      </c>
      <c r="BD122" s="257" t="b">
        <f t="shared" si="12"/>
        <v>1</v>
      </c>
      <c r="BE122" s="258">
        <f>BB122-K122-R122</f>
        <v>48170.7</v>
      </c>
    </row>
    <row r="123" spans="2:57" x14ac:dyDescent="0.25">
      <c r="B123" s="259" t="s">
        <v>766</v>
      </c>
      <c r="C123" s="259"/>
      <c r="D123" s="259"/>
      <c r="E123" s="259"/>
      <c r="F123" s="259"/>
      <c r="G123" s="259"/>
      <c r="H123" s="259"/>
      <c r="I123" s="259"/>
      <c r="J123" s="260"/>
      <c r="K123" s="260"/>
      <c r="L123" s="260" t="s">
        <v>976</v>
      </c>
      <c r="M123" s="260"/>
      <c r="N123" s="261">
        <f>SUM(O123:P123)</f>
        <v>4.718</v>
      </c>
      <c r="O123" s="261">
        <v>4.718</v>
      </c>
      <c r="P123" s="261">
        <f>$P$4</f>
        <v>0</v>
      </c>
      <c r="Q123" s="261" t="s">
        <v>729</v>
      </c>
      <c r="R123" s="262"/>
      <c r="S123" s="262">
        <v>313.27</v>
      </c>
      <c r="T123" s="263">
        <f t="shared" ref="T123" si="15">SUM(R123:S123)</f>
        <v>313.27</v>
      </c>
      <c r="U123" s="263">
        <f>SUM(U122:$AV122)*$N123/100</f>
        <v>7911.6142</v>
      </c>
      <c r="V123" s="263">
        <f>SUM(V122:$AV122)*$N123/100</f>
        <v>5538.1299399999998</v>
      </c>
      <c r="W123" s="263">
        <f>SUM(W122:$AV122)*$N123/100</f>
        <v>2373.4842600000002</v>
      </c>
      <c r="X123" s="263">
        <v>0</v>
      </c>
      <c r="Y123" s="263">
        <v>0</v>
      </c>
      <c r="Z123" s="263">
        <v>0</v>
      </c>
      <c r="AA123" s="263">
        <v>0</v>
      </c>
      <c r="AB123" s="263">
        <v>0</v>
      </c>
      <c r="AC123" s="263">
        <v>0</v>
      </c>
      <c r="AD123" s="263">
        <v>0</v>
      </c>
      <c r="AE123" s="263">
        <v>0</v>
      </c>
      <c r="AF123" s="263">
        <v>0</v>
      </c>
      <c r="AG123" s="263">
        <v>0</v>
      </c>
      <c r="AH123" s="263">
        <v>0</v>
      </c>
      <c r="AI123" s="263">
        <v>0</v>
      </c>
      <c r="AJ123" s="263">
        <v>0</v>
      </c>
      <c r="AK123" s="263">
        <v>0</v>
      </c>
      <c r="AL123" s="263">
        <v>0</v>
      </c>
      <c r="AM123" s="263">
        <v>0</v>
      </c>
      <c r="AN123" s="263">
        <v>0</v>
      </c>
      <c r="AO123" s="263">
        <v>0</v>
      </c>
      <c r="AP123" s="263">
        <v>0</v>
      </c>
      <c r="AQ123" s="263">
        <v>0</v>
      </c>
      <c r="AR123" s="263">
        <v>0</v>
      </c>
      <c r="AS123" s="263">
        <v>0</v>
      </c>
      <c r="AT123" s="263">
        <v>0</v>
      </c>
      <c r="AU123" s="263">
        <v>0</v>
      </c>
      <c r="AV123" s="263">
        <v>0</v>
      </c>
      <c r="AW123" s="263"/>
      <c r="AX123" s="263"/>
      <c r="AY123" s="264">
        <f t="shared" si="13"/>
        <v>16136.4984</v>
      </c>
      <c r="AZ123" s="236">
        <f t="shared" si="14"/>
        <v>0</v>
      </c>
      <c r="BA123" s="265">
        <f t="shared" si="10"/>
        <v>0</v>
      </c>
      <c r="BB123" s="264">
        <f t="shared" si="11"/>
        <v>16136.4984</v>
      </c>
      <c r="BD123" s="257" t="b">
        <f t="shared" si="12"/>
        <v>1</v>
      </c>
    </row>
    <row r="124" spans="2:57" s="274" customFormat="1" x14ac:dyDescent="0.25">
      <c r="B124" s="269" t="s">
        <v>720</v>
      </c>
      <c r="C124" s="269">
        <v>60</v>
      </c>
      <c r="D124" s="269" t="s">
        <v>330</v>
      </c>
      <c r="E124" s="269" t="s">
        <v>1039</v>
      </c>
      <c r="F124" s="269" t="s">
        <v>1040</v>
      </c>
      <c r="G124" s="269" t="s">
        <v>1041</v>
      </c>
      <c r="H124" s="269" t="s">
        <v>1042</v>
      </c>
      <c r="I124" s="269" t="s">
        <v>726</v>
      </c>
      <c r="J124" s="251">
        <v>287500</v>
      </c>
      <c r="K124" s="270">
        <v>0</v>
      </c>
      <c r="L124" s="270"/>
      <c r="M124" s="270"/>
      <c r="N124" s="271"/>
      <c r="O124" s="271"/>
      <c r="P124" s="271"/>
      <c r="Q124" s="252" t="s">
        <v>727</v>
      </c>
      <c r="R124" s="272"/>
      <c r="S124" s="254"/>
      <c r="T124" s="254"/>
      <c r="U124" s="254">
        <v>15542</v>
      </c>
      <c r="V124" s="254">
        <v>31084</v>
      </c>
      <c r="W124" s="254">
        <v>31084</v>
      </c>
      <c r="X124" s="254">
        <v>31084</v>
      </c>
      <c r="Y124" s="254">
        <v>31084</v>
      </c>
      <c r="Z124" s="254">
        <v>31084</v>
      </c>
      <c r="AA124" s="254">
        <v>31084</v>
      </c>
      <c r="AB124" s="254">
        <v>31084</v>
      </c>
      <c r="AC124" s="254">
        <v>31084</v>
      </c>
      <c r="AD124" s="254">
        <f>J124-AC124-AB124-AA124-Z124-Y124-X124-W124-V124-U124</f>
        <v>23286</v>
      </c>
      <c r="AE124" s="254"/>
      <c r="AF124" s="254"/>
      <c r="AG124" s="254"/>
      <c r="AH124" s="254"/>
      <c r="AI124" s="254"/>
      <c r="AJ124" s="254"/>
      <c r="AK124" s="254"/>
      <c r="AL124" s="254"/>
      <c r="AM124" s="254"/>
      <c r="AN124" s="254"/>
      <c r="AO124" s="254"/>
      <c r="AP124" s="254"/>
      <c r="AQ124" s="254"/>
      <c r="AR124" s="254"/>
      <c r="AS124" s="254"/>
      <c r="AT124" s="254"/>
      <c r="AU124" s="254"/>
      <c r="AV124" s="254"/>
      <c r="AW124" s="254"/>
      <c r="AX124" s="254"/>
      <c r="AY124" s="255">
        <f t="shared" si="13"/>
        <v>287500</v>
      </c>
      <c r="AZ124" s="273">
        <f t="shared" si="14"/>
        <v>0</v>
      </c>
      <c r="BA124" s="256">
        <f t="shared" si="10"/>
        <v>116538</v>
      </c>
      <c r="BB124" s="255">
        <f t="shared" si="11"/>
        <v>287500</v>
      </c>
      <c r="BD124" s="275" t="b">
        <f t="shared" si="12"/>
        <v>1</v>
      </c>
      <c r="BE124" s="276">
        <f>BB124-K124-R124</f>
        <v>287500</v>
      </c>
    </row>
    <row r="125" spans="2:57" s="274" customFormat="1" x14ac:dyDescent="0.25">
      <c r="B125" s="277" t="s">
        <v>720</v>
      </c>
      <c r="C125" s="277"/>
      <c r="D125" s="277"/>
      <c r="E125" s="277"/>
      <c r="F125" s="277"/>
      <c r="G125" s="277"/>
      <c r="H125" s="277"/>
      <c r="I125" s="277"/>
      <c r="J125" s="260"/>
      <c r="K125" s="260"/>
      <c r="L125" s="260"/>
      <c r="M125" s="260"/>
      <c r="N125" s="261">
        <f>SUM(O125:P125)</f>
        <v>5.2960000000000003</v>
      </c>
      <c r="O125" s="261">
        <v>5.2960000000000003</v>
      </c>
      <c r="P125" s="261">
        <f>$P$4</f>
        <v>0</v>
      </c>
      <c r="Q125" s="261" t="s">
        <v>729</v>
      </c>
      <c r="R125" s="278"/>
      <c r="S125" s="263"/>
      <c r="T125" s="263"/>
      <c r="U125" s="263">
        <f>SUM(U124:$AV124)*$N125/100</f>
        <v>15226</v>
      </c>
      <c r="V125" s="263">
        <f>SUM(V124:$AV124)*$N125/100</f>
        <v>14402.89568</v>
      </c>
      <c r="W125" s="263">
        <f>SUM(W124:$AV124)*$N125/100</f>
        <v>12756.687040000001</v>
      </c>
      <c r="X125" s="263">
        <f>SUM(X124:$AV124)*$N125/100</f>
        <v>11110.4784</v>
      </c>
      <c r="Y125" s="263">
        <f>SUM(Y124:$AV124)*$N125/100</f>
        <v>9464.269760000001</v>
      </c>
      <c r="Z125" s="263">
        <f>SUM(Z124:$AV124)*$N125/100</f>
        <v>7818.0611200000012</v>
      </c>
      <c r="AA125" s="263">
        <f>SUM(AA124:$AV124)*$N125/100</f>
        <v>6171.8524800000005</v>
      </c>
      <c r="AB125" s="263">
        <f>SUM(AB124:$AV124)*$N125/100</f>
        <v>4525.6438400000006</v>
      </c>
      <c r="AC125" s="263">
        <f>SUM(AC124:$AV124)*$N125/100</f>
        <v>2879.4352000000003</v>
      </c>
      <c r="AD125" s="263">
        <f>SUM(AD124:$AV124)*$N125/100</f>
        <v>1233.2265600000001</v>
      </c>
      <c r="AE125" s="263"/>
      <c r="AF125" s="263"/>
      <c r="AG125" s="263"/>
      <c r="AH125" s="263"/>
      <c r="AI125" s="263"/>
      <c r="AJ125" s="263"/>
      <c r="AK125" s="263"/>
      <c r="AL125" s="263"/>
      <c r="AM125" s="263"/>
      <c r="AN125" s="263"/>
      <c r="AO125" s="263"/>
      <c r="AP125" s="263"/>
      <c r="AQ125" s="263"/>
      <c r="AR125" s="263"/>
      <c r="AS125" s="263"/>
      <c r="AT125" s="263"/>
      <c r="AU125" s="263"/>
      <c r="AV125" s="263"/>
      <c r="AW125" s="263"/>
      <c r="AX125" s="263"/>
      <c r="AY125" s="264">
        <f t="shared" si="13"/>
        <v>85588.550080000015</v>
      </c>
      <c r="AZ125" s="273">
        <f t="shared" si="14"/>
        <v>0</v>
      </c>
      <c r="BA125" s="265">
        <f t="shared" si="10"/>
        <v>14810.158080000001</v>
      </c>
      <c r="BB125" s="264">
        <f t="shared" si="11"/>
        <v>85588.550080000015</v>
      </c>
      <c r="BD125" s="275" t="b">
        <f t="shared" si="12"/>
        <v>1</v>
      </c>
    </row>
    <row r="126" spans="2:57" s="282" customFormat="1" ht="14.25" x14ac:dyDescent="0.2">
      <c r="B126" s="279" t="s">
        <v>720</v>
      </c>
      <c r="C126" s="279">
        <v>61</v>
      </c>
      <c r="D126" s="279" t="s">
        <v>323</v>
      </c>
      <c r="E126" s="279" t="s">
        <v>1043</v>
      </c>
      <c r="F126" s="279" t="s">
        <v>1044</v>
      </c>
      <c r="G126" s="280">
        <v>45215</v>
      </c>
      <c r="H126" s="280">
        <v>49572</v>
      </c>
      <c r="I126" s="279" t="s">
        <v>726</v>
      </c>
      <c r="J126" s="251">
        <v>353750</v>
      </c>
      <c r="K126" s="251"/>
      <c r="L126" s="251"/>
      <c r="M126" s="251"/>
      <c r="N126" s="252"/>
      <c r="O126" s="252"/>
      <c r="P126" s="252"/>
      <c r="Q126" s="252" t="s">
        <v>727</v>
      </c>
      <c r="R126" s="272"/>
      <c r="S126" s="254"/>
      <c r="T126" s="254"/>
      <c r="U126" s="254">
        <f>7527*4</f>
        <v>30108</v>
      </c>
      <c r="V126" s="254">
        <f t="shared" ref="V126:AE126" si="16">7527*4</f>
        <v>30108</v>
      </c>
      <c r="W126" s="254">
        <f t="shared" si="16"/>
        <v>30108</v>
      </c>
      <c r="X126" s="254">
        <f t="shared" si="16"/>
        <v>30108</v>
      </c>
      <c r="Y126" s="254">
        <f t="shared" si="16"/>
        <v>30108</v>
      </c>
      <c r="Z126" s="254">
        <f t="shared" si="16"/>
        <v>30108</v>
      </c>
      <c r="AA126" s="254">
        <f t="shared" si="16"/>
        <v>30108</v>
      </c>
      <c r="AB126" s="254">
        <f t="shared" si="16"/>
        <v>30108</v>
      </c>
      <c r="AC126" s="254">
        <f t="shared" si="16"/>
        <v>30108</v>
      </c>
      <c r="AD126" s="254">
        <f t="shared" si="16"/>
        <v>30108</v>
      </c>
      <c r="AE126" s="254">
        <f t="shared" si="16"/>
        <v>30108</v>
      </c>
      <c r="AF126" s="254">
        <f>7527*2+7508</f>
        <v>22562</v>
      </c>
      <c r="AG126" s="254"/>
      <c r="AH126" s="254"/>
      <c r="AI126" s="254"/>
      <c r="AJ126" s="254"/>
      <c r="AK126" s="254"/>
      <c r="AL126" s="254"/>
      <c r="AM126" s="254"/>
      <c r="AN126" s="254"/>
      <c r="AO126" s="254"/>
      <c r="AP126" s="254"/>
      <c r="AQ126" s="254"/>
      <c r="AR126" s="254"/>
      <c r="AS126" s="254"/>
      <c r="AT126" s="254"/>
      <c r="AU126" s="254"/>
      <c r="AV126" s="254"/>
      <c r="AW126" s="254"/>
      <c r="AX126" s="254"/>
      <c r="AY126" s="255">
        <f t="shared" ref="AY126:AY127" si="17">SUM(T126:AX126)</f>
        <v>353750</v>
      </c>
      <c r="AZ126" s="281">
        <f t="shared" si="14"/>
        <v>0</v>
      </c>
      <c r="BA126" s="256">
        <f t="shared" si="10"/>
        <v>173102</v>
      </c>
      <c r="BB126" s="255">
        <f t="shared" si="11"/>
        <v>353750</v>
      </c>
      <c r="BD126" s="282" t="b">
        <f t="shared" si="12"/>
        <v>1</v>
      </c>
      <c r="BE126" s="281">
        <f>BB126-K126-R126</f>
        <v>353750</v>
      </c>
    </row>
    <row r="127" spans="2:57" s="285" customFormat="1" x14ac:dyDescent="0.25">
      <c r="B127" s="283" t="s">
        <v>720</v>
      </c>
      <c r="C127" s="283"/>
      <c r="D127" s="283"/>
      <c r="E127" s="283"/>
      <c r="F127" s="283"/>
      <c r="G127" s="283"/>
      <c r="H127" s="283"/>
      <c r="I127" s="283"/>
      <c r="J127" s="260"/>
      <c r="K127" s="260"/>
      <c r="L127" s="260"/>
      <c r="M127" s="260"/>
      <c r="N127" s="261">
        <f t="shared" ref="N127" si="18">SUM(O127:P127)</f>
        <v>4.5910000000000002</v>
      </c>
      <c r="O127" s="261">
        <v>4.5910000000000002</v>
      </c>
      <c r="P127" s="261"/>
      <c r="Q127" s="261" t="s">
        <v>729</v>
      </c>
      <c r="R127" s="278"/>
      <c r="S127" s="263"/>
      <c r="T127" s="263"/>
      <c r="U127" s="263">
        <f>SUM(U126:$AV126)*$N127/100+261</f>
        <v>16501.662499999999</v>
      </c>
      <c r="V127" s="263">
        <f>SUM(V126:$AV126)*$N127/100</f>
        <v>14858.40422</v>
      </c>
      <c r="W127" s="263">
        <f>SUM(W126:$AV126)*$N127/100</f>
        <v>13476.14594</v>
      </c>
      <c r="X127" s="263">
        <f>SUM(X126:$AV126)*$N127/100</f>
        <v>12093.88766</v>
      </c>
      <c r="Y127" s="263">
        <f>SUM(Y126:$AV126)*$N127/100</f>
        <v>10711.62938</v>
      </c>
      <c r="Z127" s="263">
        <f>SUM(Z126:$AV126)*$N127/100</f>
        <v>9329.3711000000003</v>
      </c>
      <c r="AA127" s="263">
        <f>SUM(AA126:$AV126)*$N127/100</f>
        <v>7947.1128200000003</v>
      </c>
      <c r="AB127" s="263">
        <f>SUM(AB126:$AV126)*$N127/100</f>
        <v>6564.8545400000003</v>
      </c>
      <c r="AC127" s="263">
        <f>SUM(AC126:$AV126)*$N127/100</f>
        <v>5182.5962600000003</v>
      </c>
      <c r="AD127" s="263">
        <f>SUM(AD126:$AV126)*$N127/100</f>
        <v>3800.3379800000002</v>
      </c>
      <c r="AE127" s="263">
        <f>SUM(AE126:$AV126)*$N127/100</f>
        <v>2418.0797000000002</v>
      </c>
      <c r="AF127" s="263">
        <f>SUM(AF126:$AV126)*$N127/100</f>
        <v>1035.82142</v>
      </c>
      <c r="AG127" s="263"/>
      <c r="AH127" s="263"/>
      <c r="AI127" s="263"/>
      <c r="AJ127" s="263"/>
      <c r="AK127" s="263"/>
      <c r="AL127" s="263"/>
      <c r="AM127" s="263"/>
      <c r="AN127" s="263"/>
      <c r="AO127" s="263"/>
      <c r="AP127" s="263"/>
      <c r="AQ127" s="263"/>
      <c r="AR127" s="263"/>
      <c r="AS127" s="263"/>
      <c r="AT127" s="263"/>
      <c r="AU127" s="263"/>
      <c r="AV127" s="263"/>
      <c r="AW127" s="263"/>
      <c r="AX127" s="263"/>
      <c r="AY127" s="264">
        <f t="shared" si="17"/>
        <v>103919.90351999999</v>
      </c>
      <c r="AZ127" s="284">
        <f t="shared" si="14"/>
        <v>0</v>
      </c>
      <c r="BA127" s="265">
        <f t="shared" si="10"/>
        <v>26948.80272</v>
      </c>
      <c r="BB127" s="264">
        <f t="shared" si="11"/>
        <v>103919.90351999999</v>
      </c>
      <c r="BD127" s="282" t="b">
        <f t="shared" si="12"/>
        <v>1</v>
      </c>
    </row>
    <row r="128" spans="2:57" s="274" customFormat="1" x14ac:dyDescent="0.25">
      <c r="B128" s="269" t="s">
        <v>766</v>
      </c>
      <c r="C128" s="286">
        <v>62</v>
      </c>
      <c r="D128" s="286" t="s">
        <v>1045</v>
      </c>
      <c r="E128" s="286" t="s">
        <v>1046</v>
      </c>
      <c r="F128" s="286"/>
      <c r="G128" s="286">
        <v>2024</v>
      </c>
      <c r="H128" s="286">
        <v>2029</v>
      </c>
      <c r="I128" s="286" t="s">
        <v>726</v>
      </c>
      <c r="J128" s="270">
        <v>196584</v>
      </c>
      <c r="K128" s="270"/>
      <c r="L128" s="270"/>
      <c r="M128" s="270"/>
      <c r="N128" s="271"/>
      <c r="O128" s="271"/>
      <c r="P128" s="271"/>
      <c r="Q128" s="252" t="s">
        <v>727</v>
      </c>
      <c r="R128" s="272"/>
      <c r="S128" s="254"/>
      <c r="T128" s="254"/>
      <c r="U128" s="254"/>
      <c r="V128" s="254"/>
      <c r="W128" s="254">
        <f>$J$128/5</f>
        <v>39316.800000000003</v>
      </c>
      <c r="X128" s="254">
        <f>$J$128/5</f>
        <v>39316.800000000003</v>
      </c>
      <c r="Y128" s="254">
        <f>$J$128/5</f>
        <v>39316.800000000003</v>
      </c>
      <c r="Z128" s="254">
        <f>$J$128/5</f>
        <v>39316.800000000003</v>
      </c>
      <c r="AA128" s="254">
        <f>$J$128/5</f>
        <v>39316.800000000003</v>
      </c>
      <c r="AB128" s="254"/>
      <c r="AC128" s="254"/>
      <c r="AD128" s="254"/>
      <c r="AE128" s="254"/>
      <c r="AF128" s="254"/>
      <c r="AG128" s="254"/>
      <c r="AH128" s="254"/>
      <c r="AI128" s="254"/>
      <c r="AJ128" s="254"/>
      <c r="AK128" s="254"/>
      <c r="AL128" s="254"/>
      <c r="AM128" s="254"/>
      <c r="AN128" s="254"/>
      <c r="AO128" s="254"/>
      <c r="AP128" s="254"/>
      <c r="AQ128" s="254"/>
      <c r="AR128" s="254"/>
      <c r="AS128" s="254"/>
      <c r="AT128" s="254"/>
      <c r="AU128" s="254"/>
      <c r="AV128" s="254"/>
      <c r="AW128" s="254"/>
      <c r="AX128" s="254"/>
      <c r="AY128" s="255">
        <f t="shared" si="13"/>
        <v>196584</v>
      </c>
      <c r="AZ128" s="273">
        <f t="shared" si="14"/>
        <v>0</v>
      </c>
      <c r="BA128" s="256">
        <f t="shared" si="10"/>
        <v>39316.800000000003</v>
      </c>
      <c r="BB128" s="255">
        <f t="shared" si="11"/>
        <v>196584</v>
      </c>
      <c r="BD128" s="275" t="b">
        <f t="shared" si="12"/>
        <v>1</v>
      </c>
      <c r="BE128" s="276">
        <f>BB128-K128-R128</f>
        <v>196584</v>
      </c>
    </row>
    <row r="129" spans="2:57" s="274" customFormat="1" x14ac:dyDescent="0.25">
      <c r="B129" s="277" t="s">
        <v>766</v>
      </c>
      <c r="C129" s="277"/>
      <c r="D129" s="277" t="s">
        <v>1047</v>
      </c>
      <c r="E129" s="277"/>
      <c r="F129" s="277"/>
      <c r="G129" s="277"/>
      <c r="H129" s="277"/>
      <c r="I129" s="277"/>
      <c r="J129" s="260"/>
      <c r="K129" s="260"/>
      <c r="L129" s="260"/>
      <c r="M129" s="260"/>
      <c r="N129" s="261">
        <f>SUM(O129:P129)</f>
        <v>4.4470000000000001</v>
      </c>
      <c r="O129" s="261">
        <v>4.4470000000000001</v>
      </c>
      <c r="P129" s="261">
        <f>$P$4</f>
        <v>0</v>
      </c>
      <c r="Q129" s="261" t="s">
        <v>729</v>
      </c>
      <c r="R129" s="278"/>
      <c r="S129" s="263"/>
      <c r="T129" s="263"/>
      <c r="U129" s="263"/>
      <c r="V129" s="263">
        <f>SUM(V128:$AV128)*$N129/100</f>
        <v>8742.0904800000008</v>
      </c>
      <c r="W129" s="263">
        <f>SUM(W128:$AV128)*$N129/100</f>
        <v>8742.0904800000008</v>
      </c>
      <c r="X129" s="263">
        <f>SUM(X128:$AV128)*$N129/100</f>
        <v>6993.6723840000004</v>
      </c>
      <c r="Y129" s="263">
        <f>SUM(Y128:$AV128)*$N129/100</f>
        <v>5245.2542880000001</v>
      </c>
      <c r="Z129" s="263">
        <f>SUM(Z128:$AV128)*$N129/100</f>
        <v>3496.8361920000002</v>
      </c>
      <c r="AA129" s="263">
        <f>SUM(AA128:$AV128)*$N129/100</f>
        <v>1748.4180960000001</v>
      </c>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4">
        <f t="shared" si="13"/>
        <v>34968.361920000003</v>
      </c>
      <c r="AZ129" s="273">
        <f t="shared" si="14"/>
        <v>0</v>
      </c>
      <c r="BA129" s="265">
        <f t="shared" si="10"/>
        <v>1748.4180960000001</v>
      </c>
      <c r="BB129" s="264">
        <f t="shared" si="11"/>
        <v>34968.361920000003</v>
      </c>
      <c r="BD129" s="275" t="b">
        <f t="shared" si="12"/>
        <v>1</v>
      </c>
    </row>
    <row r="130" spans="2:57" s="274" customFormat="1" x14ac:dyDescent="0.25">
      <c r="B130" s="269" t="s">
        <v>766</v>
      </c>
      <c r="C130" s="286">
        <v>63</v>
      </c>
      <c r="D130" s="286" t="s">
        <v>240</v>
      </c>
      <c r="E130" s="286" t="s">
        <v>1046</v>
      </c>
      <c r="F130" s="286"/>
      <c r="G130" s="286">
        <v>2024</v>
      </c>
      <c r="H130" s="286">
        <v>2039</v>
      </c>
      <c r="I130" s="286" t="s">
        <v>726</v>
      </c>
      <c r="J130" s="270">
        <v>787514</v>
      </c>
      <c r="K130" s="270"/>
      <c r="L130" s="270"/>
      <c r="M130" s="270"/>
      <c r="N130" s="271"/>
      <c r="O130" s="271"/>
      <c r="P130" s="271"/>
      <c r="Q130" s="252" t="s">
        <v>727</v>
      </c>
      <c r="R130" s="272"/>
      <c r="S130" s="254"/>
      <c r="T130" s="254"/>
      <c r="U130" s="254"/>
      <c r="V130" s="254"/>
      <c r="W130" s="254"/>
      <c r="X130" s="254">
        <f t="shared" ref="X130:AL130" si="19">$J$130/15</f>
        <v>52500.933333333334</v>
      </c>
      <c r="Y130" s="254">
        <f t="shared" si="19"/>
        <v>52500.933333333334</v>
      </c>
      <c r="Z130" s="254">
        <f t="shared" si="19"/>
        <v>52500.933333333334</v>
      </c>
      <c r="AA130" s="254">
        <f t="shared" si="19"/>
        <v>52500.933333333334</v>
      </c>
      <c r="AB130" s="254">
        <f t="shared" si="19"/>
        <v>52500.933333333334</v>
      </c>
      <c r="AC130" s="254">
        <f t="shared" si="19"/>
        <v>52500.933333333334</v>
      </c>
      <c r="AD130" s="254">
        <f t="shared" si="19"/>
        <v>52500.933333333334</v>
      </c>
      <c r="AE130" s="254">
        <f t="shared" si="19"/>
        <v>52500.933333333334</v>
      </c>
      <c r="AF130" s="254">
        <f t="shared" si="19"/>
        <v>52500.933333333334</v>
      </c>
      <c r="AG130" s="254">
        <f t="shared" si="19"/>
        <v>52500.933333333334</v>
      </c>
      <c r="AH130" s="254">
        <f t="shared" si="19"/>
        <v>52500.933333333334</v>
      </c>
      <c r="AI130" s="254">
        <f t="shared" si="19"/>
        <v>52500.933333333334</v>
      </c>
      <c r="AJ130" s="254">
        <f t="shared" si="19"/>
        <v>52500.933333333334</v>
      </c>
      <c r="AK130" s="254">
        <f t="shared" si="19"/>
        <v>52500.933333333334</v>
      </c>
      <c r="AL130" s="254">
        <f t="shared" si="19"/>
        <v>52500.933333333334</v>
      </c>
      <c r="AM130" s="254"/>
      <c r="AN130" s="254"/>
      <c r="AO130" s="254"/>
      <c r="AP130" s="254"/>
      <c r="AQ130" s="254"/>
      <c r="AR130" s="254"/>
      <c r="AS130" s="254"/>
      <c r="AT130" s="254"/>
      <c r="AU130" s="254"/>
      <c r="AV130" s="254"/>
      <c r="AW130" s="254"/>
      <c r="AX130" s="254"/>
      <c r="AY130" s="255">
        <f t="shared" si="13"/>
        <v>787514.00000000012</v>
      </c>
      <c r="AZ130" s="273">
        <f t="shared" si="14"/>
        <v>0</v>
      </c>
      <c r="BA130" s="256">
        <f t="shared" si="10"/>
        <v>630011.20000000007</v>
      </c>
      <c r="BB130" s="255">
        <f t="shared" si="11"/>
        <v>787514</v>
      </c>
      <c r="BD130" s="275" t="b">
        <f t="shared" si="12"/>
        <v>1</v>
      </c>
      <c r="BE130" s="276">
        <f>BB130-K130-R130</f>
        <v>787514</v>
      </c>
    </row>
    <row r="131" spans="2:57" s="274" customFormat="1" x14ac:dyDescent="0.25">
      <c r="B131" s="277" t="s">
        <v>766</v>
      </c>
      <c r="C131" s="277"/>
      <c r="D131" s="277"/>
      <c r="E131" s="277"/>
      <c r="F131" s="277"/>
      <c r="G131" s="277"/>
      <c r="H131" s="277"/>
      <c r="I131" s="277"/>
      <c r="J131" s="277"/>
      <c r="K131" s="260"/>
      <c r="L131" s="260"/>
      <c r="M131" s="260"/>
      <c r="N131" s="261">
        <f>SUM(O131:P131)</f>
        <v>4.944</v>
      </c>
      <c r="O131" s="261">
        <v>4.944</v>
      </c>
      <c r="P131" s="261">
        <f>$P$4</f>
        <v>0</v>
      </c>
      <c r="Q131" s="261" t="s">
        <v>729</v>
      </c>
      <c r="R131" s="278"/>
      <c r="S131" s="263"/>
      <c r="T131" s="263"/>
      <c r="U131" s="263"/>
      <c r="V131" s="263">
        <f>SUM(V130:$AV130)*$N131/100</f>
        <v>38934.692160000006</v>
      </c>
      <c r="W131" s="263">
        <f>SUM(W130:$AV130)*$N131/100</f>
        <v>38934.692160000006</v>
      </c>
      <c r="X131" s="263">
        <f>SUM(X130:$AV130)*$N131/100</f>
        <v>38934.692160000006</v>
      </c>
      <c r="Y131" s="263">
        <f>SUM(Y130:$AV130)*$N131/100</f>
        <v>36339.046016000008</v>
      </c>
      <c r="Z131" s="263">
        <f>SUM(Z130:$AV130)*$N131/100</f>
        <v>33743.399872000002</v>
      </c>
      <c r="AA131" s="263">
        <f>SUM(AA130:$AV130)*$N131/100</f>
        <v>31147.753728000003</v>
      </c>
      <c r="AB131" s="263">
        <f>SUM(AB130:$AV130)*$N131/100</f>
        <v>28552.107584000001</v>
      </c>
      <c r="AC131" s="263">
        <f>SUM(AC130:$AV130)*$N131/100</f>
        <v>25956.461440000003</v>
      </c>
      <c r="AD131" s="263">
        <f>SUM(AD130:$AV130)*$N131/100</f>
        <v>23360.815296000004</v>
      </c>
      <c r="AE131" s="263">
        <f>SUM(AE130:$AV130)*$N131/100</f>
        <v>20765.169152000002</v>
      </c>
      <c r="AF131" s="263">
        <f>SUM(AF130:$AV130)*$N131/100</f>
        <v>18169.523008000004</v>
      </c>
      <c r="AG131" s="263">
        <f>SUM(AG130:$AV130)*$N131/100</f>
        <v>15573.876864000002</v>
      </c>
      <c r="AH131" s="263">
        <f>SUM(AH130:$AV130)*$N131/100</f>
        <v>12978.230720000001</v>
      </c>
      <c r="AI131" s="263">
        <f>SUM(AI130:$AV130)*$N131/100</f>
        <v>10382.584575999999</v>
      </c>
      <c r="AJ131" s="263">
        <f>SUM(AJ130:$AV130)*$N131/100</f>
        <v>7786.938431999999</v>
      </c>
      <c r="AK131" s="263">
        <f>SUM(AK130:$AV130)*$N131/100</f>
        <v>5191.2922879999996</v>
      </c>
      <c r="AL131" s="263">
        <f>SUM(AL130:$AV130)*$N131/100</f>
        <v>2595.6461439999998</v>
      </c>
      <c r="AM131" s="263"/>
      <c r="AN131" s="263"/>
      <c r="AO131" s="263"/>
      <c r="AP131" s="263"/>
      <c r="AQ131" s="263"/>
      <c r="AR131" s="263"/>
      <c r="AS131" s="263"/>
      <c r="AT131" s="263"/>
      <c r="AU131" s="263"/>
      <c r="AV131" s="263"/>
      <c r="AW131" s="263"/>
      <c r="AX131" s="263"/>
      <c r="AY131" s="264">
        <f t="shared" si="13"/>
        <v>389346.9216</v>
      </c>
      <c r="AZ131" s="273">
        <f t="shared" si="14"/>
        <v>0</v>
      </c>
      <c r="BA131" s="265">
        <f t="shared" si="10"/>
        <v>202460.399232</v>
      </c>
      <c r="BB131" s="264">
        <f t="shared" si="11"/>
        <v>389346.9216</v>
      </c>
      <c r="BD131" s="275" t="b">
        <f t="shared" si="12"/>
        <v>1</v>
      </c>
    </row>
    <row r="132" spans="2:57" s="274" customFormat="1" x14ac:dyDescent="0.25">
      <c r="B132" s="269" t="s">
        <v>720</v>
      </c>
      <c r="C132" s="286">
        <v>64</v>
      </c>
      <c r="D132" s="286" t="s">
        <v>245</v>
      </c>
      <c r="E132" s="286" t="s">
        <v>1046</v>
      </c>
      <c r="F132" s="286"/>
      <c r="G132" s="286">
        <v>2024</v>
      </c>
      <c r="H132" s="286">
        <v>2031</v>
      </c>
      <c r="I132" s="286" t="s">
        <v>726</v>
      </c>
      <c r="J132" s="270"/>
      <c r="K132" s="270"/>
      <c r="L132" s="270"/>
      <c r="M132" s="270"/>
      <c r="N132" s="271"/>
      <c r="O132" s="271"/>
      <c r="P132" s="271"/>
      <c r="Q132" s="252" t="s">
        <v>727</v>
      </c>
      <c r="R132" s="272"/>
      <c r="S132" s="254"/>
      <c r="T132" s="254"/>
      <c r="U132" s="254">
        <f t="shared" ref="U132:AA132" si="20">$J$132/7</f>
        <v>0</v>
      </c>
      <c r="V132" s="254">
        <f t="shared" si="20"/>
        <v>0</v>
      </c>
      <c r="W132" s="254">
        <f t="shared" si="20"/>
        <v>0</v>
      </c>
      <c r="X132" s="254">
        <f t="shared" si="20"/>
        <v>0</v>
      </c>
      <c r="Y132" s="254">
        <f t="shared" si="20"/>
        <v>0</v>
      </c>
      <c r="Z132" s="254">
        <f t="shared" si="20"/>
        <v>0</v>
      </c>
      <c r="AA132" s="254">
        <f t="shared" si="20"/>
        <v>0</v>
      </c>
      <c r="AB132" s="254"/>
      <c r="AC132" s="254"/>
      <c r="AD132" s="254"/>
      <c r="AE132" s="254"/>
      <c r="AF132" s="254"/>
      <c r="AG132" s="254"/>
      <c r="AH132" s="254"/>
      <c r="AI132" s="254"/>
      <c r="AJ132" s="254"/>
      <c r="AK132" s="254"/>
      <c r="AL132" s="254"/>
      <c r="AM132" s="254"/>
      <c r="AN132" s="254"/>
      <c r="AO132" s="254"/>
      <c r="AP132" s="254"/>
      <c r="AQ132" s="254"/>
      <c r="AR132" s="254"/>
      <c r="AS132" s="254"/>
      <c r="AT132" s="254"/>
      <c r="AU132" s="254"/>
      <c r="AV132" s="254"/>
      <c r="AW132" s="254"/>
      <c r="AX132" s="254"/>
      <c r="AY132" s="255">
        <f t="shared" si="13"/>
        <v>0</v>
      </c>
      <c r="AZ132" s="273">
        <f t="shared" si="14"/>
        <v>0</v>
      </c>
      <c r="BA132" s="256">
        <f t="shared" si="10"/>
        <v>0</v>
      </c>
      <c r="BB132" s="255">
        <f t="shared" si="11"/>
        <v>0</v>
      </c>
      <c r="BD132" s="275" t="b">
        <f t="shared" si="12"/>
        <v>1</v>
      </c>
      <c r="BE132" s="276">
        <f>BB132-K132-R132</f>
        <v>0</v>
      </c>
    </row>
    <row r="133" spans="2:57" s="274" customFormat="1" x14ac:dyDescent="0.25">
      <c r="B133" s="277" t="s">
        <v>720</v>
      </c>
      <c r="C133" s="277"/>
      <c r="D133" s="277"/>
      <c r="E133" s="277"/>
      <c r="F133" s="277"/>
      <c r="G133" s="277"/>
      <c r="H133" s="277"/>
      <c r="I133" s="277"/>
      <c r="J133" s="260"/>
      <c r="K133" s="260"/>
      <c r="L133" s="260"/>
      <c r="M133" s="260"/>
      <c r="N133" s="261">
        <f>SUM(O133:P133)</f>
        <v>4.4470000000000001</v>
      </c>
      <c r="O133" s="261">
        <v>4.4470000000000001</v>
      </c>
      <c r="P133" s="261">
        <f>$P$4</f>
        <v>0</v>
      </c>
      <c r="Q133" s="261" t="s">
        <v>729</v>
      </c>
      <c r="R133" s="278"/>
      <c r="S133" s="263"/>
      <c r="T133" s="263"/>
      <c r="U133" s="263">
        <f>SUM(U132:$AV132)*$N133/100</f>
        <v>0</v>
      </c>
      <c r="V133" s="263">
        <f>SUM(V132:$AV132)*$N133/100</f>
        <v>0</v>
      </c>
      <c r="W133" s="263">
        <f>SUM(W132:$AV132)*$N133/100</f>
        <v>0</v>
      </c>
      <c r="X133" s="263">
        <f>SUM(X132:$AV132)*$N133/100</f>
        <v>0</v>
      </c>
      <c r="Y133" s="263">
        <f>SUM(Y132:$AV132)*$N133/100</f>
        <v>0</v>
      </c>
      <c r="Z133" s="263">
        <f>SUM(Z132:$AV132)*$N133/100</f>
        <v>0</v>
      </c>
      <c r="AA133" s="263">
        <f>SUM(AA132:$AV132)*$N133/100</f>
        <v>0</v>
      </c>
      <c r="AB133" s="263"/>
      <c r="AC133" s="263"/>
      <c r="AD133" s="263"/>
      <c r="AE133" s="263"/>
      <c r="AF133" s="263"/>
      <c r="AG133" s="263"/>
      <c r="AH133" s="263"/>
      <c r="AI133" s="263"/>
      <c r="AJ133" s="263"/>
      <c r="AK133" s="263"/>
      <c r="AL133" s="263"/>
      <c r="AM133" s="263"/>
      <c r="AN133" s="263"/>
      <c r="AO133" s="263"/>
      <c r="AP133" s="263"/>
      <c r="AQ133" s="263"/>
      <c r="AR133" s="263"/>
      <c r="AS133" s="263"/>
      <c r="AT133" s="263"/>
      <c r="AU133" s="263"/>
      <c r="AV133" s="263"/>
      <c r="AW133" s="263"/>
      <c r="AX133" s="263"/>
      <c r="AY133" s="264">
        <f t="shared" si="13"/>
        <v>0</v>
      </c>
      <c r="AZ133" s="273">
        <f t="shared" si="14"/>
        <v>0</v>
      </c>
      <c r="BA133" s="265">
        <f t="shared" si="10"/>
        <v>0</v>
      </c>
      <c r="BB133" s="264">
        <f t="shared" si="11"/>
        <v>0</v>
      </c>
      <c r="BD133" s="275" t="b">
        <f t="shared" si="12"/>
        <v>1</v>
      </c>
    </row>
    <row r="134" spans="2:57" s="274" customFormat="1" x14ac:dyDescent="0.25">
      <c r="B134" s="269" t="s">
        <v>720</v>
      </c>
      <c r="C134" s="286">
        <v>65</v>
      </c>
      <c r="D134" s="286" t="s">
        <v>1048</v>
      </c>
      <c r="E134" s="286" t="s">
        <v>1046</v>
      </c>
      <c r="F134" s="286"/>
      <c r="G134" s="286">
        <v>2025</v>
      </c>
      <c r="H134" s="286">
        <v>2045</v>
      </c>
      <c r="I134" s="286" t="s">
        <v>726</v>
      </c>
      <c r="J134" s="270">
        <f>4890000+800000</f>
        <v>5690000</v>
      </c>
      <c r="K134" s="270"/>
      <c r="L134" s="270"/>
      <c r="M134" s="270"/>
      <c r="N134" s="271"/>
      <c r="O134" s="271"/>
      <c r="P134" s="271"/>
      <c r="Q134" s="252" t="s">
        <v>727</v>
      </c>
      <c r="R134" s="272"/>
      <c r="S134" s="254"/>
      <c r="T134" s="254"/>
      <c r="U134" s="254"/>
      <c r="V134" s="254"/>
      <c r="W134" s="254"/>
      <c r="X134" s="254">
        <f>$J$134/18/2</f>
        <v>158055.55555555556</v>
      </c>
      <c r="Y134" s="254">
        <f t="shared" ref="Y134:AN134" si="21">$J$134/18</f>
        <v>316111.11111111112</v>
      </c>
      <c r="Z134" s="254">
        <f t="shared" si="21"/>
        <v>316111.11111111112</v>
      </c>
      <c r="AA134" s="254">
        <f t="shared" si="21"/>
        <v>316111.11111111112</v>
      </c>
      <c r="AB134" s="254">
        <f t="shared" si="21"/>
        <v>316111.11111111112</v>
      </c>
      <c r="AC134" s="254">
        <f t="shared" si="21"/>
        <v>316111.11111111112</v>
      </c>
      <c r="AD134" s="254">
        <f t="shared" si="21"/>
        <v>316111.11111111112</v>
      </c>
      <c r="AE134" s="254">
        <f t="shared" si="21"/>
        <v>316111.11111111112</v>
      </c>
      <c r="AF134" s="254">
        <f t="shared" si="21"/>
        <v>316111.11111111112</v>
      </c>
      <c r="AG134" s="254">
        <f t="shared" si="21"/>
        <v>316111.11111111112</v>
      </c>
      <c r="AH134" s="254">
        <f t="shared" si="21"/>
        <v>316111.11111111112</v>
      </c>
      <c r="AI134" s="254">
        <f t="shared" si="21"/>
        <v>316111.11111111112</v>
      </c>
      <c r="AJ134" s="254">
        <f t="shared" si="21"/>
        <v>316111.11111111112</v>
      </c>
      <c r="AK134" s="254">
        <f t="shared" si="21"/>
        <v>316111.11111111112</v>
      </c>
      <c r="AL134" s="254">
        <f t="shared" si="21"/>
        <v>316111.11111111112</v>
      </c>
      <c r="AM134" s="254">
        <f t="shared" si="21"/>
        <v>316111.11111111112</v>
      </c>
      <c r="AN134" s="254">
        <f t="shared" si="21"/>
        <v>316111.11111111112</v>
      </c>
      <c r="AO134" s="254">
        <f>$J$134/18+$J$134/18/2</f>
        <v>474166.66666666669</v>
      </c>
      <c r="AP134" s="254"/>
      <c r="AQ134" s="254"/>
      <c r="AR134" s="254"/>
      <c r="AS134" s="254"/>
      <c r="AT134" s="254"/>
      <c r="AU134" s="254"/>
      <c r="AV134" s="254"/>
      <c r="AW134" s="254"/>
      <c r="AX134" s="254"/>
      <c r="AY134" s="255">
        <f t="shared" ref="AY134:AY141" si="22">SUM(T134:AX134)</f>
        <v>5689999.9999999991</v>
      </c>
      <c r="AZ134" s="273">
        <f t="shared" ref="AZ134:AZ145" si="23">AY134-SUM(T134:AX134)</f>
        <v>0</v>
      </c>
      <c r="BA134" s="256">
        <f t="shared" ref="BA134:BA141" si="24">SUM(AA134:AX134)</f>
        <v>4899722.222222222</v>
      </c>
      <c r="BB134" s="255">
        <f t="shared" ref="BB134:BB141" si="25">SUM(T134:Z134,BA134)</f>
        <v>5690000</v>
      </c>
      <c r="BD134" s="275" t="b">
        <f t="shared" ref="BD134:BD145" si="26">AY134=BB134</f>
        <v>1</v>
      </c>
      <c r="BE134" s="276">
        <f>BB134-K134-R134</f>
        <v>5690000</v>
      </c>
    </row>
    <row r="135" spans="2:57" s="274" customFormat="1" x14ac:dyDescent="0.25">
      <c r="B135" s="277" t="s">
        <v>720</v>
      </c>
      <c r="C135" s="277"/>
      <c r="D135" s="277"/>
      <c r="E135" s="277"/>
      <c r="F135" s="277"/>
      <c r="G135" s="277"/>
      <c r="H135" s="277"/>
      <c r="I135" s="277"/>
      <c r="J135" s="260"/>
      <c r="K135" s="260"/>
      <c r="L135" s="260"/>
      <c r="M135" s="260" t="s">
        <v>896</v>
      </c>
      <c r="N135" s="261">
        <f>SUM(O135:P135)</f>
        <v>5.1029999999999998</v>
      </c>
      <c r="O135" s="261">
        <v>5.1029999999999998</v>
      </c>
      <c r="P135" s="261">
        <f>$P$4</f>
        <v>0</v>
      </c>
      <c r="Q135" s="261" t="s">
        <v>729</v>
      </c>
      <c r="R135" s="278"/>
      <c r="S135" s="263"/>
      <c r="T135" s="263"/>
      <c r="U135" s="263"/>
      <c r="V135" s="263">
        <f>SUM(V134:$AV134)*$N135/100/4</f>
        <v>72590.174999999988</v>
      </c>
      <c r="W135" s="263">
        <f>SUM(W134:$AV134)*$N135/100</f>
        <v>290360.69999999995</v>
      </c>
      <c r="X135" s="263">
        <f>SUM(X134:$AV134)*$N135/100</f>
        <v>290360.69999999995</v>
      </c>
      <c r="Y135" s="263">
        <f>SUM(Y134:$AV134)*$N135/100</f>
        <v>282295.12499999994</v>
      </c>
      <c r="Z135" s="263">
        <f>SUM(Z134:$AV134)*$N135/100</f>
        <v>266163.97499999998</v>
      </c>
      <c r="AA135" s="263">
        <f>SUM(AA134:$AV134)*$N135/100</f>
        <v>250032.82499999995</v>
      </c>
      <c r="AB135" s="263">
        <f>SUM(AB134:$AV134)*$N135/100</f>
        <v>233901.67499999993</v>
      </c>
      <c r="AC135" s="263">
        <f>SUM(AC134:$AV134)*$N135/100</f>
        <v>217770.52499999994</v>
      </c>
      <c r="AD135" s="263">
        <f>SUM(AD134:$AV134)*$N135/100</f>
        <v>201639.37499999997</v>
      </c>
      <c r="AE135" s="263">
        <f>SUM(AE134:$AV134)*$N135/100</f>
        <v>185508.22499999998</v>
      </c>
      <c r="AF135" s="263">
        <f>SUM(AF134:$AV134)*$N135/100</f>
        <v>169377.07499999995</v>
      </c>
      <c r="AG135" s="263">
        <f>SUM(AG134:$AV134)*$N135/100</f>
        <v>153245.92499999996</v>
      </c>
      <c r="AH135" s="263">
        <f>SUM(AH134:$AV134)*$N135/100</f>
        <v>137114.77499999999</v>
      </c>
      <c r="AI135" s="263">
        <f>SUM(AI134:$AV134)*$N135/100</f>
        <v>120983.62499999999</v>
      </c>
      <c r="AJ135" s="263">
        <f>SUM(AJ134:$AV134)*$N135/100</f>
        <v>104852.47500000001</v>
      </c>
      <c r="AK135" s="263">
        <f>SUM(AK134:$AV134)*$N135/100</f>
        <v>88721.324999999997</v>
      </c>
      <c r="AL135" s="263">
        <f>SUM(AL134:$AV134)*$N135/100</f>
        <v>72590.175000000003</v>
      </c>
      <c r="AM135" s="263">
        <f>SUM(AM134:$AV134)*$N135/100</f>
        <v>56459.025000000001</v>
      </c>
      <c r="AN135" s="263">
        <f>SUM(AN134:$AV134)*$N135/100</f>
        <v>40327.874999999993</v>
      </c>
      <c r="AO135" s="263">
        <f>SUM(AO134:$AV134)*$N135/100</f>
        <v>24196.724999999999</v>
      </c>
      <c r="AP135" s="263"/>
      <c r="AQ135" s="263"/>
      <c r="AR135" s="263"/>
      <c r="AS135" s="263"/>
      <c r="AT135" s="263"/>
      <c r="AU135" s="263"/>
      <c r="AV135" s="263"/>
      <c r="AW135" s="263"/>
      <c r="AX135" s="263"/>
      <c r="AY135" s="264">
        <f t="shared" si="22"/>
        <v>3258492.3</v>
      </c>
      <c r="AZ135" s="273">
        <f t="shared" si="23"/>
        <v>0</v>
      </c>
      <c r="BA135" s="265">
        <f t="shared" si="24"/>
        <v>2056721.6249999998</v>
      </c>
      <c r="BB135" s="264">
        <f t="shared" si="25"/>
        <v>3258492.3</v>
      </c>
      <c r="BD135" s="275" t="b">
        <f t="shared" si="26"/>
        <v>1</v>
      </c>
    </row>
    <row r="136" spans="2:57" s="296" customFormat="1" x14ac:dyDescent="0.25">
      <c r="B136" s="287"/>
      <c r="C136" s="288" t="s">
        <v>1049</v>
      </c>
      <c r="D136" s="288" t="s">
        <v>971</v>
      </c>
      <c r="E136" s="288" t="s">
        <v>1050</v>
      </c>
      <c r="F136" s="288" t="s">
        <v>1051</v>
      </c>
      <c r="G136" s="289">
        <v>44781</v>
      </c>
      <c r="H136" s="289">
        <v>45127</v>
      </c>
      <c r="I136" s="288" t="s">
        <v>726</v>
      </c>
      <c r="J136" s="290">
        <v>39831</v>
      </c>
      <c r="K136" s="290"/>
      <c r="L136" s="290"/>
      <c r="M136" s="290"/>
      <c r="N136" s="291"/>
      <c r="O136" s="291"/>
      <c r="P136" s="291"/>
      <c r="Q136" s="292" t="s">
        <v>727</v>
      </c>
      <c r="R136" s="293">
        <v>39831</v>
      </c>
      <c r="S136" s="293"/>
      <c r="T136" s="293">
        <f t="shared" ref="T136:T141" si="27">SUM(R136:S136)</f>
        <v>39831</v>
      </c>
      <c r="U136" s="293"/>
      <c r="V136" s="293"/>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c r="AT136" s="293"/>
      <c r="AU136" s="293"/>
      <c r="AV136" s="293"/>
      <c r="AW136" s="293"/>
      <c r="AX136" s="293"/>
      <c r="AY136" s="294">
        <f t="shared" si="22"/>
        <v>39831</v>
      </c>
      <c r="AZ136" s="236">
        <f t="shared" si="23"/>
        <v>0</v>
      </c>
      <c r="BA136" s="295">
        <f t="shared" si="24"/>
        <v>0</v>
      </c>
      <c r="BB136" s="294">
        <f t="shared" si="25"/>
        <v>39831</v>
      </c>
      <c r="BD136" s="257" t="b">
        <f t="shared" si="26"/>
        <v>1</v>
      </c>
    </row>
    <row r="137" spans="2:57" s="296" customFormat="1" x14ac:dyDescent="0.25">
      <c r="B137" s="297"/>
      <c r="C137" s="297"/>
      <c r="D137" s="297"/>
      <c r="E137" s="297"/>
      <c r="F137" s="297"/>
      <c r="G137" s="297"/>
      <c r="H137" s="297"/>
      <c r="I137" s="297"/>
      <c r="J137" s="298"/>
      <c r="K137" s="298"/>
      <c r="L137" s="298"/>
      <c r="M137" s="298"/>
      <c r="N137" s="299"/>
      <c r="O137" s="299"/>
      <c r="P137" s="299"/>
      <c r="Q137" s="299" t="s">
        <v>729</v>
      </c>
      <c r="R137" s="300">
        <v>301.77000000000004</v>
      </c>
      <c r="S137" s="300"/>
      <c r="T137" s="300">
        <f t="shared" si="27"/>
        <v>301.77000000000004</v>
      </c>
      <c r="U137" s="300"/>
      <c r="V137" s="300"/>
      <c r="W137" s="300"/>
      <c r="X137" s="300"/>
      <c r="Y137" s="300"/>
      <c r="Z137" s="300"/>
      <c r="AA137" s="300"/>
      <c r="AB137" s="300"/>
      <c r="AC137" s="300"/>
      <c r="AD137" s="300"/>
      <c r="AE137" s="300"/>
      <c r="AF137" s="300"/>
      <c r="AG137" s="300"/>
      <c r="AH137" s="300"/>
      <c r="AI137" s="300"/>
      <c r="AJ137" s="300"/>
      <c r="AK137" s="300"/>
      <c r="AL137" s="300"/>
      <c r="AM137" s="300"/>
      <c r="AN137" s="300"/>
      <c r="AO137" s="300"/>
      <c r="AP137" s="300"/>
      <c r="AQ137" s="300"/>
      <c r="AR137" s="300"/>
      <c r="AS137" s="300"/>
      <c r="AT137" s="300"/>
      <c r="AU137" s="300"/>
      <c r="AV137" s="300"/>
      <c r="AW137" s="300"/>
      <c r="AX137" s="300"/>
      <c r="AY137" s="301">
        <f t="shared" si="22"/>
        <v>301.77000000000004</v>
      </c>
      <c r="AZ137" s="236">
        <f t="shared" si="23"/>
        <v>0</v>
      </c>
      <c r="BA137" s="302">
        <f t="shared" si="24"/>
        <v>0</v>
      </c>
      <c r="BB137" s="301">
        <f t="shared" si="25"/>
        <v>301.77000000000004</v>
      </c>
      <c r="BD137" s="257" t="b">
        <f t="shared" si="26"/>
        <v>1</v>
      </c>
    </row>
    <row r="138" spans="2:57" s="296" customFormat="1" x14ac:dyDescent="0.25">
      <c r="B138" s="287"/>
      <c r="C138" s="288" t="s">
        <v>1049</v>
      </c>
      <c r="D138" s="288" t="s">
        <v>1052</v>
      </c>
      <c r="E138" s="288" t="s">
        <v>1053</v>
      </c>
      <c r="F138" s="288" t="s">
        <v>1054</v>
      </c>
      <c r="G138" s="289">
        <v>43248</v>
      </c>
      <c r="H138" s="289">
        <v>45068</v>
      </c>
      <c r="I138" s="288" t="s">
        <v>726</v>
      </c>
      <c r="J138" s="290">
        <v>8518.4</v>
      </c>
      <c r="K138" s="290"/>
      <c r="L138" s="290"/>
      <c r="M138" s="290"/>
      <c r="N138" s="291"/>
      <c r="O138" s="291"/>
      <c r="P138" s="291"/>
      <c r="Q138" s="292" t="s">
        <v>727</v>
      </c>
      <c r="R138" s="293">
        <v>948</v>
      </c>
      <c r="S138" s="293"/>
      <c r="T138" s="293">
        <f t="shared" si="27"/>
        <v>948</v>
      </c>
      <c r="U138" s="293"/>
      <c r="V138" s="293"/>
      <c r="W138" s="293"/>
      <c r="X138" s="293"/>
      <c r="Y138" s="293"/>
      <c r="Z138" s="293"/>
      <c r="AA138" s="293"/>
      <c r="AB138" s="293"/>
      <c r="AC138" s="293"/>
      <c r="AD138" s="293"/>
      <c r="AE138" s="293"/>
      <c r="AF138" s="293"/>
      <c r="AG138" s="293"/>
      <c r="AH138" s="293"/>
      <c r="AI138" s="293"/>
      <c r="AJ138" s="293"/>
      <c r="AK138" s="293"/>
      <c r="AL138" s="293"/>
      <c r="AM138" s="293"/>
      <c r="AN138" s="293"/>
      <c r="AO138" s="293"/>
      <c r="AP138" s="293"/>
      <c r="AQ138" s="293"/>
      <c r="AR138" s="293"/>
      <c r="AS138" s="293"/>
      <c r="AT138" s="293"/>
      <c r="AU138" s="293"/>
      <c r="AV138" s="293"/>
      <c r="AW138" s="293"/>
      <c r="AX138" s="293"/>
      <c r="AY138" s="294">
        <f t="shared" si="22"/>
        <v>948</v>
      </c>
      <c r="AZ138" s="236">
        <f t="shared" si="23"/>
        <v>0</v>
      </c>
      <c r="BA138" s="295">
        <f t="shared" si="24"/>
        <v>0</v>
      </c>
      <c r="BB138" s="294">
        <f t="shared" si="25"/>
        <v>948</v>
      </c>
      <c r="BD138" s="257" t="b">
        <f t="shared" si="26"/>
        <v>1</v>
      </c>
    </row>
    <row r="139" spans="2:57" s="296" customFormat="1" x14ac:dyDescent="0.25">
      <c r="B139" s="297"/>
      <c r="C139" s="297"/>
      <c r="D139" s="297"/>
      <c r="E139" s="297"/>
      <c r="F139" s="297"/>
      <c r="G139" s="297"/>
      <c r="H139" s="297"/>
      <c r="I139" s="297"/>
      <c r="J139" s="298"/>
      <c r="K139" s="298"/>
      <c r="L139" s="298"/>
      <c r="M139" s="298"/>
      <c r="N139" s="299"/>
      <c r="O139" s="299"/>
      <c r="P139" s="299"/>
      <c r="Q139" s="299" t="s">
        <v>729</v>
      </c>
      <c r="R139" s="300">
        <v>3.79</v>
      </c>
      <c r="S139" s="300"/>
      <c r="T139" s="300">
        <f t="shared" si="27"/>
        <v>3.79</v>
      </c>
      <c r="U139" s="300"/>
      <c r="V139" s="300"/>
      <c r="W139" s="300"/>
      <c r="X139" s="300"/>
      <c r="Y139" s="300"/>
      <c r="Z139" s="300"/>
      <c r="AA139" s="300"/>
      <c r="AB139" s="300"/>
      <c r="AC139" s="300"/>
      <c r="AD139" s="300"/>
      <c r="AE139" s="300"/>
      <c r="AF139" s="300"/>
      <c r="AG139" s="300"/>
      <c r="AH139" s="300"/>
      <c r="AI139" s="300"/>
      <c r="AJ139" s="300"/>
      <c r="AK139" s="300"/>
      <c r="AL139" s="300"/>
      <c r="AM139" s="300"/>
      <c r="AN139" s="300"/>
      <c r="AO139" s="300"/>
      <c r="AP139" s="300"/>
      <c r="AQ139" s="300"/>
      <c r="AR139" s="300"/>
      <c r="AS139" s="300"/>
      <c r="AT139" s="300"/>
      <c r="AU139" s="300"/>
      <c r="AV139" s="300"/>
      <c r="AW139" s="300"/>
      <c r="AX139" s="300"/>
      <c r="AY139" s="301">
        <f t="shared" si="22"/>
        <v>3.79</v>
      </c>
      <c r="AZ139" s="236">
        <f t="shared" si="23"/>
        <v>0</v>
      </c>
      <c r="BA139" s="302">
        <f t="shared" si="24"/>
        <v>0</v>
      </c>
      <c r="BB139" s="301">
        <f t="shared" si="25"/>
        <v>3.79</v>
      </c>
      <c r="BD139" s="257" t="b">
        <f t="shared" si="26"/>
        <v>1</v>
      </c>
    </row>
    <row r="140" spans="2:57" s="296" customFormat="1" x14ac:dyDescent="0.25">
      <c r="B140" s="287"/>
      <c r="C140" s="288" t="s">
        <v>1049</v>
      </c>
      <c r="D140" s="288" t="s">
        <v>1055</v>
      </c>
      <c r="E140" s="288" t="s">
        <v>1056</v>
      </c>
      <c r="F140" s="288" t="s">
        <v>1057</v>
      </c>
      <c r="G140" s="289">
        <v>42920</v>
      </c>
      <c r="H140" s="288" t="s">
        <v>1058</v>
      </c>
      <c r="I140" s="288" t="s">
        <v>726</v>
      </c>
      <c r="J140" s="290">
        <f>46627+88266</f>
        <v>134893</v>
      </c>
      <c r="K140" s="290"/>
      <c r="L140" s="290"/>
      <c r="M140" s="290"/>
      <c r="N140" s="291"/>
      <c r="O140" s="291"/>
      <c r="P140" s="291"/>
      <c r="Q140" s="292" t="s">
        <v>727</v>
      </c>
      <c r="R140" s="293">
        <v>12848</v>
      </c>
      <c r="S140" s="293"/>
      <c r="T140" s="293">
        <f t="shared" si="27"/>
        <v>12848</v>
      </c>
      <c r="U140" s="293"/>
      <c r="V140" s="293"/>
      <c r="W140" s="293"/>
      <c r="X140" s="293"/>
      <c r="Y140" s="293"/>
      <c r="Z140" s="293"/>
      <c r="AA140" s="293"/>
      <c r="AB140" s="293"/>
      <c r="AC140" s="293"/>
      <c r="AD140" s="293"/>
      <c r="AE140" s="293"/>
      <c r="AF140" s="293"/>
      <c r="AG140" s="293"/>
      <c r="AH140" s="293"/>
      <c r="AI140" s="293"/>
      <c r="AJ140" s="293"/>
      <c r="AK140" s="293"/>
      <c r="AL140" s="293"/>
      <c r="AM140" s="293"/>
      <c r="AN140" s="293"/>
      <c r="AO140" s="293"/>
      <c r="AP140" s="293"/>
      <c r="AQ140" s="293"/>
      <c r="AR140" s="293"/>
      <c r="AS140" s="293"/>
      <c r="AT140" s="293"/>
      <c r="AU140" s="293"/>
      <c r="AV140" s="293"/>
      <c r="AW140" s="293"/>
      <c r="AX140" s="293"/>
      <c r="AY140" s="294">
        <f t="shared" si="22"/>
        <v>12848</v>
      </c>
      <c r="AZ140" s="236">
        <f t="shared" si="23"/>
        <v>0</v>
      </c>
      <c r="BA140" s="295">
        <f t="shared" si="24"/>
        <v>0</v>
      </c>
      <c r="BB140" s="294">
        <f t="shared" si="25"/>
        <v>12848</v>
      </c>
      <c r="BD140" s="257" t="b">
        <f t="shared" si="26"/>
        <v>1</v>
      </c>
    </row>
    <row r="141" spans="2:57" s="296" customFormat="1" x14ac:dyDescent="0.25">
      <c r="B141" s="297"/>
      <c r="C141" s="297"/>
      <c r="D141" s="297"/>
      <c r="E141" s="297"/>
      <c r="F141" s="297"/>
      <c r="G141" s="297"/>
      <c r="H141" s="297"/>
      <c r="I141" s="297"/>
      <c r="J141" s="298"/>
      <c r="K141" s="298"/>
      <c r="L141" s="298"/>
      <c r="M141" s="298"/>
      <c r="N141" s="299"/>
      <c r="O141" s="299"/>
      <c r="P141" s="299"/>
      <c r="Q141" s="299" t="s">
        <v>729</v>
      </c>
      <c r="R141" s="300">
        <v>114.19999999999999</v>
      </c>
      <c r="S141" s="300"/>
      <c r="T141" s="300">
        <f t="shared" si="27"/>
        <v>114.19999999999999</v>
      </c>
      <c r="U141" s="300"/>
      <c r="V141" s="300"/>
      <c r="W141" s="300"/>
      <c r="X141" s="300"/>
      <c r="Y141" s="300"/>
      <c r="Z141" s="300"/>
      <c r="AA141" s="300"/>
      <c r="AB141" s="300"/>
      <c r="AC141" s="300"/>
      <c r="AD141" s="300"/>
      <c r="AE141" s="300"/>
      <c r="AF141" s="300"/>
      <c r="AG141" s="300"/>
      <c r="AH141" s="300"/>
      <c r="AI141" s="300"/>
      <c r="AJ141" s="300"/>
      <c r="AK141" s="300"/>
      <c r="AL141" s="300"/>
      <c r="AM141" s="300"/>
      <c r="AN141" s="300"/>
      <c r="AO141" s="300"/>
      <c r="AP141" s="300"/>
      <c r="AQ141" s="300"/>
      <c r="AR141" s="300"/>
      <c r="AS141" s="300"/>
      <c r="AT141" s="300"/>
      <c r="AU141" s="300"/>
      <c r="AV141" s="300"/>
      <c r="AW141" s="300"/>
      <c r="AX141" s="300"/>
      <c r="AY141" s="301">
        <f t="shared" si="22"/>
        <v>114.19999999999999</v>
      </c>
      <c r="AZ141" s="236">
        <f t="shared" si="23"/>
        <v>0</v>
      </c>
      <c r="BA141" s="302">
        <f t="shared" si="24"/>
        <v>0</v>
      </c>
      <c r="BB141" s="301">
        <f t="shared" si="25"/>
        <v>114.19999999999999</v>
      </c>
      <c r="BD141" s="257" t="b">
        <f t="shared" si="26"/>
        <v>1</v>
      </c>
    </row>
    <row r="142" spans="2:57" x14ac:dyDescent="0.25">
      <c r="J142" s="303"/>
      <c r="K142" s="303"/>
      <c r="L142" s="303"/>
      <c r="M142" s="303"/>
      <c r="N142" s="304"/>
      <c r="O142" s="304"/>
      <c r="P142" s="304"/>
      <c r="Q142" s="304"/>
      <c r="R142" s="304"/>
      <c r="S142" s="305"/>
      <c r="T142" s="305"/>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236">
        <f t="shared" si="23"/>
        <v>0</v>
      </c>
      <c r="BA142" s="303"/>
      <c r="BB142" s="303"/>
      <c r="BD142" s="257" t="b">
        <f t="shared" si="26"/>
        <v>1</v>
      </c>
    </row>
    <row r="143" spans="2:57" s="257" customFormat="1" x14ac:dyDescent="0.25">
      <c r="I143" s="306" t="s">
        <v>1059</v>
      </c>
      <c r="J143" s="307">
        <f>SUM(J6:J141)</f>
        <v>74096842.430000007</v>
      </c>
      <c r="K143" s="307">
        <f>SUM(K6:K141)</f>
        <v>51619287.989999995</v>
      </c>
      <c r="L143" s="258"/>
      <c r="M143" s="258"/>
      <c r="N143" s="308">
        <f>AVERAGE(N7:N141)</f>
        <v>4.1065384615384621</v>
      </c>
      <c r="O143" s="309"/>
      <c r="P143" s="309"/>
      <c r="Q143" s="310" t="s">
        <v>727</v>
      </c>
      <c r="R143" s="311">
        <f t="shared" ref="R143:AG144" si="28">SUMIF($Q$6:$Q$141,$Q143,R$6:R$141)</f>
        <v>1826820.7999999998</v>
      </c>
      <c r="S143" s="311">
        <f t="shared" si="28"/>
        <v>1762139.25</v>
      </c>
      <c r="T143" s="312">
        <f t="shared" si="28"/>
        <v>3601890.05</v>
      </c>
      <c r="U143" s="312">
        <f t="shared" si="28"/>
        <v>3539750.5</v>
      </c>
      <c r="V143" s="312">
        <f t="shared" si="28"/>
        <v>3475198.49</v>
      </c>
      <c r="W143" s="312">
        <f t="shared" si="28"/>
        <v>3442537.96</v>
      </c>
      <c r="X143" s="312">
        <f t="shared" si="28"/>
        <v>3444399.7488888884</v>
      </c>
      <c r="Y143" s="312">
        <f t="shared" si="28"/>
        <v>3563680.0044444441</v>
      </c>
      <c r="Z143" s="312">
        <f t="shared" si="28"/>
        <v>3505903.0044444441</v>
      </c>
      <c r="AA143" s="312">
        <f t="shared" si="28"/>
        <v>3476840.0044444441</v>
      </c>
      <c r="AB143" s="312">
        <f t="shared" si="28"/>
        <v>3390520.864444444</v>
      </c>
      <c r="AC143" s="312">
        <f t="shared" si="28"/>
        <v>2731893.7544444441</v>
      </c>
      <c r="AD143" s="312">
        <f t="shared" si="28"/>
        <v>2528174.0244444441</v>
      </c>
      <c r="AE143" s="312">
        <f t="shared" si="28"/>
        <v>2171093.8044444444</v>
      </c>
      <c r="AF143" s="312">
        <f t="shared" si="28"/>
        <v>2072237.8044444444</v>
      </c>
      <c r="AG143" s="312">
        <f t="shared" si="28"/>
        <v>1943128.7544444446</v>
      </c>
      <c r="AH143" s="312">
        <f t="shared" ref="AH143:AW144" si="29">SUMIF($Q$6:$Q$141,$Q143,AH$6:AH$141)</f>
        <v>1832316.0444444446</v>
      </c>
      <c r="AI143" s="312">
        <f t="shared" si="29"/>
        <v>1697912.0444444446</v>
      </c>
      <c r="AJ143" s="312">
        <f t="shared" si="29"/>
        <v>1625784.0444444446</v>
      </c>
      <c r="AK143" s="312">
        <f t="shared" si="29"/>
        <v>1584734.0844444446</v>
      </c>
      <c r="AL143" s="312">
        <f t="shared" si="29"/>
        <v>1559973.1144444444</v>
      </c>
      <c r="AM143" s="312">
        <f t="shared" si="29"/>
        <v>1500459.111111111</v>
      </c>
      <c r="AN143" s="312">
        <f t="shared" si="29"/>
        <v>1500459.111111111</v>
      </c>
      <c r="AO143" s="312">
        <f t="shared" si="29"/>
        <v>1658514.6666666667</v>
      </c>
      <c r="AP143" s="312">
        <f t="shared" si="29"/>
        <v>1184348</v>
      </c>
      <c r="AQ143" s="312">
        <f t="shared" si="29"/>
        <v>1184348</v>
      </c>
      <c r="AR143" s="312">
        <f t="shared" si="29"/>
        <v>1184348</v>
      </c>
      <c r="AS143" s="312">
        <f t="shared" si="29"/>
        <v>867315.83000000007</v>
      </c>
      <c r="AT143" s="312">
        <f t="shared" si="29"/>
        <v>452632</v>
      </c>
      <c r="AU143" s="312">
        <f t="shared" si="29"/>
        <v>409981</v>
      </c>
      <c r="AV143" s="312">
        <f t="shared" si="29"/>
        <v>55587.92</v>
      </c>
      <c r="AW143" s="312">
        <f t="shared" si="29"/>
        <v>0</v>
      </c>
      <c r="AX143" s="312">
        <f t="shared" ref="AX143:AX144" si="30">SUMIF($Q$6:$Q$141,$Q143,AX$6:AX$141)</f>
        <v>0</v>
      </c>
      <c r="AY143" s="312">
        <f>SUM(T143:AX143)</f>
        <v>61185961.73999998</v>
      </c>
      <c r="AZ143" s="236">
        <f t="shared" si="23"/>
        <v>0</v>
      </c>
      <c r="BA143" s="312">
        <f>SUM(AA143:AX143)</f>
        <v>36612601.982222229</v>
      </c>
      <c r="BB143" s="312">
        <f>SUM(T143:Z143,BA143)</f>
        <v>61185961.740000002</v>
      </c>
      <c r="BD143" s="257" t="b">
        <f t="shared" si="26"/>
        <v>1</v>
      </c>
      <c r="BE143" s="258"/>
    </row>
    <row r="144" spans="2:57" x14ac:dyDescent="0.25">
      <c r="K144" s="236"/>
      <c r="L144" s="236"/>
      <c r="M144" s="236"/>
      <c r="Q144" s="313" t="s">
        <v>729</v>
      </c>
      <c r="R144" s="314">
        <f t="shared" si="28"/>
        <v>732845.0199999999</v>
      </c>
      <c r="S144" s="314">
        <f t="shared" si="28"/>
        <v>491517.98000000004</v>
      </c>
      <c r="T144" s="315">
        <f t="shared" si="28"/>
        <v>1224363.0000000002</v>
      </c>
      <c r="U144" s="315">
        <f t="shared" si="28"/>
        <v>2236953.5415089009</v>
      </c>
      <c r="V144" s="315">
        <f t="shared" si="28"/>
        <v>2206446.6959199002</v>
      </c>
      <c r="W144" s="315">
        <f t="shared" si="28"/>
        <v>2274233.1074909</v>
      </c>
      <c r="X144" s="315">
        <f t="shared" si="28"/>
        <v>2125245.5962509001</v>
      </c>
      <c r="Y144" s="315">
        <f t="shared" si="28"/>
        <v>1973545.1038474997</v>
      </c>
      <c r="Z144" s="315">
        <f t="shared" si="28"/>
        <v>1815647.2633235008</v>
      </c>
      <c r="AA144" s="315">
        <f t="shared" si="28"/>
        <v>1660110.8018895001</v>
      </c>
      <c r="AB144" s="315">
        <f t="shared" si="28"/>
        <v>1505731.6059854999</v>
      </c>
      <c r="AC144" s="315">
        <f t="shared" si="28"/>
        <v>1355405.2811271001</v>
      </c>
      <c r="AD144" s="315">
        <f t="shared" si="28"/>
        <v>1232333.8402090995</v>
      </c>
      <c r="AE144" s="315">
        <f t="shared" si="28"/>
        <v>1118819.1434494001</v>
      </c>
      <c r="AF144" s="315">
        <f t="shared" si="28"/>
        <v>1020292.0111166001</v>
      </c>
      <c r="AG144" s="315">
        <f t="shared" si="28"/>
        <v>926221.77864379983</v>
      </c>
      <c r="AH144" s="315">
        <f t="shared" si="29"/>
        <v>837831.63125500013</v>
      </c>
      <c r="AI144" s="315">
        <f t="shared" si="29"/>
        <v>753822.72227100015</v>
      </c>
      <c r="AJ144" s="315">
        <f t="shared" si="29"/>
        <v>675771.50826699985</v>
      </c>
      <c r="AK144" s="315">
        <f t="shared" si="29"/>
        <v>600907.595203</v>
      </c>
      <c r="AL144" s="315">
        <f t="shared" si="29"/>
        <v>527827.85213899997</v>
      </c>
      <c r="AM144" s="315">
        <f t="shared" si="29"/>
        <v>455910.62948799995</v>
      </c>
      <c r="AN144" s="315">
        <f t="shared" si="29"/>
        <v>386898.32936799998</v>
      </c>
      <c r="AO144" s="315">
        <f t="shared" si="29"/>
        <v>317886.02924799989</v>
      </c>
      <c r="AP144" s="315">
        <f t="shared" si="29"/>
        <v>240808.15412799999</v>
      </c>
      <c r="AQ144" s="315">
        <f t="shared" si="29"/>
        <v>187927.00400799996</v>
      </c>
      <c r="AR144" s="315">
        <f t="shared" si="29"/>
        <v>135045.85388799998</v>
      </c>
      <c r="AS144" s="315">
        <f t="shared" si="29"/>
        <v>82164.703767999992</v>
      </c>
      <c r="AT144" s="315">
        <f t="shared" si="29"/>
        <v>43306.896070000003</v>
      </c>
      <c r="AU144" s="315">
        <f t="shared" si="29"/>
        <v>22024.558349999996</v>
      </c>
      <c r="AV144" s="315">
        <f t="shared" si="29"/>
        <v>2596.5674300000001</v>
      </c>
      <c r="AW144" s="315">
        <f t="shared" si="29"/>
        <v>0</v>
      </c>
      <c r="AX144" s="315">
        <f t="shared" si="30"/>
        <v>0</v>
      </c>
      <c r="AY144" s="315">
        <f>SUM(T144:AX144)</f>
        <v>27946078.805643599</v>
      </c>
      <c r="AZ144" s="236">
        <f t="shared" si="23"/>
        <v>0</v>
      </c>
      <c r="BA144" s="315">
        <f>SUM(AA144:AX144)</f>
        <v>14089644.497302003</v>
      </c>
      <c r="BB144" s="315">
        <f>SUM(T144:Z144,BA144)</f>
        <v>27946078.805643603</v>
      </c>
      <c r="BD144" s="257" t="b">
        <f t="shared" si="26"/>
        <v>1</v>
      </c>
      <c r="BE144" s="258"/>
    </row>
    <row r="145" spans="2:57" s="275" customFormat="1" x14ac:dyDescent="0.25">
      <c r="Q145" s="310" t="s">
        <v>1060</v>
      </c>
      <c r="R145" s="316">
        <f t="shared" ref="R145:AX145" si="31">SUM(R143:R144)</f>
        <v>2559665.8199999998</v>
      </c>
      <c r="S145" s="316">
        <f t="shared" si="31"/>
        <v>2253657.23</v>
      </c>
      <c r="T145" s="317">
        <f t="shared" si="31"/>
        <v>4826253.05</v>
      </c>
      <c r="U145" s="317">
        <f t="shared" si="31"/>
        <v>5776704.0415089009</v>
      </c>
      <c r="V145" s="317">
        <f t="shared" si="31"/>
        <v>5681645.1859199004</v>
      </c>
      <c r="W145" s="317">
        <f t="shared" si="31"/>
        <v>5716771.0674908999</v>
      </c>
      <c r="X145" s="317">
        <f t="shared" si="31"/>
        <v>5569645.3451397885</v>
      </c>
      <c r="Y145" s="317">
        <f t="shared" si="31"/>
        <v>5537225.1082919436</v>
      </c>
      <c r="Z145" s="317">
        <f t="shared" si="31"/>
        <v>5321550.2677679453</v>
      </c>
      <c r="AA145" s="317">
        <f t="shared" si="31"/>
        <v>5136950.8063339442</v>
      </c>
      <c r="AB145" s="317">
        <f t="shared" si="31"/>
        <v>4896252.4704299439</v>
      </c>
      <c r="AC145" s="317">
        <f t="shared" si="31"/>
        <v>4087299.0355715444</v>
      </c>
      <c r="AD145" s="317">
        <f t="shared" si="31"/>
        <v>3760507.8646535436</v>
      </c>
      <c r="AE145" s="317">
        <f t="shared" si="31"/>
        <v>3289912.9478938445</v>
      </c>
      <c r="AF145" s="317">
        <f t="shared" si="31"/>
        <v>3092529.8155610445</v>
      </c>
      <c r="AG145" s="317">
        <f t="shared" si="31"/>
        <v>2869350.5330882445</v>
      </c>
      <c r="AH145" s="317">
        <f t="shared" si="31"/>
        <v>2670147.6756994445</v>
      </c>
      <c r="AI145" s="317">
        <f t="shared" si="31"/>
        <v>2451734.7667154446</v>
      </c>
      <c r="AJ145" s="317">
        <f t="shared" si="31"/>
        <v>2301555.5527114444</v>
      </c>
      <c r="AK145" s="317">
        <f t="shared" si="31"/>
        <v>2185641.6796474447</v>
      </c>
      <c r="AL145" s="317">
        <f t="shared" si="31"/>
        <v>2087800.9665834443</v>
      </c>
      <c r="AM145" s="317">
        <f t="shared" si="31"/>
        <v>1956369.740599111</v>
      </c>
      <c r="AN145" s="317">
        <f t="shared" si="31"/>
        <v>1887357.4404791109</v>
      </c>
      <c r="AO145" s="317">
        <f t="shared" si="31"/>
        <v>1976400.6959146666</v>
      </c>
      <c r="AP145" s="317">
        <f t="shared" si="31"/>
        <v>1425156.1541279999</v>
      </c>
      <c r="AQ145" s="317">
        <f t="shared" si="31"/>
        <v>1372275.004008</v>
      </c>
      <c r="AR145" s="317">
        <f t="shared" si="31"/>
        <v>1319393.8538879999</v>
      </c>
      <c r="AS145" s="317">
        <f t="shared" si="31"/>
        <v>949480.53376800008</v>
      </c>
      <c r="AT145" s="317">
        <f t="shared" si="31"/>
        <v>495938.89607000002</v>
      </c>
      <c r="AU145" s="317">
        <f t="shared" si="31"/>
        <v>432005.55835000001</v>
      </c>
      <c r="AV145" s="317">
        <f t="shared" si="31"/>
        <v>58184.487430000001</v>
      </c>
      <c r="AW145" s="317">
        <f t="shared" si="31"/>
        <v>0</v>
      </c>
      <c r="AX145" s="317">
        <f t="shared" si="31"/>
        <v>0</v>
      </c>
      <c r="AY145" s="317">
        <f>SUM(T145:AX145)</f>
        <v>89132040.545643598</v>
      </c>
      <c r="AZ145" s="236">
        <f t="shared" si="23"/>
        <v>0</v>
      </c>
      <c r="BA145" s="317">
        <f>SUM(AA145:AX145)</f>
        <v>50702246.47952421</v>
      </c>
      <c r="BB145" s="317">
        <f>SUM(T145:Z145,BA145)</f>
        <v>89132040.545643598</v>
      </c>
      <c r="BD145" s="257" t="b">
        <f t="shared" si="26"/>
        <v>1</v>
      </c>
      <c r="BE145" s="258"/>
    </row>
    <row r="147" spans="2:57" x14ac:dyDescent="0.25">
      <c r="I147" s="318"/>
      <c r="J147" s="319"/>
      <c r="S147" s="320"/>
      <c r="T147" s="320">
        <f t="shared" ref="T147:BB147" si="32">T145-SUM(T6:T141)</f>
        <v>0</v>
      </c>
      <c r="U147" s="320">
        <f t="shared" si="32"/>
        <v>0</v>
      </c>
      <c r="V147" s="320">
        <f t="shared" si="32"/>
        <v>0</v>
      </c>
      <c r="W147" s="320">
        <f t="shared" si="32"/>
        <v>0</v>
      </c>
      <c r="X147" s="320">
        <f t="shared" si="32"/>
        <v>0</v>
      </c>
      <c r="Y147" s="320">
        <f t="shared" si="32"/>
        <v>0</v>
      </c>
      <c r="Z147" s="320">
        <f t="shared" si="32"/>
        <v>0</v>
      </c>
      <c r="AA147" s="320">
        <f t="shared" si="32"/>
        <v>0</v>
      </c>
      <c r="AB147" s="320">
        <f t="shared" si="32"/>
        <v>0</v>
      </c>
      <c r="AC147" s="320">
        <f t="shared" si="32"/>
        <v>0</v>
      </c>
      <c r="AD147" s="320">
        <f t="shared" si="32"/>
        <v>0</v>
      </c>
      <c r="AE147" s="320">
        <f t="shared" si="32"/>
        <v>0</v>
      </c>
      <c r="AF147" s="320">
        <f t="shared" si="32"/>
        <v>0</v>
      </c>
      <c r="AG147" s="320">
        <f t="shared" si="32"/>
        <v>0</v>
      </c>
      <c r="AH147" s="320">
        <f t="shared" si="32"/>
        <v>0</v>
      </c>
      <c r="AI147" s="320">
        <f t="shared" si="32"/>
        <v>0</v>
      </c>
      <c r="AJ147" s="320">
        <f t="shared" si="32"/>
        <v>0</v>
      </c>
      <c r="AK147" s="320">
        <f t="shared" si="32"/>
        <v>0</v>
      </c>
      <c r="AL147" s="320">
        <f t="shared" si="32"/>
        <v>0</v>
      </c>
      <c r="AM147" s="320">
        <f t="shared" si="32"/>
        <v>0</v>
      </c>
      <c r="AN147" s="320">
        <f t="shared" si="32"/>
        <v>0</v>
      </c>
      <c r="AO147" s="320">
        <f t="shared" si="32"/>
        <v>0</v>
      </c>
      <c r="AP147" s="320">
        <f t="shared" si="32"/>
        <v>0</v>
      </c>
      <c r="AQ147" s="320">
        <f t="shared" si="32"/>
        <v>0</v>
      </c>
      <c r="AR147" s="320">
        <f t="shared" si="32"/>
        <v>0</v>
      </c>
      <c r="AS147" s="320">
        <f t="shared" si="32"/>
        <v>0</v>
      </c>
      <c r="AT147" s="320">
        <f t="shared" si="32"/>
        <v>0</v>
      </c>
      <c r="AU147" s="320">
        <f t="shared" si="32"/>
        <v>0</v>
      </c>
      <c r="AV147" s="320">
        <f t="shared" si="32"/>
        <v>0</v>
      </c>
      <c r="AW147" s="320">
        <f t="shared" si="32"/>
        <v>0</v>
      </c>
      <c r="AX147" s="320">
        <f t="shared" si="32"/>
        <v>0</v>
      </c>
      <c r="AY147" s="320">
        <f t="shared" si="32"/>
        <v>0</v>
      </c>
      <c r="AZ147" s="320">
        <f t="shared" si="32"/>
        <v>0</v>
      </c>
      <c r="BA147" s="320">
        <f t="shared" si="32"/>
        <v>0</v>
      </c>
      <c r="BB147" s="320">
        <f t="shared" si="32"/>
        <v>0</v>
      </c>
    </row>
    <row r="148" spans="2:57" ht="15.75" x14ac:dyDescent="0.25">
      <c r="C148" s="235" t="s">
        <v>1061</v>
      </c>
      <c r="J148" s="236"/>
    </row>
    <row r="149" spans="2:57" ht="71.25" x14ac:dyDescent="0.25">
      <c r="C149" s="241" t="s">
        <v>700</v>
      </c>
      <c r="D149" s="242" t="s">
        <v>1062</v>
      </c>
      <c r="E149" s="242" t="s">
        <v>1063</v>
      </c>
      <c r="F149" s="242" t="s">
        <v>1064</v>
      </c>
      <c r="G149" s="242" t="s">
        <v>704</v>
      </c>
      <c r="H149" s="242" t="s">
        <v>705</v>
      </c>
      <c r="I149" s="242" t="s">
        <v>706</v>
      </c>
      <c r="J149" s="242" t="s">
        <v>707</v>
      </c>
      <c r="K149" s="247" t="s">
        <v>708</v>
      </c>
      <c r="L149" s="247" t="s">
        <v>709</v>
      </c>
      <c r="M149" s="247" t="s">
        <v>710</v>
      </c>
      <c r="N149" s="247" t="s">
        <v>711</v>
      </c>
      <c r="O149" s="247" t="s">
        <v>712</v>
      </c>
      <c r="P149" s="247" t="s">
        <v>713</v>
      </c>
      <c r="Q149" s="244" t="s">
        <v>714</v>
      </c>
      <c r="R149" s="244"/>
      <c r="S149" s="244"/>
      <c r="T149" s="247">
        <v>2023</v>
      </c>
      <c r="U149" s="241">
        <v>2024</v>
      </c>
      <c r="V149" s="241">
        <v>2025</v>
      </c>
      <c r="W149" s="241">
        <v>2026</v>
      </c>
      <c r="X149" s="241">
        <v>2027</v>
      </c>
      <c r="Y149" s="241">
        <v>2028</v>
      </c>
      <c r="Z149" s="241">
        <v>2029</v>
      </c>
      <c r="AA149" s="241">
        <v>2030</v>
      </c>
      <c r="AB149" s="241">
        <v>2031</v>
      </c>
      <c r="AC149" s="241">
        <v>2032</v>
      </c>
      <c r="AD149" s="241">
        <v>2033</v>
      </c>
      <c r="AE149" s="241">
        <v>2034</v>
      </c>
      <c r="AF149" s="241">
        <v>2035</v>
      </c>
      <c r="AG149" s="241">
        <v>2036</v>
      </c>
      <c r="AH149" s="241">
        <v>2037</v>
      </c>
      <c r="AI149" s="241">
        <v>2038</v>
      </c>
      <c r="AJ149" s="241">
        <v>2039</v>
      </c>
      <c r="AK149" s="241">
        <v>2040</v>
      </c>
      <c r="AL149" s="241">
        <v>2041</v>
      </c>
      <c r="AM149" s="241">
        <v>2042</v>
      </c>
      <c r="AN149" s="241">
        <v>2043</v>
      </c>
      <c r="AO149" s="241">
        <v>2044</v>
      </c>
      <c r="AP149" s="241">
        <v>2045</v>
      </c>
      <c r="AQ149" s="241">
        <v>2046</v>
      </c>
      <c r="AR149" s="241">
        <v>2047</v>
      </c>
      <c r="AS149" s="241">
        <v>2048</v>
      </c>
      <c r="AT149" s="241">
        <v>2049</v>
      </c>
      <c r="AU149" s="241">
        <v>2050</v>
      </c>
      <c r="AV149" s="241">
        <v>2051</v>
      </c>
      <c r="AW149" s="241">
        <v>2052</v>
      </c>
      <c r="AX149" s="241">
        <v>2053</v>
      </c>
      <c r="AY149" s="242" t="s">
        <v>717</v>
      </c>
      <c r="BA149" s="249" t="s">
        <v>718</v>
      </c>
      <c r="BB149" s="242" t="s">
        <v>719</v>
      </c>
    </row>
    <row r="150" spans="2:57" s="257" customFormat="1" ht="14.25" x14ac:dyDescent="0.2">
      <c r="B150" s="250"/>
      <c r="C150" s="250">
        <v>1</v>
      </c>
      <c r="D150" s="250" t="s">
        <v>1065</v>
      </c>
      <c r="E150" s="250"/>
      <c r="F150" s="250"/>
      <c r="G150" s="250">
        <v>3.2017000000000002</v>
      </c>
      <c r="H150" s="250">
        <v>3.2031999999999998</v>
      </c>
      <c r="I150" s="250" t="s">
        <v>726</v>
      </c>
      <c r="J150" s="251">
        <v>129553</v>
      </c>
      <c r="K150" s="251"/>
      <c r="L150" s="251"/>
      <c r="M150" s="251"/>
      <c r="N150" s="252"/>
      <c r="O150" s="252"/>
      <c r="P150" s="252"/>
      <c r="Q150" s="252" t="s">
        <v>727</v>
      </c>
      <c r="R150" s="252"/>
      <c r="S150" s="252"/>
      <c r="T150" s="254">
        <v>8936</v>
      </c>
      <c r="U150" s="254">
        <v>8936</v>
      </c>
      <c r="V150" s="254">
        <v>8936</v>
      </c>
      <c r="W150" s="254">
        <v>8936</v>
      </c>
      <c r="X150" s="254">
        <v>8936</v>
      </c>
      <c r="Y150" s="254">
        <v>8936</v>
      </c>
      <c r="Z150" s="254">
        <v>8936</v>
      </c>
      <c r="AA150" s="254">
        <v>8936</v>
      </c>
      <c r="AB150" s="254">
        <v>8936</v>
      </c>
      <c r="AC150" s="254">
        <v>2234</v>
      </c>
      <c r="AD150" s="254"/>
      <c r="AE150" s="254"/>
      <c r="AF150" s="254"/>
      <c r="AG150" s="254"/>
      <c r="AH150" s="254"/>
      <c r="AI150" s="254"/>
      <c r="AJ150" s="254"/>
      <c r="AK150" s="254"/>
      <c r="AL150" s="254"/>
      <c r="AM150" s="254"/>
      <c r="AN150" s="254"/>
      <c r="AO150" s="254"/>
      <c r="AP150" s="254"/>
      <c r="AQ150" s="254"/>
      <c r="AR150" s="254"/>
      <c r="AS150" s="254"/>
      <c r="AT150" s="254"/>
      <c r="AU150" s="254"/>
      <c r="AV150" s="254"/>
      <c r="AW150" s="254"/>
      <c r="AX150" s="254"/>
      <c r="AY150" s="255">
        <f t="shared" ref="AY150:AY164" si="33">SUM(T150:AX150)</f>
        <v>82658</v>
      </c>
      <c r="BA150" s="256">
        <f t="shared" ref="BA150:BA163" si="34">SUM(AA150:AX150)</f>
        <v>20106</v>
      </c>
      <c r="BB150" s="255">
        <f t="shared" ref="BB150:BB163" si="35">SUM(T150:Z150,BA150)</f>
        <v>82658</v>
      </c>
      <c r="BD150" s="257" t="b">
        <f t="shared" ref="BD150:BD164" si="36">AY150=BB150</f>
        <v>1</v>
      </c>
    </row>
    <row r="151" spans="2:57" x14ac:dyDescent="0.25">
      <c r="B151" s="259"/>
      <c r="C151" s="259"/>
      <c r="D151" s="259"/>
      <c r="E151" s="259"/>
      <c r="F151" s="259"/>
      <c r="G151" s="259"/>
      <c r="H151" s="259"/>
      <c r="I151" s="259"/>
      <c r="J151" s="260"/>
      <c r="K151" s="260"/>
      <c r="L151" s="260"/>
      <c r="M151" s="260"/>
      <c r="N151" s="261">
        <f>SUM(O151:P151)</f>
        <v>3.0089999999999999</v>
      </c>
      <c r="O151" s="261">
        <v>2.7589999999999999</v>
      </c>
      <c r="P151" s="261">
        <v>0.25</v>
      </c>
      <c r="Q151" s="261" t="s">
        <v>729</v>
      </c>
      <c r="R151" s="261"/>
      <c r="S151" s="261"/>
      <c r="T151" s="263">
        <v>2756.0634599999998</v>
      </c>
      <c r="U151" s="263">
        <f>SUM(U150:$AV150)*$N151/100</f>
        <v>2218.2949800000001</v>
      </c>
      <c r="V151" s="263">
        <f>SUM(V150:$AV150)*$N151/100</f>
        <v>1949.41074</v>
      </c>
      <c r="W151" s="263">
        <f>SUM(W150:$AV150)*$N151/100</f>
        <v>1680.5264999999999</v>
      </c>
      <c r="X151" s="263">
        <f>SUM(X150:$AV150)*$N151/100</f>
        <v>1411.6422599999999</v>
      </c>
      <c r="Y151" s="263">
        <f>SUM(Y150:$AV150)*$N151/100</f>
        <v>1142.75802</v>
      </c>
      <c r="Z151" s="263">
        <f>SUM(Z150:$AV150)*$N151/100</f>
        <v>873.87378000000001</v>
      </c>
      <c r="AA151" s="263">
        <f>SUM(AA150:$AV150)*$N151/100</f>
        <v>604.98954000000003</v>
      </c>
      <c r="AB151" s="263">
        <f>SUM(AB150:$AV150)*$N151/100</f>
        <v>336.1053</v>
      </c>
      <c r="AC151" s="263">
        <f>SUM(AC150:$AV150)*$N151/100</f>
        <v>67.221059999999994</v>
      </c>
      <c r="AD151" s="263"/>
      <c r="AE151" s="263"/>
      <c r="AF151" s="263"/>
      <c r="AG151" s="263"/>
      <c r="AH151" s="263"/>
      <c r="AI151" s="263"/>
      <c r="AJ151" s="263"/>
      <c r="AK151" s="263"/>
      <c r="AL151" s="263"/>
      <c r="AM151" s="263"/>
      <c r="AN151" s="263"/>
      <c r="AO151" s="263"/>
      <c r="AP151" s="263"/>
      <c r="AQ151" s="263"/>
      <c r="AR151" s="263"/>
      <c r="AS151" s="263"/>
      <c r="AT151" s="263"/>
      <c r="AU151" s="263"/>
      <c r="AV151" s="263"/>
      <c r="AW151" s="263"/>
      <c r="AX151" s="263"/>
      <c r="AY151" s="264">
        <f t="shared" si="33"/>
        <v>13040.885639999999</v>
      </c>
      <c r="BA151" s="265">
        <f t="shared" si="34"/>
        <v>1008.3158999999999</v>
      </c>
      <c r="BB151" s="264">
        <f t="shared" si="35"/>
        <v>13040.885639999999</v>
      </c>
      <c r="BD151" s="229" t="b">
        <f t="shared" si="36"/>
        <v>1</v>
      </c>
    </row>
    <row r="152" spans="2:57" s="257" customFormat="1" ht="14.25" x14ac:dyDescent="0.2">
      <c r="B152" s="250"/>
      <c r="C152" s="250">
        <v>2</v>
      </c>
      <c r="D152" s="250" t="s">
        <v>1066</v>
      </c>
      <c r="E152" s="250"/>
      <c r="F152" s="250"/>
      <c r="G152" s="321">
        <v>43832</v>
      </c>
      <c r="H152" s="321">
        <v>45656</v>
      </c>
      <c r="I152" s="250" t="s">
        <v>726</v>
      </c>
      <c r="J152" s="251">
        <v>44681</v>
      </c>
      <c r="K152" s="251"/>
      <c r="L152" s="251"/>
      <c r="M152" s="251"/>
      <c r="N152" s="252"/>
      <c r="O152" s="252"/>
      <c r="P152" s="252"/>
      <c r="Q152" s="252" t="s">
        <v>727</v>
      </c>
      <c r="R152" s="252"/>
      <c r="S152" s="252"/>
      <c r="T152" s="254">
        <v>5976</v>
      </c>
      <c r="U152" s="254">
        <v>5976</v>
      </c>
      <c r="V152" s="254">
        <v>446.95</v>
      </c>
      <c r="W152" s="254"/>
      <c r="X152" s="254"/>
      <c r="Y152" s="254"/>
      <c r="Z152" s="254"/>
      <c r="AA152" s="254"/>
      <c r="AB152" s="254"/>
      <c r="AC152" s="254"/>
      <c r="AD152" s="254"/>
      <c r="AE152" s="254"/>
      <c r="AF152" s="254"/>
      <c r="AG152" s="254"/>
      <c r="AH152" s="254"/>
      <c r="AI152" s="254"/>
      <c r="AJ152" s="254"/>
      <c r="AK152" s="254"/>
      <c r="AL152" s="254"/>
      <c r="AM152" s="254"/>
      <c r="AN152" s="254"/>
      <c r="AO152" s="254"/>
      <c r="AP152" s="254"/>
      <c r="AQ152" s="254"/>
      <c r="AR152" s="254"/>
      <c r="AS152" s="254"/>
      <c r="AT152" s="254"/>
      <c r="AU152" s="254"/>
      <c r="AV152" s="254"/>
      <c r="AW152" s="254"/>
      <c r="AX152" s="254"/>
      <c r="AY152" s="255">
        <f t="shared" si="33"/>
        <v>12398.95</v>
      </c>
      <c r="BA152" s="256">
        <f t="shared" si="34"/>
        <v>0</v>
      </c>
      <c r="BB152" s="255">
        <f t="shared" si="35"/>
        <v>12398.95</v>
      </c>
      <c r="BD152" s="257" t="b">
        <f t="shared" si="36"/>
        <v>1</v>
      </c>
    </row>
    <row r="153" spans="2:57" x14ac:dyDescent="0.25">
      <c r="B153" s="259"/>
      <c r="C153" s="259"/>
      <c r="D153" s="259" t="s">
        <v>1067</v>
      </c>
      <c r="E153" s="259"/>
      <c r="F153" s="259"/>
      <c r="G153" s="259"/>
      <c r="H153" s="259"/>
      <c r="I153" s="259"/>
      <c r="J153" s="260"/>
      <c r="K153" s="260"/>
      <c r="L153" s="260"/>
      <c r="M153" s="260"/>
      <c r="N153" s="261">
        <f>SUM(O153:P153)</f>
        <v>0.85599999999999998</v>
      </c>
      <c r="O153" s="261">
        <v>0.35599999999999998</v>
      </c>
      <c r="P153" s="261">
        <v>0.5</v>
      </c>
      <c r="Q153" s="261" t="s">
        <v>729</v>
      </c>
      <c r="R153" s="261"/>
      <c r="S153" s="261"/>
      <c r="T153" s="263"/>
      <c r="U153" s="263"/>
      <c r="V153" s="263"/>
      <c r="W153" s="263"/>
      <c r="X153" s="263"/>
      <c r="Y153" s="263"/>
      <c r="Z153" s="263"/>
      <c r="AA153" s="263"/>
      <c r="AB153" s="263"/>
      <c r="AC153" s="263"/>
      <c r="AD153" s="263"/>
      <c r="AE153" s="263"/>
      <c r="AF153" s="263"/>
      <c r="AG153" s="263"/>
      <c r="AH153" s="263"/>
      <c r="AI153" s="263"/>
      <c r="AJ153" s="263"/>
      <c r="AK153" s="263"/>
      <c r="AL153" s="263"/>
      <c r="AM153" s="263"/>
      <c r="AN153" s="263"/>
      <c r="AO153" s="263"/>
      <c r="AP153" s="263"/>
      <c r="AQ153" s="263"/>
      <c r="AR153" s="263"/>
      <c r="AS153" s="263"/>
      <c r="AT153" s="263"/>
      <c r="AU153" s="263"/>
      <c r="AV153" s="263"/>
      <c r="AW153" s="263"/>
      <c r="AX153" s="263"/>
      <c r="AY153" s="264">
        <f t="shared" si="33"/>
        <v>0</v>
      </c>
      <c r="BA153" s="265">
        <f t="shared" si="34"/>
        <v>0</v>
      </c>
      <c r="BB153" s="264">
        <f t="shared" si="35"/>
        <v>0</v>
      </c>
      <c r="BD153" s="229" t="b">
        <f t="shared" si="36"/>
        <v>1</v>
      </c>
    </row>
    <row r="154" spans="2:57" s="257" customFormat="1" ht="14.25" x14ac:dyDescent="0.2">
      <c r="B154" s="250"/>
      <c r="C154" s="250">
        <v>3</v>
      </c>
      <c r="D154" s="250" t="s">
        <v>1068</v>
      </c>
      <c r="E154" s="250"/>
      <c r="F154" s="250"/>
      <c r="G154" s="321">
        <v>44151</v>
      </c>
      <c r="H154" s="321">
        <v>45981</v>
      </c>
      <c r="I154" s="250" t="s">
        <v>726</v>
      </c>
      <c r="J154" s="251">
        <v>82111</v>
      </c>
      <c r="K154" s="251"/>
      <c r="L154" s="251"/>
      <c r="M154" s="251"/>
      <c r="N154" s="252"/>
      <c r="O154" s="252"/>
      <c r="P154" s="252"/>
      <c r="Q154" s="252" t="s">
        <v>727</v>
      </c>
      <c r="R154" s="252"/>
      <c r="S154" s="252"/>
      <c r="T154" s="254">
        <v>15204.36</v>
      </c>
      <c r="U154" s="254">
        <v>15204.36</v>
      </c>
      <c r="V154" s="254">
        <v>13937.16</v>
      </c>
      <c r="W154" s="254"/>
      <c r="X154" s="254"/>
      <c r="Y154" s="254"/>
      <c r="Z154" s="254"/>
      <c r="AA154" s="254"/>
      <c r="AB154" s="254"/>
      <c r="AC154" s="254"/>
      <c r="AD154" s="254"/>
      <c r="AE154" s="254"/>
      <c r="AF154" s="254"/>
      <c r="AG154" s="254"/>
      <c r="AH154" s="254"/>
      <c r="AI154" s="254"/>
      <c r="AJ154" s="254"/>
      <c r="AK154" s="254"/>
      <c r="AL154" s="254"/>
      <c r="AM154" s="254"/>
      <c r="AN154" s="254"/>
      <c r="AO154" s="254"/>
      <c r="AP154" s="254"/>
      <c r="AQ154" s="254"/>
      <c r="AR154" s="254"/>
      <c r="AS154" s="254"/>
      <c r="AT154" s="254"/>
      <c r="AU154" s="254"/>
      <c r="AV154" s="254"/>
      <c r="AW154" s="254"/>
      <c r="AX154" s="254"/>
      <c r="AY154" s="255">
        <f t="shared" si="33"/>
        <v>44345.880000000005</v>
      </c>
      <c r="BA154" s="256">
        <f t="shared" si="34"/>
        <v>0</v>
      </c>
      <c r="BB154" s="255">
        <f t="shared" si="35"/>
        <v>44345.880000000005</v>
      </c>
      <c r="BD154" s="257" t="b">
        <f t="shared" si="36"/>
        <v>1</v>
      </c>
    </row>
    <row r="155" spans="2:57" x14ac:dyDescent="0.25">
      <c r="B155" s="259"/>
      <c r="C155" s="259"/>
      <c r="D155" s="259" t="s">
        <v>1067</v>
      </c>
      <c r="E155" s="259"/>
      <c r="F155" s="259"/>
      <c r="G155" s="259"/>
      <c r="H155" s="259"/>
      <c r="I155" s="259"/>
      <c r="J155" s="260"/>
      <c r="K155" s="260"/>
      <c r="L155" s="260"/>
      <c r="M155" s="260"/>
      <c r="N155" s="261">
        <f>SUM(O155:P155)</f>
        <v>0.85599999999999998</v>
      </c>
      <c r="O155" s="261">
        <v>0.35599999999999998</v>
      </c>
      <c r="P155" s="261">
        <v>0.5</v>
      </c>
      <c r="Q155" s="261" t="s">
        <v>729</v>
      </c>
      <c r="R155" s="261"/>
      <c r="S155" s="261"/>
      <c r="T155" s="263"/>
      <c r="U155" s="263"/>
      <c r="V155" s="263"/>
      <c r="W155" s="263"/>
      <c r="X155" s="263"/>
      <c r="Y155" s="263"/>
      <c r="Z155" s="263"/>
      <c r="AA155" s="263"/>
      <c r="AB155" s="263"/>
      <c r="AC155" s="263"/>
      <c r="AD155" s="263"/>
      <c r="AE155" s="263"/>
      <c r="AF155" s="263"/>
      <c r="AG155" s="263"/>
      <c r="AH155" s="263"/>
      <c r="AI155" s="263"/>
      <c r="AJ155" s="263"/>
      <c r="AK155" s="263"/>
      <c r="AL155" s="263"/>
      <c r="AM155" s="263"/>
      <c r="AN155" s="263"/>
      <c r="AO155" s="263"/>
      <c r="AP155" s="263"/>
      <c r="AQ155" s="263"/>
      <c r="AR155" s="263"/>
      <c r="AS155" s="263"/>
      <c r="AT155" s="263"/>
      <c r="AU155" s="263"/>
      <c r="AV155" s="263"/>
      <c r="AW155" s="263"/>
      <c r="AX155" s="263"/>
      <c r="AY155" s="264">
        <f t="shared" si="33"/>
        <v>0</v>
      </c>
      <c r="BA155" s="265">
        <f t="shared" si="34"/>
        <v>0</v>
      </c>
      <c r="BB155" s="264">
        <f t="shared" si="35"/>
        <v>0</v>
      </c>
      <c r="BD155" s="229" t="b">
        <f t="shared" si="36"/>
        <v>1</v>
      </c>
    </row>
    <row r="156" spans="2:57" s="257" customFormat="1" ht="14.25" x14ac:dyDescent="0.2">
      <c r="B156" s="250"/>
      <c r="C156" s="250">
        <v>4</v>
      </c>
      <c r="D156" s="250" t="s">
        <v>1069</v>
      </c>
      <c r="E156" s="250"/>
      <c r="F156" s="250"/>
      <c r="G156" s="321">
        <v>44313</v>
      </c>
      <c r="H156" s="321">
        <v>45774</v>
      </c>
      <c r="I156" s="250" t="s">
        <v>726</v>
      </c>
      <c r="J156" s="251">
        <v>33649.81</v>
      </c>
      <c r="K156" s="251"/>
      <c r="L156" s="251"/>
      <c r="M156" s="251"/>
      <c r="N156" s="252"/>
      <c r="O156" s="252"/>
      <c r="P156" s="252"/>
      <c r="Q156" s="252" t="s">
        <v>727</v>
      </c>
      <c r="R156" s="252"/>
      <c r="S156" s="252"/>
      <c r="T156" s="254">
        <v>8424</v>
      </c>
      <c r="U156" s="254">
        <v>8424</v>
      </c>
      <c r="V156" s="254">
        <v>2808</v>
      </c>
      <c r="W156" s="254"/>
      <c r="X156" s="254"/>
      <c r="Y156" s="254"/>
      <c r="Z156" s="254"/>
      <c r="AA156" s="254"/>
      <c r="AB156" s="254"/>
      <c r="AC156" s="254"/>
      <c r="AD156" s="254"/>
      <c r="AE156" s="254"/>
      <c r="AF156" s="254"/>
      <c r="AG156" s="254"/>
      <c r="AH156" s="254"/>
      <c r="AI156" s="254"/>
      <c r="AJ156" s="254"/>
      <c r="AK156" s="254"/>
      <c r="AL156" s="254"/>
      <c r="AM156" s="254"/>
      <c r="AN156" s="254"/>
      <c r="AO156" s="254"/>
      <c r="AP156" s="254"/>
      <c r="AQ156" s="254"/>
      <c r="AR156" s="254"/>
      <c r="AS156" s="254"/>
      <c r="AT156" s="254"/>
      <c r="AU156" s="254"/>
      <c r="AV156" s="254"/>
      <c r="AW156" s="254"/>
      <c r="AX156" s="254"/>
      <c r="AY156" s="255">
        <f t="shared" si="33"/>
        <v>19656</v>
      </c>
      <c r="BA156" s="256">
        <f t="shared" si="34"/>
        <v>0</v>
      </c>
      <c r="BB156" s="255">
        <f t="shared" si="35"/>
        <v>19656</v>
      </c>
      <c r="BD156" s="257" t="b">
        <f t="shared" si="36"/>
        <v>1</v>
      </c>
    </row>
    <row r="157" spans="2:57" x14ac:dyDescent="0.25">
      <c r="B157" s="259"/>
      <c r="C157" s="259"/>
      <c r="D157" s="259" t="s">
        <v>1067</v>
      </c>
      <c r="E157" s="259"/>
      <c r="F157" s="259"/>
      <c r="G157" s="259"/>
      <c r="H157" s="259"/>
      <c r="I157" s="259"/>
      <c r="J157" s="260"/>
      <c r="K157" s="260"/>
      <c r="L157" s="260"/>
      <c r="M157" s="260"/>
      <c r="N157" s="261">
        <f>SUM(O157:P157)</f>
        <v>0.85599999999999998</v>
      </c>
      <c r="O157" s="261">
        <v>0.35599999999999998</v>
      </c>
      <c r="P157" s="261">
        <v>0.5</v>
      </c>
      <c r="Q157" s="261" t="s">
        <v>729</v>
      </c>
      <c r="R157" s="261"/>
      <c r="S157" s="261"/>
      <c r="T157" s="263"/>
      <c r="U157" s="263"/>
      <c r="V157" s="263"/>
      <c r="W157" s="263"/>
      <c r="X157" s="263"/>
      <c r="Y157" s="263"/>
      <c r="Z157" s="263"/>
      <c r="AA157" s="263"/>
      <c r="AB157" s="263"/>
      <c r="AC157" s="263"/>
      <c r="AD157" s="263"/>
      <c r="AE157" s="263"/>
      <c r="AF157" s="263"/>
      <c r="AG157" s="263"/>
      <c r="AH157" s="263"/>
      <c r="AI157" s="263"/>
      <c r="AJ157" s="263"/>
      <c r="AK157" s="263"/>
      <c r="AL157" s="263"/>
      <c r="AM157" s="263"/>
      <c r="AN157" s="263"/>
      <c r="AO157" s="263"/>
      <c r="AP157" s="263"/>
      <c r="AQ157" s="263"/>
      <c r="AR157" s="263"/>
      <c r="AS157" s="263"/>
      <c r="AT157" s="263"/>
      <c r="AU157" s="263"/>
      <c r="AV157" s="263"/>
      <c r="AW157" s="263"/>
      <c r="AX157" s="263"/>
      <c r="AY157" s="264">
        <f t="shared" si="33"/>
        <v>0</v>
      </c>
      <c r="BA157" s="265">
        <f t="shared" si="34"/>
        <v>0</v>
      </c>
      <c r="BB157" s="264">
        <f t="shared" si="35"/>
        <v>0</v>
      </c>
      <c r="BD157" s="229" t="b">
        <f t="shared" si="36"/>
        <v>1</v>
      </c>
    </row>
    <row r="158" spans="2:57" s="257" customFormat="1" ht="14.25" x14ac:dyDescent="0.2">
      <c r="B158" s="250"/>
      <c r="C158" s="250">
        <v>5</v>
      </c>
      <c r="D158" s="250" t="s">
        <v>1065</v>
      </c>
      <c r="E158" s="250"/>
      <c r="F158" s="250"/>
      <c r="G158" s="321">
        <v>44655</v>
      </c>
      <c r="H158" s="321">
        <v>55598</v>
      </c>
      <c r="I158" s="250" t="s">
        <v>726</v>
      </c>
      <c r="J158" s="251">
        <v>2209678</v>
      </c>
      <c r="K158" s="251"/>
      <c r="L158" s="251"/>
      <c r="M158" s="251"/>
      <c r="N158" s="252"/>
      <c r="O158" s="252"/>
      <c r="P158" s="252"/>
      <c r="Q158" s="252" t="s">
        <v>727</v>
      </c>
      <c r="R158" s="252"/>
      <c r="S158" s="252"/>
      <c r="T158" s="254">
        <v>0</v>
      </c>
      <c r="U158" s="254"/>
      <c r="V158" s="254">
        <v>67990</v>
      </c>
      <c r="W158" s="254">
        <v>81588</v>
      </c>
      <c r="X158" s="254">
        <v>81588</v>
      </c>
      <c r="Y158" s="254">
        <v>81588</v>
      </c>
      <c r="Z158" s="254">
        <v>81588</v>
      </c>
      <c r="AA158" s="254">
        <v>81588</v>
      </c>
      <c r="AB158" s="254">
        <v>81588</v>
      </c>
      <c r="AC158" s="254">
        <v>81588</v>
      </c>
      <c r="AD158" s="254">
        <v>81588</v>
      </c>
      <c r="AE158" s="254">
        <v>81588</v>
      </c>
      <c r="AF158" s="254">
        <v>81588</v>
      </c>
      <c r="AG158" s="254">
        <v>81588</v>
      </c>
      <c r="AH158" s="254">
        <v>81588</v>
      </c>
      <c r="AI158" s="254">
        <v>81588</v>
      </c>
      <c r="AJ158" s="254">
        <v>81588</v>
      </c>
      <c r="AK158" s="254">
        <v>81588</v>
      </c>
      <c r="AL158" s="254">
        <v>81588</v>
      </c>
      <c r="AM158" s="254">
        <v>81588</v>
      </c>
      <c r="AN158" s="254">
        <v>81588</v>
      </c>
      <c r="AO158" s="254">
        <v>81588</v>
      </c>
      <c r="AP158" s="254">
        <v>81588</v>
      </c>
      <c r="AQ158" s="254">
        <v>81588</v>
      </c>
      <c r="AR158" s="254">
        <v>81588</v>
      </c>
      <c r="AS158" s="254">
        <v>81588</v>
      </c>
      <c r="AT158" s="254">
        <v>81588</v>
      </c>
      <c r="AU158" s="254">
        <v>81588</v>
      </c>
      <c r="AV158" s="254">
        <v>81588</v>
      </c>
      <c r="AW158" s="254">
        <v>81588</v>
      </c>
      <c r="AX158" s="254">
        <v>20400</v>
      </c>
      <c r="AY158" s="255">
        <f t="shared" si="33"/>
        <v>2291266</v>
      </c>
      <c r="BA158" s="256">
        <f t="shared" si="34"/>
        <v>1896924</v>
      </c>
      <c r="BB158" s="255">
        <f t="shared" si="35"/>
        <v>2291266</v>
      </c>
      <c r="BD158" s="257" t="b">
        <f t="shared" si="36"/>
        <v>1</v>
      </c>
    </row>
    <row r="159" spans="2:57" x14ac:dyDescent="0.25">
      <c r="B159" s="259"/>
      <c r="C159" s="259"/>
      <c r="D159" s="259"/>
      <c r="E159" s="259"/>
      <c r="F159" s="259"/>
      <c r="G159" s="259"/>
      <c r="H159" s="259"/>
      <c r="I159" s="259"/>
      <c r="J159" s="260"/>
      <c r="K159" s="260"/>
      <c r="L159" s="260"/>
      <c r="M159" s="260"/>
      <c r="N159" s="261">
        <f>SUM(O159:P159)</f>
        <v>3.008</v>
      </c>
      <c r="O159" s="261">
        <v>2.758</v>
      </c>
      <c r="P159" s="261">
        <v>0.25</v>
      </c>
      <c r="Q159" s="261" t="s">
        <v>729</v>
      </c>
      <c r="R159" s="261"/>
      <c r="S159" s="261"/>
      <c r="T159" s="263">
        <v>46207.281279999996</v>
      </c>
      <c r="U159" s="263">
        <f>SUM(U158:$AX158)*$N159/100</f>
        <v>68921.281279999996</v>
      </c>
      <c r="V159" s="263">
        <f>SUM(V158:$AX158)*$N159/100</f>
        <v>68921.281279999996</v>
      </c>
      <c r="W159" s="263">
        <f>SUM(W158:$AX158)*$N159/100</f>
        <v>66876.142079999991</v>
      </c>
      <c r="X159" s="263">
        <f>SUM(X158:$AX158)*$N159/100</f>
        <v>64421.975039999998</v>
      </c>
      <c r="Y159" s="263">
        <f>SUM(Y158:$AX158)*$N159/100</f>
        <v>61967.807999999997</v>
      </c>
      <c r="Z159" s="263">
        <f>SUM(Z158:$AX158)*$N159/100</f>
        <v>59513.640959999997</v>
      </c>
      <c r="AA159" s="263">
        <f>SUM(AA158:$AX158)*$N159/100</f>
        <v>57059.473919999997</v>
      </c>
      <c r="AB159" s="263">
        <f>SUM(AB158:$AX158)*$N159/100</f>
        <v>54605.306880000004</v>
      </c>
      <c r="AC159" s="263">
        <f>SUM(AC158:$AX158)*$N159/100</f>
        <v>52151.139840000003</v>
      </c>
      <c r="AD159" s="263">
        <f>SUM(AD158:$AX158)*$N159/100</f>
        <v>49696.972800000003</v>
      </c>
      <c r="AE159" s="263">
        <f>SUM(AE158:$AX158)*$N159/100</f>
        <v>47242.805760000003</v>
      </c>
      <c r="AF159" s="263">
        <f>SUM(AF158:$AX158)*$N159/100</f>
        <v>44788.638720000003</v>
      </c>
      <c r="AG159" s="263">
        <f>SUM(AG158:$AX158)*$N159/100</f>
        <v>42334.471679999995</v>
      </c>
      <c r="AH159" s="263">
        <f>SUM(AH158:$AX158)*$N159/100</f>
        <v>39880.304640000002</v>
      </c>
      <c r="AI159" s="263">
        <f>SUM(AI158:$AX158)*$N159/100</f>
        <v>37426.137599999995</v>
      </c>
      <c r="AJ159" s="263">
        <f>SUM(AJ158:$AX158)*$N159/100</f>
        <v>34971.970560000002</v>
      </c>
      <c r="AK159" s="263">
        <f>SUM(AK158:$AX158)*$N159/100</f>
        <v>32517.803520000001</v>
      </c>
      <c r="AL159" s="263">
        <f>SUM(AL158:$AX158)*$N159/100</f>
        <v>30063.636480000001</v>
      </c>
      <c r="AM159" s="263">
        <f>SUM(AM158:$AX158)*$N159/100</f>
        <v>27609.469440000001</v>
      </c>
      <c r="AN159" s="263">
        <f>SUM(AN158:$AX158)*$N159/100</f>
        <v>25155.3024</v>
      </c>
      <c r="AO159" s="263">
        <f>SUM(AO158:$AX158)*$N159/100</f>
        <v>22701.13536</v>
      </c>
      <c r="AP159" s="263">
        <f>SUM(AP158:$AX158)*$N159/100</f>
        <v>20246.96832</v>
      </c>
      <c r="AQ159" s="263">
        <f>SUM(AQ158:$AX158)*$N159/100</f>
        <v>17792.80128</v>
      </c>
      <c r="AR159" s="263">
        <f>SUM(AR158:$AX158)*$N159/100</f>
        <v>15338.634240000001</v>
      </c>
      <c r="AS159" s="263">
        <f>SUM(AS158:$AX158)*$N159/100</f>
        <v>12884.467199999999</v>
      </c>
      <c r="AT159" s="263">
        <f>SUM(AT158:$AX158)*$N159/100</f>
        <v>10430.300159999999</v>
      </c>
      <c r="AU159" s="263">
        <f>SUM(AU158:$AX158)*$N159/100</f>
        <v>7976.1331200000004</v>
      </c>
      <c r="AV159" s="263">
        <f>SUM(AV158:$AX158)*$N159/100</f>
        <v>5521.9660800000001</v>
      </c>
      <c r="AW159" s="263">
        <f>SUM(AW158:$AX158)*$N159/100</f>
        <v>3067.7990399999999</v>
      </c>
      <c r="AX159" s="263">
        <f>SUM(AX158:$AX158)*$N159/100</f>
        <v>613.63199999999995</v>
      </c>
      <c r="AY159" s="264">
        <f t="shared" si="33"/>
        <v>1128906.68096</v>
      </c>
      <c r="AZ159" s="236"/>
      <c r="BA159" s="265">
        <f t="shared" si="34"/>
        <v>692077.27104000002</v>
      </c>
      <c r="BB159" s="264">
        <f t="shared" si="35"/>
        <v>1128906.68096</v>
      </c>
      <c r="BD159" s="229" t="b">
        <f t="shared" si="36"/>
        <v>1</v>
      </c>
    </row>
    <row r="160" spans="2:57" s="257" customFormat="1" ht="14.25" x14ac:dyDescent="0.2">
      <c r="B160" s="250"/>
      <c r="C160" s="250">
        <v>6</v>
      </c>
      <c r="D160" s="250" t="s">
        <v>1070</v>
      </c>
      <c r="E160" s="250"/>
      <c r="F160" s="250"/>
      <c r="G160" s="321">
        <v>45112</v>
      </c>
      <c r="H160" s="321">
        <v>46965</v>
      </c>
      <c r="I160" s="250" t="s">
        <v>726</v>
      </c>
      <c r="J160" s="251">
        <v>134432.07999999999</v>
      </c>
      <c r="K160" s="251"/>
      <c r="L160" s="251"/>
      <c r="M160" s="251"/>
      <c r="N160" s="252"/>
      <c r="O160" s="252"/>
      <c r="P160" s="252"/>
      <c r="Q160" s="252" t="s">
        <v>727</v>
      </c>
      <c r="R160" s="252"/>
      <c r="S160" s="252"/>
      <c r="T160" s="254">
        <v>27121</v>
      </c>
      <c r="U160" s="254">
        <v>24300</v>
      </c>
      <c r="V160" s="254">
        <v>24300</v>
      </c>
      <c r="W160" s="254">
        <v>24300</v>
      </c>
      <c r="X160" s="254">
        <v>24300</v>
      </c>
      <c r="Y160" s="254">
        <v>10125</v>
      </c>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4"/>
      <c r="AU160" s="254"/>
      <c r="AV160" s="254"/>
      <c r="AW160" s="254"/>
      <c r="AX160" s="254"/>
      <c r="AY160" s="255">
        <f t="shared" si="33"/>
        <v>134446</v>
      </c>
      <c r="BA160" s="256">
        <f t="shared" si="34"/>
        <v>0</v>
      </c>
      <c r="BB160" s="255">
        <f t="shared" si="35"/>
        <v>134446</v>
      </c>
      <c r="BD160" s="257" t="b">
        <f t="shared" si="36"/>
        <v>1</v>
      </c>
    </row>
    <row r="161" spans="2:56" x14ac:dyDescent="0.25">
      <c r="B161" s="259"/>
      <c r="C161" s="259"/>
      <c r="D161" s="259"/>
      <c r="E161" s="259"/>
      <c r="F161" s="259"/>
      <c r="G161" s="259"/>
      <c r="H161" s="259"/>
      <c r="I161" s="259"/>
      <c r="J161" s="260"/>
      <c r="K161" s="260"/>
      <c r="L161" s="260"/>
      <c r="M161" s="260"/>
      <c r="N161" s="261">
        <f>SUM(O161:P161)</f>
        <v>3.008</v>
      </c>
      <c r="O161" s="261">
        <v>2.758</v>
      </c>
      <c r="P161" s="261">
        <v>0.25</v>
      </c>
      <c r="Q161" s="261" t="s">
        <v>729</v>
      </c>
      <c r="R161" s="261"/>
      <c r="S161" s="261"/>
      <c r="T161" s="322"/>
      <c r="U161" s="263"/>
      <c r="V161" s="263"/>
      <c r="W161" s="263"/>
      <c r="X161" s="263"/>
      <c r="Y161" s="263"/>
      <c r="Z161" s="263"/>
      <c r="AA161" s="263"/>
      <c r="AB161" s="263"/>
      <c r="AC161" s="263"/>
      <c r="AD161" s="263"/>
      <c r="AE161" s="263"/>
      <c r="AF161" s="263"/>
      <c r="AG161" s="263"/>
      <c r="AH161" s="263"/>
      <c r="AI161" s="263"/>
      <c r="AJ161" s="263"/>
      <c r="AK161" s="263"/>
      <c r="AL161" s="263"/>
      <c r="AM161" s="263"/>
      <c r="AN161" s="263"/>
      <c r="AO161" s="263"/>
      <c r="AP161" s="263"/>
      <c r="AQ161" s="263"/>
      <c r="AR161" s="263"/>
      <c r="AS161" s="263"/>
      <c r="AT161" s="263"/>
      <c r="AU161" s="263"/>
      <c r="AV161" s="263"/>
      <c r="AW161" s="263"/>
      <c r="AX161" s="263"/>
      <c r="AY161" s="264">
        <f t="shared" si="33"/>
        <v>0</v>
      </c>
      <c r="BA161" s="265">
        <f t="shared" si="34"/>
        <v>0</v>
      </c>
      <c r="BB161" s="264">
        <f t="shared" si="35"/>
        <v>0</v>
      </c>
      <c r="BD161" s="229" t="b">
        <f t="shared" si="36"/>
        <v>1</v>
      </c>
    </row>
    <row r="162" spans="2:56" s="275" customFormat="1" ht="14.25" x14ac:dyDescent="0.2">
      <c r="B162" s="269"/>
      <c r="C162" s="269">
        <v>7</v>
      </c>
      <c r="D162" s="269" t="s">
        <v>1065</v>
      </c>
      <c r="E162" s="269"/>
      <c r="F162" s="269"/>
      <c r="G162" s="323" t="s">
        <v>1046</v>
      </c>
      <c r="H162" s="323">
        <v>49572</v>
      </c>
      <c r="I162" s="269" t="s">
        <v>726</v>
      </c>
      <c r="J162" s="251">
        <v>801681</v>
      </c>
      <c r="K162" s="251"/>
      <c r="L162" s="251"/>
      <c r="M162" s="251"/>
      <c r="N162" s="252"/>
      <c r="O162" s="252"/>
      <c r="P162" s="252"/>
      <c r="Q162" s="252" t="s">
        <v>727</v>
      </c>
      <c r="R162" s="252"/>
      <c r="S162" s="252"/>
      <c r="T162" s="254"/>
      <c r="U162" s="254"/>
      <c r="V162" s="254"/>
      <c r="W162" s="254"/>
      <c r="X162" s="254">
        <f t="shared" ref="X162:AG162" si="37">$J$162/40*4</f>
        <v>80168.100000000006</v>
      </c>
      <c r="Y162" s="254">
        <f t="shared" si="37"/>
        <v>80168.100000000006</v>
      </c>
      <c r="Z162" s="254">
        <f t="shared" si="37"/>
        <v>80168.100000000006</v>
      </c>
      <c r="AA162" s="254">
        <f t="shared" si="37"/>
        <v>80168.100000000006</v>
      </c>
      <c r="AB162" s="254">
        <f t="shared" si="37"/>
        <v>80168.100000000006</v>
      </c>
      <c r="AC162" s="254">
        <f t="shared" si="37"/>
        <v>80168.100000000006</v>
      </c>
      <c r="AD162" s="254">
        <f t="shared" si="37"/>
        <v>80168.100000000006</v>
      </c>
      <c r="AE162" s="254">
        <f t="shared" si="37"/>
        <v>80168.100000000006</v>
      </c>
      <c r="AF162" s="254">
        <f t="shared" si="37"/>
        <v>80168.100000000006</v>
      </c>
      <c r="AG162" s="254">
        <f t="shared" si="37"/>
        <v>80168.100000000006</v>
      </c>
      <c r="AH162" s="254"/>
      <c r="AI162" s="254"/>
      <c r="AJ162" s="254"/>
      <c r="AK162" s="254"/>
      <c r="AL162" s="254"/>
      <c r="AM162" s="254"/>
      <c r="AN162" s="254"/>
      <c r="AO162" s="254"/>
      <c r="AP162" s="254"/>
      <c r="AQ162" s="254"/>
      <c r="AR162" s="254"/>
      <c r="AS162" s="254"/>
      <c r="AT162" s="254"/>
      <c r="AU162" s="254"/>
      <c r="AV162" s="254"/>
      <c r="AW162" s="254"/>
      <c r="AX162" s="254"/>
      <c r="AY162" s="255">
        <f t="shared" si="33"/>
        <v>801680.99999999988</v>
      </c>
      <c r="BA162" s="256">
        <f t="shared" si="34"/>
        <v>561176.69999999995</v>
      </c>
      <c r="BB162" s="255">
        <f t="shared" si="35"/>
        <v>801681</v>
      </c>
      <c r="BD162" s="275" t="b">
        <f t="shared" si="36"/>
        <v>1</v>
      </c>
    </row>
    <row r="163" spans="2:56" s="274" customFormat="1" x14ac:dyDescent="0.25">
      <c r="B163" s="277"/>
      <c r="C163" s="277"/>
      <c r="D163" s="324" t="s">
        <v>1071</v>
      </c>
      <c r="E163" s="277"/>
      <c r="F163" s="277"/>
      <c r="G163" s="277"/>
      <c r="H163" s="277"/>
      <c r="I163" s="277"/>
      <c r="J163" s="260"/>
      <c r="K163" s="260"/>
      <c r="L163" s="260"/>
      <c r="M163" s="260"/>
      <c r="N163" s="261">
        <f>SUM(O163:P163)</f>
        <v>4.915</v>
      </c>
      <c r="O163" s="261">
        <v>4.665</v>
      </c>
      <c r="P163" s="261">
        <v>0.25</v>
      </c>
      <c r="Q163" s="261" t="s">
        <v>729</v>
      </c>
      <c r="R163" s="261"/>
      <c r="S163" s="261"/>
      <c r="T163" s="263"/>
      <c r="U163" s="263">
        <f>SUM(U162:$AX162)*$N163/100</f>
        <v>39402.621149999992</v>
      </c>
      <c r="V163" s="263">
        <f>SUM(V162:$AX162)*$N163/100</f>
        <v>39402.621149999992</v>
      </c>
      <c r="W163" s="263">
        <f>SUM(W162:$AX162)*$N163/100</f>
        <v>39402.621149999992</v>
      </c>
      <c r="X163" s="263">
        <f>SUM(X162:$AX162)*$N163/100</f>
        <v>39402.621149999992</v>
      </c>
      <c r="Y163" s="263">
        <f>SUM(Y162:$AX162)*$N163/100</f>
        <v>35462.359034999994</v>
      </c>
      <c r="Z163" s="263">
        <f>SUM(Z162:$AX162)*$N163/100</f>
        <v>31522.096919999996</v>
      </c>
      <c r="AA163" s="263">
        <f>SUM(AA162:$AX162)*$N163/100</f>
        <v>27581.834804999995</v>
      </c>
      <c r="AB163" s="263">
        <f>SUM(AB162:$AX162)*$N163/100</f>
        <v>23641.572689999997</v>
      </c>
      <c r="AC163" s="263">
        <f>SUM(AC162:$AX162)*$N163/100</f>
        <v>19701.310575</v>
      </c>
      <c r="AD163" s="263">
        <f>SUM(AD162:$AX162)*$N163/100</f>
        <v>15761.048460000002</v>
      </c>
      <c r="AE163" s="263">
        <f>SUM(AE162:$AX162)*$N163/100</f>
        <v>11820.786345000002</v>
      </c>
      <c r="AF163" s="263">
        <f>SUM(AF162:$AX162)*$N163/100</f>
        <v>7880.5242300000009</v>
      </c>
      <c r="AG163" s="263">
        <f>SUM(AG162:$AX162)*$N163/100</f>
        <v>3940.2621150000004</v>
      </c>
      <c r="AH163" s="263">
        <f>SUM(AH162:$AX162)*$N163/100</f>
        <v>0</v>
      </c>
      <c r="AI163" s="263">
        <f>SUM(AI162:$AX162)*$N163/100</f>
        <v>0</v>
      </c>
      <c r="AJ163" s="263">
        <f>SUM(AJ162:$AX162)*$N163/100</f>
        <v>0</v>
      </c>
      <c r="AK163" s="263">
        <f>SUM(AK162:$AX162)*$N163/100</f>
        <v>0</v>
      </c>
      <c r="AL163" s="263">
        <f>SUM(AL162:$AX162)*$N163/100</f>
        <v>0</v>
      </c>
      <c r="AM163" s="263">
        <f>SUM(AM162:$AX162)*$N163/100</f>
        <v>0</v>
      </c>
      <c r="AN163" s="263">
        <f>SUM(AN162:$AX162)*$N163/100</f>
        <v>0</v>
      </c>
      <c r="AO163" s="263">
        <f>SUM(AO162:$AX162)*$N163/100</f>
        <v>0</v>
      </c>
      <c r="AP163" s="263">
        <f>SUM(AP162:$AX162)*$N163/100</f>
        <v>0</v>
      </c>
      <c r="AQ163" s="263">
        <f>SUM(AQ162:$AX162)*$N163/100</f>
        <v>0</v>
      </c>
      <c r="AR163" s="263">
        <f>SUM(AR162:$AX162)*$N163/100</f>
        <v>0</v>
      </c>
      <c r="AS163" s="263">
        <f>SUM(AS162:$AX162)*$N163/100</f>
        <v>0</v>
      </c>
      <c r="AT163" s="263">
        <f>SUM(AT162:$AX162)*$N163/100</f>
        <v>0</v>
      </c>
      <c r="AU163" s="263">
        <f>SUM(AU162:$AX162)*$N163/100</f>
        <v>0</v>
      </c>
      <c r="AV163" s="263">
        <f>SUM(AV162:$AX162)*$N163/100</f>
        <v>0</v>
      </c>
      <c r="AW163" s="263">
        <f>SUM(AW162:$AX162)*$N163/100</f>
        <v>0</v>
      </c>
      <c r="AX163" s="263">
        <f>SUM(AX162:$AX162)*$N163/100</f>
        <v>0</v>
      </c>
      <c r="AY163" s="264">
        <f t="shared" si="33"/>
        <v>334922.279775</v>
      </c>
      <c r="AZ163" s="273"/>
      <c r="BA163" s="265">
        <f t="shared" si="34"/>
        <v>110327.33921999999</v>
      </c>
      <c r="BB163" s="264">
        <f t="shared" si="35"/>
        <v>334922.27977499994</v>
      </c>
      <c r="BD163" s="274" t="b">
        <f t="shared" si="36"/>
        <v>1</v>
      </c>
    </row>
    <row r="164" spans="2:56" s="275" customFormat="1" ht="14.25" x14ac:dyDescent="0.2">
      <c r="Q164" s="325" t="s">
        <v>1072</v>
      </c>
      <c r="R164" s="325"/>
      <c r="T164" s="317">
        <f t="shared" ref="T164:AX164" si="38">SUM(T150:T163)</f>
        <v>114624.70473999999</v>
      </c>
      <c r="U164" s="317">
        <f t="shared" si="38"/>
        <v>173382.55740999998</v>
      </c>
      <c r="V164" s="317">
        <f t="shared" si="38"/>
        <v>228691.42316999999</v>
      </c>
      <c r="W164" s="317">
        <f t="shared" si="38"/>
        <v>222783.28972999999</v>
      </c>
      <c r="X164" s="317">
        <f t="shared" si="38"/>
        <v>300228.33844999998</v>
      </c>
      <c r="Y164" s="317">
        <f t="shared" si="38"/>
        <v>279390.02505499998</v>
      </c>
      <c r="Z164" s="317">
        <f t="shared" si="38"/>
        <v>262601.71165999997</v>
      </c>
      <c r="AA164" s="317">
        <f t="shared" si="38"/>
        <v>255938.398265</v>
      </c>
      <c r="AB164" s="317">
        <f t="shared" si="38"/>
        <v>249275.08486999999</v>
      </c>
      <c r="AC164" s="317">
        <f t="shared" si="38"/>
        <v>235909.77147500002</v>
      </c>
      <c r="AD164" s="317">
        <f t="shared" si="38"/>
        <v>227214.12125999999</v>
      </c>
      <c r="AE164" s="317">
        <f t="shared" si="38"/>
        <v>220819.69210499999</v>
      </c>
      <c r="AF164" s="317">
        <f t="shared" si="38"/>
        <v>214425.26295000003</v>
      </c>
      <c r="AG164" s="317">
        <f t="shared" si="38"/>
        <v>208030.83379499998</v>
      </c>
      <c r="AH164" s="317">
        <f t="shared" si="38"/>
        <v>121468.30464</v>
      </c>
      <c r="AI164" s="317">
        <f t="shared" si="38"/>
        <v>119014.13759999999</v>
      </c>
      <c r="AJ164" s="317">
        <f t="shared" si="38"/>
        <v>116559.97056</v>
      </c>
      <c r="AK164" s="317">
        <f t="shared" si="38"/>
        <v>114105.80352</v>
      </c>
      <c r="AL164" s="317">
        <f t="shared" si="38"/>
        <v>111651.63648</v>
      </c>
      <c r="AM164" s="317">
        <f t="shared" si="38"/>
        <v>109197.46944</v>
      </c>
      <c r="AN164" s="317">
        <f t="shared" si="38"/>
        <v>106743.3024</v>
      </c>
      <c r="AO164" s="317">
        <f t="shared" si="38"/>
        <v>104289.13536</v>
      </c>
      <c r="AP164" s="317">
        <f t="shared" si="38"/>
        <v>101834.96832</v>
      </c>
      <c r="AQ164" s="317">
        <f t="shared" si="38"/>
        <v>99380.80128</v>
      </c>
      <c r="AR164" s="317">
        <f t="shared" si="38"/>
        <v>96926.634239999999</v>
      </c>
      <c r="AS164" s="317">
        <f t="shared" si="38"/>
        <v>94472.467199999999</v>
      </c>
      <c r="AT164" s="317">
        <f t="shared" si="38"/>
        <v>92018.300159999999</v>
      </c>
      <c r="AU164" s="317">
        <f t="shared" si="38"/>
        <v>89564.133119999999</v>
      </c>
      <c r="AV164" s="317">
        <f t="shared" si="38"/>
        <v>87109.966079999998</v>
      </c>
      <c r="AW164" s="317">
        <f t="shared" si="38"/>
        <v>84655.799039999998</v>
      </c>
      <c r="AX164" s="317">
        <f t="shared" si="38"/>
        <v>21013.632000000001</v>
      </c>
      <c r="AY164" s="326">
        <f t="shared" si="33"/>
        <v>4863321.6763749998</v>
      </c>
      <c r="BA164" s="327">
        <f>SUM(BA150:BA163)</f>
        <v>3281619.62616</v>
      </c>
      <c r="BB164" s="327">
        <f>SUM(BB150:BB163)</f>
        <v>4863321.6763750007</v>
      </c>
      <c r="BD164" s="275" t="b">
        <f t="shared" si="36"/>
        <v>1</v>
      </c>
    </row>
    <row r="167" spans="2:56" ht="28.5" x14ac:dyDescent="0.25">
      <c r="R167" s="247"/>
      <c r="S167" s="247"/>
      <c r="T167" s="247">
        <v>2023</v>
      </c>
      <c r="U167" s="241">
        <v>2024</v>
      </c>
      <c r="V167" s="241">
        <v>2025</v>
      </c>
      <c r="W167" s="241">
        <v>2026</v>
      </c>
      <c r="X167" s="241">
        <v>2027</v>
      </c>
      <c r="Y167" s="241">
        <v>2028</v>
      </c>
      <c r="Z167" s="241">
        <v>2029</v>
      </c>
      <c r="AA167" s="241">
        <v>2030</v>
      </c>
      <c r="AB167" s="241">
        <v>2031</v>
      </c>
      <c r="AC167" s="241">
        <v>2032</v>
      </c>
      <c r="AD167" s="241">
        <v>2033</v>
      </c>
      <c r="AE167" s="241">
        <v>2034</v>
      </c>
      <c r="AF167" s="241">
        <v>2035</v>
      </c>
      <c r="AG167" s="241">
        <v>2036</v>
      </c>
      <c r="AH167" s="241">
        <v>2037</v>
      </c>
      <c r="AI167" s="241">
        <v>2038</v>
      </c>
      <c r="AJ167" s="241">
        <v>2039</v>
      </c>
      <c r="AK167" s="241">
        <v>2040</v>
      </c>
      <c r="AL167" s="241">
        <v>2041</v>
      </c>
      <c r="AM167" s="241">
        <v>2042</v>
      </c>
      <c r="AN167" s="241">
        <v>2043</v>
      </c>
      <c r="AO167" s="241">
        <v>2044</v>
      </c>
      <c r="AP167" s="241">
        <v>2045</v>
      </c>
      <c r="AQ167" s="241">
        <v>2046</v>
      </c>
      <c r="AR167" s="241">
        <v>2047</v>
      </c>
      <c r="AS167" s="241">
        <v>2048</v>
      </c>
      <c r="AT167" s="241">
        <v>2049</v>
      </c>
      <c r="AU167" s="241">
        <v>2050</v>
      </c>
      <c r="AV167" s="241">
        <v>2051</v>
      </c>
      <c r="AW167" s="241">
        <v>2052</v>
      </c>
      <c r="AX167" s="241">
        <v>2053</v>
      </c>
      <c r="AY167" s="242" t="s">
        <v>717</v>
      </c>
      <c r="BA167" s="241" t="s">
        <v>718</v>
      </c>
      <c r="BB167" s="242" t="s">
        <v>719</v>
      </c>
    </row>
    <row r="168" spans="2:56" x14ac:dyDescent="0.25">
      <c r="Q168" s="328" t="s">
        <v>1073</v>
      </c>
      <c r="R168" s="329"/>
      <c r="S168" s="329"/>
      <c r="T168" s="329">
        <f t="shared" ref="T168:AX169" si="39">T143</f>
        <v>3601890.05</v>
      </c>
      <c r="U168" s="329">
        <f t="shared" si="39"/>
        <v>3539750.5</v>
      </c>
      <c r="V168" s="329">
        <f t="shared" si="39"/>
        <v>3475198.49</v>
      </c>
      <c r="W168" s="329">
        <f t="shared" si="39"/>
        <v>3442537.96</v>
      </c>
      <c r="X168" s="329">
        <f t="shared" si="39"/>
        <v>3444399.7488888884</v>
      </c>
      <c r="Y168" s="329">
        <f t="shared" si="39"/>
        <v>3563680.0044444441</v>
      </c>
      <c r="Z168" s="329">
        <f t="shared" si="39"/>
        <v>3505903.0044444441</v>
      </c>
      <c r="AA168" s="329">
        <f t="shared" si="39"/>
        <v>3476840.0044444441</v>
      </c>
      <c r="AB168" s="329">
        <f t="shared" si="39"/>
        <v>3390520.864444444</v>
      </c>
      <c r="AC168" s="329">
        <f t="shared" si="39"/>
        <v>2731893.7544444441</v>
      </c>
      <c r="AD168" s="329">
        <f t="shared" si="39"/>
        <v>2528174.0244444441</v>
      </c>
      <c r="AE168" s="329">
        <f t="shared" si="39"/>
        <v>2171093.8044444444</v>
      </c>
      <c r="AF168" s="329">
        <f t="shared" si="39"/>
        <v>2072237.8044444444</v>
      </c>
      <c r="AG168" s="329">
        <f t="shared" si="39"/>
        <v>1943128.7544444446</v>
      </c>
      <c r="AH168" s="329">
        <f t="shared" si="39"/>
        <v>1832316.0444444446</v>
      </c>
      <c r="AI168" s="329">
        <f t="shared" si="39"/>
        <v>1697912.0444444446</v>
      </c>
      <c r="AJ168" s="329">
        <f t="shared" si="39"/>
        <v>1625784.0444444446</v>
      </c>
      <c r="AK168" s="329">
        <f t="shared" si="39"/>
        <v>1584734.0844444446</v>
      </c>
      <c r="AL168" s="329">
        <f t="shared" si="39"/>
        <v>1559973.1144444444</v>
      </c>
      <c r="AM168" s="329">
        <f t="shared" si="39"/>
        <v>1500459.111111111</v>
      </c>
      <c r="AN168" s="329">
        <f t="shared" si="39"/>
        <v>1500459.111111111</v>
      </c>
      <c r="AO168" s="329">
        <f t="shared" si="39"/>
        <v>1658514.6666666667</v>
      </c>
      <c r="AP168" s="329">
        <f t="shared" si="39"/>
        <v>1184348</v>
      </c>
      <c r="AQ168" s="329">
        <f t="shared" si="39"/>
        <v>1184348</v>
      </c>
      <c r="AR168" s="329">
        <f t="shared" si="39"/>
        <v>1184348</v>
      </c>
      <c r="AS168" s="329">
        <f t="shared" si="39"/>
        <v>867315.83000000007</v>
      </c>
      <c r="AT168" s="329">
        <f t="shared" si="39"/>
        <v>452632</v>
      </c>
      <c r="AU168" s="329">
        <f t="shared" si="39"/>
        <v>409981</v>
      </c>
      <c r="AV168" s="329">
        <f t="shared" si="39"/>
        <v>55587.92</v>
      </c>
      <c r="AW168" s="329">
        <f t="shared" si="39"/>
        <v>0</v>
      </c>
      <c r="AX168" s="329">
        <f t="shared" si="39"/>
        <v>0</v>
      </c>
      <c r="AY168" s="330">
        <f>SUM(S168:AX168)</f>
        <v>61185961.73999998</v>
      </c>
      <c r="BA168" s="331">
        <f>SUM(AA168:AX168)</f>
        <v>36612601.982222229</v>
      </c>
      <c r="BB168" s="255">
        <f>SUM(S168:Z168,BA168)</f>
        <v>61185961.740000002</v>
      </c>
    </row>
    <row r="169" spans="2:56" x14ac:dyDescent="0.25">
      <c r="Q169" s="328" t="s">
        <v>1074</v>
      </c>
      <c r="R169" s="329"/>
      <c r="S169" s="329"/>
      <c r="T169" s="329">
        <f t="shared" si="39"/>
        <v>1224363.0000000002</v>
      </c>
      <c r="U169" s="329">
        <f t="shared" si="39"/>
        <v>2236953.5415089009</v>
      </c>
      <c r="V169" s="329">
        <f t="shared" si="39"/>
        <v>2206446.6959199002</v>
      </c>
      <c r="W169" s="329">
        <f t="shared" si="39"/>
        <v>2274233.1074909</v>
      </c>
      <c r="X169" s="329">
        <f t="shared" si="39"/>
        <v>2125245.5962509001</v>
      </c>
      <c r="Y169" s="329">
        <f t="shared" si="39"/>
        <v>1973545.1038474997</v>
      </c>
      <c r="Z169" s="329">
        <f t="shared" si="39"/>
        <v>1815647.2633235008</v>
      </c>
      <c r="AA169" s="329">
        <f t="shared" si="39"/>
        <v>1660110.8018895001</v>
      </c>
      <c r="AB169" s="329">
        <f t="shared" si="39"/>
        <v>1505731.6059854999</v>
      </c>
      <c r="AC169" s="329">
        <f t="shared" si="39"/>
        <v>1355405.2811271001</v>
      </c>
      <c r="AD169" s="329">
        <f t="shared" si="39"/>
        <v>1232333.8402090995</v>
      </c>
      <c r="AE169" s="329">
        <f t="shared" si="39"/>
        <v>1118819.1434494001</v>
      </c>
      <c r="AF169" s="329">
        <f t="shared" si="39"/>
        <v>1020292.0111166001</v>
      </c>
      <c r="AG169" s="329">
        <f t="shared" si="39"/>
        <v>926221.77864379983</v>
      </c>
      <c r="AH169" s="329">
        <f t="shared" si="39"/>
        <v>837831.63125500013</v>
      </c>
      <c r="AI169" s="329">
        <f t="shared" si="39"/>
        <v>753822.72227100015</v>
      </c>
      <c r="AJ169" s="329">
        <f t="shared" si="39"/>
        <v>675771.50826699985</v>
      </c>
      <c r="AK169" s="329">
        <f t="shared" si="39"/>
        <v>600907.595203</v>
      </c>
      <c r="AL169" s="329">
        <f t="shared" si="39"/>
        <v>527827.85213899997</v>
      </c>
      <c r="AM169" s="329">
        <f t="shared" si="39"/>
        <v>455910.62948799995</v>
      </c>
      <c r="AN169" s="329">
        <f t="shared" si="39"/>
        <v>386898.32936799998</v>
      </c>
      <c r="AO169" s="329">
        <f t="shared" si="39"/>
        <v>317886.02924799989</v>
      </c>
      <c r="AP169" s="329">
        <f t="shared" si="39"/>
        <v>240808.15412799999</v>
      </c>
      <c r="AQ169" s="329">
        <f t="shared" si="39"/>
        <v>187927.00400799996</v>
      </c>
      <c r="AR169" s="329">
        <f t="shared" si="39"/>
        <v>135045.85388799998</v>
      </c>
      <c r="AS169" s="329">
        <f t="shared" si="39"/>
        <v>82164.703767999992</v>
      </c>
      <c r="AT169" s="329">
        <f t="shared" si="39"/>
        <v>43306.896070000003</v>
      </c>
      <c r="AU169" s="329">
        <f t="shared" si="39"/>
        <v>22024.558349999996</v>
      </c>
      <c r="AV169" s="329">
        <f t="shared" si="39"/>
        <v>2596.5674300000001</v>
      </c>
      <c r="AW169" s="329">
        <f t="shared" si="39"/>
        <v>0</v>
      </c>
      <c r="AX169" s="329">
        <f t="shared" si="39"/>
        <v>0</v>
      </c>
      <c r="AY169" s="330">
        <f>SUM(S169:AX169)</f>
        <v>27946078.805643599</v>
      </c>
      <c r="BA169" s="331">
        <f>SUM(AA169:AX169)</f>
        <v>14089644.497302003</v>
      </c>
      <c r="BB169" s="330">
        <f>SUM(S169:Z169,BA169)</f>
        <v>27946078.805643603</v>
      </c>
    </row>
    <row r="170" spans="2:56" x14ac:dyDescent="0.25">
      <c r="Q170" s="328" t="s">
        <v>1075</v>
      </c>
      <c r="R170" s="329"/>
      <c r="S170" s="329"/>
      <c r="T170" s="329">
        <f t="shared" ref="T170:AX170" si="40">T164</f>
        <v>114624.70473999999</v>
      </c>
      <c r="U170" s="329">
        <f t="shared" si="40"/>
        <v>173382.55740999998</v>
      </c>
      <c r="V170" s="329">
        <f t="shared" si="40"/>
        <v>228691.42316999999</v>
      </c>
      <c r="W170" s="329">
        <f t="shared" si="40"/>
        <v>222783.28972999999</v>
      </c>
      <c r="X170" s="329">
        <f t="shared" si="40"/>
        <v>300228.33844999998</v>
      </c>
      <c r="Y170" s="329">
        <f t="shared" si="40"/>
        <v>279390.02505499998</v>
      </c>
      <c r="Z170" s="329">
        <f t="shared" si="40"/>
        <v>262601.71165999997</v>
      </c>
      <c r="AA170" s="329">
        <f t="shared" si="40"/>
        <v>255938.398265</v>
      </c>
      <c r="AB170" s="329">
        <f t="shared" si="40"/>
        <v>249275.08486999999</v>
      </c>
      <c r="AC170" s="329">
        <f t="shared" si="40"/>
        <v>235909.77147500002</v>
      </c>
      <c r="AD170" s="329">
        <f t="shared" si="40"/>
        <v>227214.12125999999</v>
      </c>
      <c r="AE170" s="329">
        <f t="shared" si="40"/>
        <v>220819.69210499999</v>
      </c>
      <c r="AF170" s="329">
        <f t="shared" si="40"/>
        <v>214425.26295000003</v>
      </c>
      <c r="AG170" s="329">
        <f t="shared" si="40"/>
        <v>208030.83379499998</v>
      </c>
      <c r="AH170" s="329">
        <f t="shared" si="40"/>
        <v>121468.30464</v>
      </c>
      <c r="AI170" s="329">
        <f t="shared" si="40"/>
        <v>119014.13759999999</v>
      </c>
      <c r="AJ170" s="329">
        <f t="shared" si="40"/>
        <v>116559.97056</v>
      </c>
      <c r="AK170" s="329">
        <f t="shared" si="40"/>
        <v>114105.80352</v>
      </c>
      <c r="AL170" s="329">
        <f t="shared" si="40"/>
        <v>111651.63648</v>
      </c>
      <c r="AM170" s="329">
        <f t="shared" si="40"/>
        <v>109197.46944</v>
      </c>
      <c r="AN170" s="329">
        <f t="shared" si="40"/>
        <v>106743.3024</v>
      </c>
      <c r="AO170" s="329">
        <f t="shared" si="40"/>
        <v>104289.13536</v>
      </c>
      <c r="AP170" s="329">
        <f t="shared" si="40"/>
        <v>101834.96832</v>
      </c>
      <c r="AQ170" s="329">
        <f t="shared" si="40"/>
        <v>99380.80128</v>
      </c>
      <c r="AR170" s="329">
        <f t="shared" si="40"/>
        <v>96926.634239999999</v>
      </c>
      <c r="AS170" s="329">
        <f t="shared" si="40"/>
        <v>94472.467199999999</v>
      </c>
      <c r="AT170" s="329">
        <f t="shared" si="40"/>
        <v>92018.300159999999</v>
      </c>
      <c r="AU170" s="329">
        <f t="shared" si="40"/>
        <v>89564.133119999999</v>
      </c>
      <c r="AV170" s="329">
        <f t="shared" si="40"/>
        <v>87109.966079999998</v>
      </c>
      <c r="AW170" s="329">
        <f t="shared" si="40"/>
        <v>84655.799039999998</v>
      </c>
      <c r="AX170" s="329">
        <f t="shared" si="40"/>
        <v>21013.632000000001</v>
      </c>
      <c r="AY170" s="330">
        <f>SUM(S170:AX170)</f>
        <v>4863321.6763749998</v>
      </c>
      <c r="BA170" s="263">
        <f>SUM(AA170:AX170)</f>
        <v>3281619.62616</v>
      </c>
      <c r="BB170" s="330">
        <f>SUM(S170:Z170,BA170)</f>
        <v>4863321.6763749998</v>
      </c>
    </row>
    <row r="171" spans="2:56" s="275" customFormat="1" ht="14.25" x14ac:dyDescent="0.2">
      <c r="Q171" s="325" t="s">
        <v>1076</v>
      </c>
      <c r="R171" s="327"/>
      <c r="S171" s="327"/>
      <c r="T171" s="327">
        <f t="shared" ref="T171:AX171" si="41">SUM(T168:T170)</f>
        <v>4940877.7547399998</v>
      </c>
      <c r="U171" s="327">
        <f t="shared" si="41"/>
        <v>5950086.5989189008</v>
      </c>
      <c r="V171" s="327">
        <f t="shared" si="41"/>
        <v>5910336.6090899007</v>
      </c>
      <c r="W171" s="327">
        <f t="shared" si="41"/>
        <v>5939554.3572209002</v>
      </c>
      <c r="X171" s="327">
        <f t="shared" si="41"/>
        <v>5869873.6835897882</v>
      </c>
      <c r="Y171" s="327">
        <f t="shared" si="41"/>
        <v>5816615.1333469432</v>
      </c>
      <c r="Z171" s="327">
        <f t="shared" si="41"/>
        <v>5584151.9794279449</v>
      </c>
      <c r="AA171" s="327">
        <f t="shared" si="41"/>
        <v>5392889.2045989446</v>
      </c>
      <c r="AB171" s="327">
        <f t="shared" si="41"/>
        <v>5145527.5552999442</v>
      </c>
      <c r="AC171" s="327">
        <f t="shared" si="41"/>
        <v>4323208.8070465447</v>
      </c>
      <c r="AD171" s="327">
        <f t="shared" si="41"/>
        <v>3987721.9859135435</v>
      </c>
      <c r="AE171" s="327">
        <f t="shared" si="41"/>
        <v>3510732.6399988444</v>
      </c>
      <c r="AF171" s="327">
        <f t="shared" si="41"/>
        <v>3306955.0785110444</v>
      </c>
      <c r="AG171" s="327">
        <f t="shared" si="41"/>
        <v>3077381.3668832444</v>
      </c>
      <c r="AH171" s="327">
        <f t="shared" si="41"/>
        <v>2791615.9803394447</v>
      </c>
      <c r="AI171" s="327">
        <f t="shared" si="41"/>
        <v>2570748.9043154446</v>
      </c>
      <c r="AJ171" s="327">
        <f t="shared" si="41"/>
        <v>2418115.5232714443</v>
      </c>
      <c r="AK171" s="327">
        <f t="shared" si="41"/>
        <v>2299747.4831674448</v>
      </c>
      <c r="AL171" s="327">
        <f t="shared" si="41"/>
        <v>2199452.6030634441</v>
      </c>
      <c r="AM171" s="327">
        <f t="shared" si="41"/>
        <v>2065567.2100391109</v>
      </c>
      <c r="AN171" s="327">
        <f t="shared" si="41"/>
        <v>1994100.7428791109</v>
      </c>
      <c r="AO171" s="327">
        <f t="shared" si="41"/>
        <v>2080689.8312746666</v>
      </c>
      <c r="AP171" s="327">
        <f t="shared" si="41"/>
        <v>1526991.1224479999</v>
      </c>
      <c r="AQ171" s="327">
        <f t="shared" si="41"/>
        <v>1471655.805288</v>
      </c>
      <c r="AR171" s="327">
        <f t="shared" si="41"/>
        <v>1416320.4881279999</v>
      </c>
      <c r="AS171" s="327">
        <f t="shared" si="41"/>
        <v>1043953.000968</v>
      </c>
      <c r="AT171" s="327">
        <f t="shared" si="41"/>
        <v>587957.19623</v>
      </c>
      <c r="AU171" s="327">
        <f t="shared" si="41"/>
        <v>521569.69147000002</v>
      </c>
      <c r="AV171" s="327">
        <f t="shared" si="41"/>
        <v>145294.45350999999</v>
      </c>
      <c r="AW171" s="327">
        <f t="shared" si="41"/>
        <v>84655.799039999998</v>
      </c>
      <c r="AX171" s="327">
        <f t="shared" si="41"/>
        <v>21013.632000000001</v>
      </c>
      <c r="AY171" s="327">
        <f>SUM(S171:AX171)</f>
        <v>93995362.2220186</v>
      </c>
      <c r="BA171" s="327">
        <f>SUM(BA168:BA170)</f>
        <v>53983866.105684236</v>
      </c>
      <c r="BB171" s="327">
        <f>SUM(BB168:BB170)</f>
        <v>93995362.2220186</v>
      </c>
    </row>
    <row r="172" spans="2:56" x14ac:dyDescent="0.25">
      <c r="R172" s="233"/>
    </row>
    <row r="173" spans="2:56" s="275" customFormat="1" ht="14.25" x14ac:dyDescent="0.2">
      <c r="Q173" s="325" t="s">
        <v>1077</v>
      </c>
      <c r="R173" s="332"/>
      <c r="S173" s="332"/>
      <c r="T173" s="332">
        <f t="shared" ref="T173:AX173" si="42">T171/$Q$175</f>
        <v>0.15455110316714982</v>
      </c>
      <c r="U173" s="332">
        <f t="shared" si="42"/>
        <v>0.18611924711571451</v>
      </c>
      <c r="V173" s="332">
        <f t="shared" si="42"/>
        <v>0.18487586383770052</v>
      </c>
      <c r="W173" s="332">
        <f t="shared" si="42"/>
        <v>0.1857897976425541</v>
      </c>
      <c r="X173" s="332">
        <f t="shared" si="42"/>
        <v>0.1836101798673952</v>
      </c>
      <c r="Y173" s="332">
        <f t="shared" si="42"/>
        <v>0.18194424759752306</v>
      </c>
      <c r="Z173" s="332">
        <f t="shared" si="42"/>
        <v>0.17467277911210477</v>
      </c>
      <c r="AA173" s="332">
        <f t="shared" si="42"/>
        <v>0.16869006221200053</v>
      </c>
      <c r="AB173" s="332">
        <f t="shared" si="42"/>
        <v>0.16095256744323591</v>
      </c>
      <c r="AC173" s="332">
        <f t="shared" si="42"/>
        <v>0.13523036260307986</v>
      </c>
      <c r="AD173" s="332">
        <f t="shared" si="42"/>
        <v>0.12473630448670493</v>
      </c>
      <c r="AE173" s="332">
        <f t="shared" si="42"/>
        <v>0.10981603459349175</v>
      </c>
      <c r="AF173" s="332">
        <f t="shared" si="42"/>
        <v>0.10344185403449338</v>
      </c>
      <c r="AG173" s="332">
        <f t="shared" si="42"/>
        <v>9.6260767565350264E-2</v>
      </c>
      <c r="AH173" s="332">
        <f t="shared" si="42"/>
        <v>8.7322000421200335E-2</v>
      </c>
      <c r="AI173" s="332">
        <f t="shared" si="42"/>
        <v>8.04132583014293E-2</v>
      </c>
      <c r="AJ173" s="332">
        <f t="shared" si="42"/>
        <v>7.5638872333702895E-2</v>
      </c>
      <c r="AK173" s="332">
        <f t="shared" si="42"/>
        <v>7.1936309330548967E-2</v>
      </c>
      <c r="AL173" s="332">
        <f t="shared" si="42"/>
        <v>6.8799076407265278E-2</v>
      </c>
      <c r="AM173" s="332">
        <f t="shared" si="42"/>
        <v>6.4611129200915704E-2</v>
      </c>
      <c r="AN173" s="332">
        <f t="shared" si="42"/>
        <v>6.2375651642613293E-2</v>
      </c>
      <c r="AO173" s="332">
        <f t="shared" si="42"/>
        <v>6.5084166161300305E-2</v>
      </c>
      <c r="AP173" s="332">
        <f t="shared" si="42"/>
        <v>4.7764420456340856E-2</v>
      </c>
      <c r="AQ173" s="332">
        <f t="shared" si="42"/>
        <v>4.6033526729415991E-2</v>
      </c>
      <c r="AR173" s="332">
        <f t="shared" si="42"/>
        <v>4.4302633002491112E-2</v>
      </c>
      <c r="AS173" s="332">
        <f t="shared" si="42"/>
        <v>3.2654944316215191E-2</v>
      </c>
      <c r="AT173" s="332">
        <f t="shared" si="42"/>
        <v>1.8391354290284934E-2</v>
      </c>
      <c r="AU173" s="332">
        <f t="shared" si="42"/>
        <v>1.6314747135345857E-2</v>
      </c>
      <c r="AV173" s="332">
        <f t="shared" si="42"/>
        <v>4.5448236505135544E-3</v>
      </c>
      <c r="AW173" s="332">
        <f t="shared" si="42"/>
        <v>2.6480410527414543E-3</v>
      </c>
      <c r="AX173" s="332">
        <f t="shared" si="42"/>
        <v>6.5730831005338672E-4</v>
      </c>
      <c r="BA173" s="333"/>
      <c r="BB173" s="333"/>
    </row>
    <row r="174" spans="2:56" x14ac:dyDescent="0.25">
      <c r="T174" s="334"/>
      <c r="U174" s="334"/>
      <c r="V174" s="334"/>
      <c r="W174" s="334"/>
      <c r="X174" s="334"/>
      <c r="Y174" s="334"/>
      <c r="Z174" s="334"/>
    </row>
    <row r="175" spans="2:56" x14ac:dyDescent="0.25">
      <c r="J175" s="335" t="s">
        <v>1078</v>
      </c>
      <c r="Q175" s="336">
        <v>31969217</v>
      </c>
      <c r="R175" s="336"/>
    </row>
    <row r="176" spans="2:56" s="337" customFormat="1" hidden="1" outlineLevel="1" x14ac:dyDescent="0.25">
      <c r="F176" s="338"/>
      <c r="J176" s="339" t="s">
        <v>1079</v>
      </c>
      <c r="K176" s="340"/>
      <c r="L176" s="340"/>
      <c r="M176" s="340"/>
      <c r="N176" s="340"/>
      <c r="O176" s="340"/>
      <c r="P176" s="340"/>
      <c r="Q176" s="341">
        <f>Q175+4226235</f>
        <v>36195452</v>
      </c>
      <c r="T176" s="233"/>
      <c r="U176" s="342">
        <f t="shared" ref="U176:Z176" si="43">U171/$Q$176</f>
        <v>0.16438768602527468</v>
      </c>
      <c r="V176" s="342">
        <f t="shared" si="43"/>
        <v>0.16328948203464624</v>
      </c>
      <c r="W176" s="342">
        <f t="shared" si="43"/>
        <v>0.16409670356432904</v>
      </c>
      <c r="X176" s="342">
        <f t="shared" si="43"/>
        <v>0.1621715812138439</v>
      </c>
      <c r="Y176" s="342">
        <f t="shared" si="43"/>
        <v>0.16070016568233333</v>
      </c>
      <c r="Z176" s="342">
        <f t="shared" si="43"/>
        <v>0.15427772471049525</v>
      </c>
    </row>
    <row r="177" spans="6:24" hidden="1" outlineLevel="1" x14ac:dyDescent="0.25">
      <c r="F177" s="343"/>
      <c r="J177" s="344"/>
      <c r="K177" s="345"/>
      <c r="L177" s="345"/>
      <c r="M177" s="345"/>
      <c r="N177" s="345"/>
      <c r="O177" s="345"/>
      <c r="P177" s="345"/>
      <c r="Q177" s="345"/>
      <c r="U177" s="236"/>
      <c r="V177" s="236"/>
      <c r="W177" s="236"/>
      <c r="X177" s="236"/>
    </row>
    <row r="178" spans="6:24" hidden="1" outlineLevel="1" x14ac:dyDescent="0.25">
      <c r="Q178" s="236"/>
      <c r="T178" s="275" t="s">
        <v>1080</v>
      </c>
    </row>
    <row r="179" spans="6:24" hidden="1" outlineLevel="1" x14ac:dyDescent="0.25">
      <c r="Q179" s="274" t="s">
        <v>727</v>
      </c>
      <c r="R179" s="233"/>
      <c r="T179" s="346">
        <v>3601890.1379218102</v>
      </c>
      <c r="U179" s="236">
        <f>T168-T179</f>
        <v>-8.7921810336410999E-2</v>
      </c>
      <c r="V179" s="233"/>
    </row>
    <row r="180" spans="6:24" hidden="1" outlineLevel="1" x14ac:dyDescent="0.25">
      <c r="Q180" s="274" t="s">
        <v>729</v>
      </c>
      <c r="T180" s="346">
        <v>1087339.57</v>
      </c>
      <c r="U180" s="236">
        <f>T169-T180</f>
        <v>137023.43000000017</v>
      </c>
      <c r="V180" s="229" t="s">
        <v>1081</v>
      </c>
    </row>
    <row r="181" spans="6:24" collapsed="1" x14ac:dyDescent="0.25"/>
    <row r="184" spans="6:24" x14ac:dyDescent="0.25">
      <c r="Q184" s="233"/>
    </row>
  </sheetData>
  <autoFilter ref="C5:AV143" xr:uid="{5C4CEF7F-6C1E-4973-A858-44E223216DFF}"/>
  <pageMargins left="0.25" right="0.25" top="0.75" bottom="0.75" header="0.3" footer="0.3"/>
  <pageSetup paperSize="9" scale="56" fitToHeight="0" orientation="landscape" r:id="rId1"/>
  <rowBreaks count="3" manualBreakCount="3">
    <brk id="55" max="16383" man="1"/>
    <brk id="113" max="16383" man="1"/>
    <brk id="16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2023.gada budzeta plans_apvieno</vt:lpstr>
      <vt:lpstr>Saistibas</vt:lpstr>
      <vt:lpstr>'2023.gada budzeta plans_apvieno'!Print_Area</vt:lpstr>
      <vt:lpstr>'2023.gada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Linda Pavlovska</cp:lastModifiedBy>
  <dcterms:created xsi:type="dcterms:W3CDTF">2023-10-24T12:05:59Z</dcterms:created>
  <dcterms:modified xsi:type="dcterms:W3CDTF">2023-10-25T07:04:11Z</dcterms:modified>
</cp:coreProperties>
</file>