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Jevgenija\Nextcloud\Domes lēmumi un protokoli\2023\12_DECEMBRIS\28.12.2023\Dokumentu PROJEKTI\"/>
    </mc:Choice>
  </mc:AlternateContent>
  <xr:revisionPtr revIDLastSave="0" documentId="8_{93DA5D9B-BC25-4609-A61D-10CA82E6439B}" xr6:coauthVersionLast="47" xr6:coauthVersionMax="47" xr10:uidLastSave="{00000000-0000-0000-0000-000000000000}"/>
  <bookViews>
    <workbookView xWindow="-120" yWindow="-120" windowWidth="29040" windowHeight="15720" xr2:uid="{4AA1CF9D-4380-4BC0-9971-325F801B3677}"/>
  </bookViews>
  <sheets>
    <sheet name="2023.gada budzeta plans_apvieno" sheetId="2" r:id="rId1"/>
    <sheet name="Līgumu saraksts" sheetId="3" r:id="rId2"/>
  </sheets>
  <externalReferences>
    <externalReference r:id="rId3"/>
    <externalReference r:id="rId4"/>
    <externalReference r:id="rId5"/>
    <externalReference r:id="rId6"/>
  </externalReferences>
  <definedNames>
    <definedName name="_0812" localSheetId="0">[1]Groz_NIN_12_2014!#REF!</definedName>
    <definedName name="_0812">[1]Groz_NIN_12_2014!#REF!</definedName>
    <definedName name="_xlnm._FilterDatabase" localSheetId="0" hidden="1">'2023.gada budzeta plans_apvieno'!#REF!</definedName>
    <definedName name="_xlnm._FilterDatabase" localSheetId="1" hidden="1">'Līgumu saraksts'!$C$5:$AV$143</definedName>
    <definedName name="Apmaksa" localSheetId="0">[2]Apmaksa!$A:$A</definedName>
    <definedName name="Apmaksa">[3]Apmaksa!$A$1:$A$65536</definedName>
    <definedName name="Darijums" localSheetId="0">[2]Darijums!$A:$A</definedName>
    <definedName name="Darijums">[3]Darijums!$A$1:$A$65536</definedName>
    <definedName name="Excel_BuiltIn__FilterDatabase" localSheetId="0">[1]Groz_NIN_12_2014!#REF!</definedName>
    <definedName name="Excel_BuiltIn__FilterDatabase">[1]Groz_NIN_12_2014!#REF!</definedName>
    <definedName name="Firmas" localSheetId="0">[2]Firma!$A:$A</definedName>
    <definedName name="Firmas">[3]Firma!$A$1:$A$65536</definedName>
    <definedName name="KolonnasNosaukums1">[4]!Piedāvājums[[#Headers],[Apraksts]]</definedName>
    <definedName name="Parvadataji" localSheetId="0">[2]Ligumi!$A:$A</definedName>
    <definedName name="Parvadataji">[3]Ligumi!$A$1:$A$65536</definedName>
    <definedName name="_xlnm.Print_Area" localSheetId="0">'2023.gada budzeta plans_apvieno'!$C$1:$K$283</definedName>
    <definedName name="_xlnm.Print_Titles" localSheetId="0">'2023.gada budzeta plans_apvieno'!$5:$5</definedName>
    <definedName name="Saist_apmers_ar_galvojumu">[3]Ligumi!$A$1:$A$65536</definedName>
    <definedName name="Z_1893421C_DBAA_4C10_AA6C_4D0F39122205_.wvu.FilterData" localSheetId="0">[1]Groz_NIN_12_2014!#REF!</definedName>
    <definedName name="Z_1893421C_DBAA_4C10_AA6C_4D0F39122205_.wvu.FilterData">[1]Groz_NIN_12_2014!#REF!</definedName>
    <definedName name="Z_483F8D4B_D649_4D59_A67B_5E8B6C0D2E28_.wvu.FilterData" localSheetId="0">[1]Groz_NIN_12_2014!#REF!</definedName>
    <definedName name="Z_483F8D4B_D649_4D59_A67B_5E8B6C0D2E28_.wvu.FilterData">[1]Groz_NIN_12_2014!#REF!</definedName>
    <definedName name="Z_56A06D27_97E5_4D01_ADCE_F8E0A2A870EF_.wvu.FilterData" localSheetId="0">[1]Groz_NIN_12_2014!#REF!</definedName>
    <definedName name="Z_56A06D27_97E5_4D01_ADCE_F8E0A2A870EF_.wvu.FilterData">[1]Groz_NIN_12_2014!#REF!</definedName>
    <definedName name="Z_81EB1DB6_89AB_4045_90FA_EF2BA7E792F9_.wvu.FilterData" localSheetId="0">[1]Groz_NIN_12_2014!#REF!</definedName>
    <definedName name="Z_81EB1DB6_89AB_4045_90FA_EF2BA7E792F9_.wvu.FilterData">[1]Groz_NIN_12_2014!#REF!</definedName>
    <definedName name="Z_81EB1DB6_89AB_4045_90FA_EF2BA7E792F9_.wvu.PrintArea" localSheetId="0">[1]Groz_NIN_12_2014!#REF!</definedName>
    <definedName name="Z_81EB1DB6_89AB_4045_90FA_EF2BA7E792F9_.wvu.PrintArea">[1]Groz_NIN_12_2014!#REF!</definedName>
    <definedName name="Z_8545B4E6_A517_4BD7_BFB7_42FEB5F229AD_.wvu.FilterData" localSheetId="0">[1]Groz_NIN_12_2014!#REF!</definedName>
    <definedName name="Z_8545B4E6_A517_4BD7_BFB7_42FEB5F229AD_.wvu.FilterData">[1]Groz_NIN_12_2014!#REF!</definedName>
    <definedName name="Z_877A1030_2452_46B0_88DF_8A068656C08E_.wvu.FilterData" localSheetId="0">[1]Groz_NIN_12_2014!#REF!</definedName>
    <definedName name="Z_877A1030_2452_46B0_88DF_8A068656C08E_.wvu.FilterData">[1]Groz_NIN_12_2014!#REF!</definedName>
    <definedName name="Z_ABD8A783_3A6C_4629_9559_1E4E89E80131_.wvu.FilterData" localSheetId="0">[1]Groz_NIN_12_2014!#REF!</definedName>
    <definedName name="Z_ABD8A783_3A6C_4629_9559_1E4E89E80131_.wvu.FilterData">[1]Groz_NIN_12_2014!#REF!</definedName>
    <definedName name="Z_AF277C95_CBD9_4696_AC72_D010599E9831_.wvu.FilterData" localSheetId="0">[1]Groz_NIN_12_2014!#REF!</definedName>
    <definedName name="Z_AF277C95_CBD9_4696_AC72_D010599E9831_.wvu.FilterData">[1]Groz_NIN_12_2014!#REF!</definedName>
    <definedName name="Z_B7CBCF06_FF41_423A_9AB3_E1D1F70C6FC5_.wvu.FilterData" localSheetId="0">[1]Groz_NIN_12_2014!#REF!</definedName>
    <definedName name="Z_B7CBCF06_FF41_423A_9AB3_E1D1F70C6FC5_.wvu.FilterData">[1]Groz_NIN_12_2014!#REF!</definedName>
    <definedName name="Z_C5511FB8_86C5_41F3_ADCD_B10310F066F5_.wvu.FilterData" localSheetId="0">[1]Groz_NIN_12_2014!#REF!</definedName>
    <definedName name="Z_C5511FB8_86C5_41F3_ADCD_B10310F066F5_.wvu.FilterData">[1]Groz_NIN_12_2014!#REF!</definedName>
    <definedName name="Z_DB8ECBD1_2D44_4F97_BCC9_F610BA0A3109_.wvu.FilterData" localSheetId="0">[1]Groz_NIN_12_2014!#REF!</definedName>
    <definedName name="Z_DB8ECBD1_2D44_4F97_BCC9_F610BA0A3109_.wvu.FilterData">[1]Groz_NIN_12_2014!#REF!</definedName>
    <definedName name="Z_DEE3A27E_689A_4E9F_A3EB_C84F1E3B413E_.wvu.FilterData" localSheetId="0">[1]Groz_NIN_12_2014!#REF!</definedName>
    <definedName name="Z_DEE3A27E_689A_4E9F_A3EB_C84F1E3B413E_.wvu.FilterData">[1]Groz_NIN_12_2014!#REF!</definedName>
    <definedName name="Z_F1F489B9_0F61_4F1F_A151_75EF77465344_.wvu.Cols" localSheetId="0">[1]Groz_NIN_12_2014!#REF!</definedName>
    <definedName name="Z_F1F489B9_0F61_4F1F_A151_75EF77465344_.wvu.Cols">[1]Groz_NIN_12_2014!#REF!</definedName>
    <definedName name="Z_F1F489B9_0F61_4F1F_A151_75EF77465344_.wvu.FilterData" localSheetId="0">[1]Groz_NIN_12_2014!#REF!</definedName>
    <definedName name="Z_F1F489B9_0F61_4F1F_A151_75EF77465344_.wvu.FilterData">[1]Groz_NIN_12_2014!#REF!</definedName>
    <definedName name="Z_F1F489B9_0F61_4F1F_A151_75EF77465344_.wvu.PrintArea" localSheetId="0">[1]Groz_NIN_12_2014!#REF!</definedName>
    <definedName name="Z_F1F489B9_0F61_4F1F_A151_75EF77465344_.wvu.PrintArea">[1]Groz_NIN_12_2014!#REF!</definedName>
    <definedName name="Z_F1F489B9_0F61_4F1F_A151_75EF77465344_.wvu.PrintTitles" localSheetId="0">[1]Groz_NIN_12_2014!#REF!</definedName>
    <definedName name="Z_F1F489B9_0F61_4F1F_A151_75EF77465344_.wvu.PrintTitles">[1]Groz_NIN_12_2014!#REF!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43" i="2" l="1"/>
  <c r="U106" i="2"/>
  <c r="U102" i="2"/>
  <c r="U253" i="2"/>
  <c r="U241" i="2"/>
  <c r="U224" i="2"/>
  <c r="U179" i="2"/>
  <c r="U180" i="2"/>
  <c r="U178" i="2"/>
  <c r="Q176" i="3"/>
  <c r="AU170" i="3"/>
  <c r="T170" i="3"/>
  <c r="AP168" i="3"/>
  <c r="AO164" i="3"/>
  <c r="AO170" i="3" s="1"/>
  <c r="AM164" i="3"/>
  <c r="AM170" i="3" s="1"/>
  <c r="T164" i="3"/>
  <c r="AX163" i="3"/>
  <c r="AW163" i="3"/>
  <c r="AV163" i="3"/>
  <c r="AU163" i="3"/>
  <c r="AT163" i="3"/>
  <c r="AS163" i="3"/>
  <c r="AQ163" i="3"/>
  <c r="AQ164" i="3" s="1"/>
  <c r="AQ170" i="3" s="1"/>
  <c r="AP163" i="3"/>
  <c r="AO163" i="3"/>
  <c r="AN163" i="3"/>
  <c r="AM163" i="3"/>
  <c r="AL163" i="3"/>
  <c r="AK163" i="3"/>
  <c r="AJ163" i="3"/>
  <c r="AI163" i="3"/>
  <c r="AH163" i="3"/>
  <c r="AG163" i="3"/>
  <c r="AE163" i="3"/>
  <c r="AE164" i="3" s="1"/>
  <c r="AE170" i="3" s="1"/>
  <c r="N163" i="3"/>
  <c r="AR163" i="3" s="1"/>
  <c r="AG162" i="3"/>
  <c r="AF162" i="3"/>
  <c r="AD163" i="3" s="1"/>
  <c r="AE162" i="3"/>
  <c r="AD162" i="3"/>
  <c r="AC162" i="3"/>
  <c r="AB162" i="3"/>
  <c r="AA162" i="3"/>
  <c r="Z162" i="3"/>
  <c r="Y162" i="3"/>
  <c r="X162" i="3"/>
  <c r="AY162" i="3" s="1"/>
  <c r="BB161" i="3"/>
  <c r="BA161" i="3"/>
  <c r="AY161" i="3"/>
  <c r="BD161" i="3" s="1"/>
  <c r="N161" i="3"/>
  <c r="BB160" i="3"/>
  <c r="BA160" i="3"/>
  <c r="AY160" i="3"/>
  <c r="BD160" i="3" s="1"/>
  <c r="AX159" i="3"/>
  <c r="AX164" i="3" s="1"/>
  <c r="AX170" i="3" s="1"/>
  <c r="AV159" i="3"/>
  <c r="AV164" i="3" s="1"/>
  <c r="AV170" i="3" s="1"/>
  <c r="AS159" i="3"/>
  <c r="AS164" i="3" s="1"/>
  <c r="AS170" i="3" s="1"/>
  <c r="AQ159" i="3"/>
  <c r="AO159" i="3"/>
  <c r="AN159" i="3"/>
  <c r="AN164" i="3" s="1"/>
  <c r="AN170" i="3" s="1"/>
  <c r="AM159" i="3"/>
  <c r="AL159" i="3"/>
  <c r="AL164" i="3" s="1"/>
  <c r="AL170" i="3" s="1"/>
  <c r="AJ159" i="3"/>
  <c r="AJ164" i="3" s="1"/>
  <c r="AJ170" i="3" s="1"/>
  <c r="AG159" i="3"/>
  <c r="AG164" i="3" s="1"/>
  <c r="AG170" i="3" s="1"/>
  <c r="AE159" i="3"/>
  <c r="AC159" i="3"/>
  <c r="AB159" i="3"/>
  <c r="AA159" i="3"/>
  <c r="Z159" i="3"/>
  <c r="Y159" i="3"/>
  <c r="X159" i="3"/>
  <c r="U159" i="3"/>
  <c r="N159" i="3"/>
  <c r="AU159" i="3" s="1"/>
  <c r="AU164" i="3" s="1"/>
  <c r="BA158" i="3"/>
  <c r="BB158" i="3" s="1"/>
  <c r="AY158" i="3"/>
  <c r="BB157" i="3"/>
  <c r="BA157" i="3"/>
  <c r="AY157" i="3"/>
  <c r="BD157" i="3" s="1"/>
  <c r="N157" i="3"/>
  <c r="BB156" i="3"/>
  <c r="BA156" i="3"/>
  <c r="AY156" i="3"/>
  <c r="BD156" i="3" s="1"/>
  <c r="BA155" i="3"/>
  <c r="BB155" i="3" s="1"/>
  <c r="AY155" i="3"/>
  <c r="N155" i="3"/>
  <c r="BB154" i="3"/>
  <c r="BD154" i="3" s="1"/>
  <c r="BA154" i="3"/>
  <c r="AY154" i="3"/>
  <c r="BA153" i="3"/>
  <c r="BB153" i="3" s="1"/>
  <c r="BD153" i="3" s="1"/>
  <c r="AY153" i="3"/>
  <c r="N153" i="3"/>
  <c r="BD152" i="3"/>
  <c r="BB152" i="3"/>
  <c r="BA152" i="3"/>
  <c r="AY152" i="3"/>
  <c r="AC151" i="3"/>
  <c r="AB151" i="3"/>
  <c r="Z151" i="3"/>
  <c r="Y151" i="3"/>
  <c r="X151" i="3"/>
  <c r="W151" i="3"/>
  <c r="V151" i="3"/>
  <c r="U151" i="3"/>
  <c r="N151" i="3"/>
  <c r="AA151" i="3" s="1"/>
  <c r="BB150" i="3"/>
  <c r="BA150" i="3"/>
  <c r="AY150" i="3"/>
  <c r="BD150" i="3" s="1"/>
  <c r="AW145" i="3"/>
  <c r="AX144" i="3"/>
  <c r="AX169" i="3" s="1"/>
  <c r="AW144" i="3"/>
  <c r="AW169" i="3" s="1"/>
  <c r="S144" i="3"/>
  <c r="R144" i="3"/>
  <c r="AX143" i="3"/>
  <c r="AX168" i="3" s="1"/>
  <c r="AW143" i="3"/>
  <c r="AW168" i="3" s="1"/>
  <c r="AV143" i="3"/>
  <c r="AU143" i="3"/>
  <c r="AT143" i="3"/>
  <c r="AS143" i="3"/>
  <c r="AR143" i="3"/>
  <c r="AQ143" i="3"/>
  <c r="AP143" i="3"/>
  <c r="V143" i="3"/>
  <c r="S143" i="3"/>
  <c r="K143" i="3"/>
  <c r="J143" i="3"/>
  <c r="BD142" i="3"/>
  <c r="AZ142" i="3"/>
  <c r="BA141" i="3"/>
  <c r="AZ141" i="3"/>
  <c r="AY141" i="3"/>
  <c r="T141" i="3"/>
  <c r="BA140" i="3"/>
  <c r="T140" i="3"/>
  <c r="BB140" i="3" s="1"/>
  <c r="J140" i="3"/>
  <c r="BB139" i="3"/>
  <c r="BA139" i="3"/>
  <c r="AZ139" i="3"/>
  <c r="AY139" i="3"/>
  <c r="T139" i="3"/>
  <c r="BA138" i="3"/>
  <c r="T138" i="3"/>
  <c r="BA137" i="3"/>
  <c r="BB137" i="3" s="1"/>
  <c r="AZ137" i="3"/>
  <c r="AY137" i="3"/>
  <c r="T137" i="3"/>
  <c r="BA136" i="3"/>
  <c r="AY136" i="3"/>
  <c r="T136" i="3"/>
  <c r="BB136" i="3" s="1"/>
  <c r="P135" i="3"/>
  <c r="N135" i="3" s="1"/>
  <c r="AJ134" i="3"/>
  <c r="AI134" i="3"/>
  <c r="AH134" i="3"/>
  <c r="AG134" i="3"/>
  <c r="AF134" i="3"/>
  <c r="J134" i="3"/>
  <c r="AA133" i="3"/>
  <c r="BA133" i="3" s="1"/>
  <c r="P133" i="3"/>
  <c r="N133" i="3"/>
  <c r="BA132" i="3"/>
  <c r="AA132" i="3"/>
  <c r="Z132" i="3"/>
  <c r="Y132" i="3"/>
  <c r="X132" i="3"/>
  <c r="W132" i="3"/>
  <c r="V132" i="3"/>
  <c r="U132" i="3"/>
  <c r="AG131" i="3"/>
  <c r="AE131" i="3"/>
  <c r="AD131" i="3"/>
  <c r="AC131" i="3"/>
  <c r="P131" i="3"/>
  <c r="N131" i="3"/>
  <c r="AF131" i="3" s="1"/>
  <c r="AL130" i="3"/>
  <c r="AK130" i="3"/>
  <c r="AJ130" i="3"/>
  <c r="AJ143" i="3" s="1"/>
  <c r="AI130" i="3"/>
  <c r="AH130" i="3"/>
  <c r="AG130" i="3"/>
  <c r="AG143" i="3" s="1"/>
  <c r="AF130" i="3"/>
  <c r="AE130" i="3"/>
  <c r="AD130" i="3"/>
  <c r="AC130" i="3"/>
  <c r="AB130" i="3"/>
  <c r="AA131" i="3" s="1"/>
  <c r="AA130" i="3"/>
  <c r="Z130" i="3"/>
  <c r="Y130" i="3"/>
  <c r="X130" i="3"/>
  <c r="AA129" i="3"/>
  <c r="BA129" i="3" s="1"/>
  <c r="P129" i="3"/>
  <c r="N129" i="3" s="1"/>
  <c r="AZ128" i="3"/>
  <c r="AY128" i="3"/>
  <c r="AA128" i="3"/>
  <c r="Z128" i="3"/>
  <c r="Y128" i="3"/>
  <c r="X128" i="3"/>
  <c r="W128" i="3"/>
  <c r="Z127" i="3"/>
  <c r="N127" i="3"/>
  <c r="BA126" i="3"/>
  <c r="AF126" i="3"/>
  <c r="AE126" i="3"/>
  <c r="AD126" i="3"/>
  <c r="AC126" i="3"/>
  <c r="AB126" i="3"/>
  <c r="AA126" i="3"/>
  <c r="Z126" i="3"/>
  <c r="Y126" i="3"/>
  <c r="X126" i="3"/>
  <c r="W126" i="3"/>
  <c r="W143" i="3" s="1"/>
  <c r="V126" i="3"/>
  <c r="U126" i="3"/>
  <c r="AB125" i="3"/>
  <c r="Y125" i="3"/>
  <c r="X125" i="3"/>
  <c r="W125" i="3"/>
  <c r="V125" i="3"/>
  <c r="P125" i="3"/>
  <c r="N125" i="3"/>
  <c r="AD125" i="3" s="1"/>
  <c r="AD124" i="3"/>
  <c r="Z125" i="3" s="1"/>
  <c r="BA123" i="3"/>
  <c r="T123" i="3"/>
  <c r="P123" i="3"/>
  <c r="N123" i="3" s="1"/>
  <c r="BE122" i="3"/>
  <c r="BD122" i="3"/>
  <c r="BB122" i="3"/>
  <c r="BA122" i="3"/>
  <c r="U122" i="3"/>
  <c r="T122" i="3"/>
  <c r="AY122" i="3" s="1"/>
  <c r="AZ122" i="3" s="1"/>
  <c r="AI121" i="3"/>
  <c r="AH121" i="3"/>
  <c r="AG121" i="3"/>
  <c r="AF121" i="3"/>
  <c r="Y121" i="3"/>
  <c r="X121" i="3"/>
  <c r="W121" i="3"/>
  <c r="V121" i="3"/>
  <c r="U121" i="3"/>
  <c r="T121" i="3"/>
  <c r="P121" i="3"/>
  <c r="N121" i="3" s="1"/>
  <c r="BA120" i="3"/>
  <c r="AY120" i="3"/>
  <c r="T120" i="3"/>
  <c r="BB120" i="3" s="1"/>
  <c r="BE120" i="3" s="1"/>
  <c r="BD119" i="3"/>
  <c r="BA119" i="3"/>
  <c r="BB119" i="3" s="1"/>
  <c r="AZ119" i="3"/>
  <c r="AY119" i="3"/>
  <c r="U119" i="3"/>
  <c r="T119" i="3"/>
  <c r="P119" i="3"/>
  <c r="N119" i="3"/>
  <c r="BA118" i="3"/>
  <c r="BB118" i="3" s="1"/>
  <c r="AZ118" i="3"/>
  <c r="T118" i="3"/>
  <c r="AY118" i="3" s="1"/>
  <c r="T117" i="3"/>
  <c r="P117" i="3"/>
  <c r="N117" i="3" s="1"/>
  <c r="BA116" i="3"/>
  <c r="BB116" i="3" s="1"/>
  <c r="BE116" i="3" s="1"/>
  <c r="AH116" i="3"/>
  <c r="AH143" i="3" s="1"/>
  <c r="T116" i="3"/>
  <c r="AC115" i="3"/>
  <c r="AB115" i="3"/>
  <c r="AA115" i="3"/>
  <c r="Z115" i="3"/>
  <c r="T115" i="3"/>
  <c r="P115" i="3"/>
  <c r="N115" i="3"/>
  <c r="BA114" i="3"/>
  <c r="BB114" i="3" s="1"/>
  <c r="BE114" i="3" s="1"/>
  <c r="AY114" i="3"/>
  <c r="T114" i="3"/>
  <c r="AG113" i="3"/>
  <c r="AA113" i="3"/>
  <c r="T113" i="3"/>
  <c r="P113" i="3"/>
  <c r="N113" i="3" s="1"/>
  <c r="BE112" i="3"/>
  <c r="BD112" i="3"/>
  <c r="BA112" i="3"/>
  <c r="BB112" i="3" s="1"/>
  <c r="T112" i="3"/>
  <c r="AY112" i="3" s="1"/>
  <c r="AZ112" i="3" s="1"/>
  <c r="BA111" i="3"/>
  <c r="Y111" i="3"/>
  <c r="W111" i="3"/>
  <c r="V111" i="3"/>
  <c r="T111" i="3"/>
  <c r="P111" i="3"/>
  <c r="N111" i="3" s="1"/>
  <c r="BA110" i="3"/>
  <c r="T110" i="3"/>
  <c r="Y109" i="3"/>
  <c r="X109" i="3"/>
  <c r="W109" i="3"/>
  <c r="V109" i="3"/>
  <c r="U109" i="3"/>
  <c r="T109" i="3"/>
  <c r="P109" i="3"/>
  <c r="N109" i="3" s="1"/>
  <c r="Z109" i="3" s="1"/>
  <c r="BA108" i="3"/>
  <c r="T108" i="3"/>
  <c r="BA107" i="3"/>
  <c r="T107" i="3"/>
  <c r="P107" i="3"/>
  <c r="N107" i="3"/>
  <c r="BB106" i="3"/>
  <c r="BE106" i="3" s="1"/>
  <c r="BA106" i="3"/>
  <c r="AZ106" i="3"/>
  <c r="AY106" i="3"/>
  <c r="T106" i="3"/>
  <c r="BA105" i="3"/>
  <c r="X105" i="3"/>
  <c r="W105" i="3"/>
  <c r="V105" i="3"/>
  <c r="T105" i="3"/>
  <c r="P105" i="3"/>
  <c r="N105" i="3" s="1"/>
  <c r="U105" i="3" s="1"/>
  <c r="AY105" i="3" s="1"/>
  <c r="BA104" i="3"/>
  <c r="AY104" i="3"/>
  <c r="T104" i="3"/>
  <c r="BB104" i="3" s="1"/>
  <c r="BE104" i="3" s="1"/>
  <c r="T103" i="3"/>
  <c r="P103" i="3"/>
  <c r="N103" i="3" s="1"/>
  <c r="BA102" i="3"/>
  <c r="T102" i="3"/>
  <c r="BB101" i="3"/>
  <c r="BD101" i="3" s="1"/>
  <c r="BA101" i="3"/>
  <c r="AZ101" i="3"/>
  <c r="T101" i="3"/>
  <c r="AY101" i="3" s="1"/>
  <c r="P101" i="3"/>
  <c r="N101" i="3" s="1"/>
  <c r="BA100" i="3"/>
  <c r="AY100" i="3"/>
  <c r="T100" i="3"/>
  <c r="BB100" i="3" s="1"/>
  <c r="BE100" i="3" s="1"/>
  <c r="W99" i="3"/>
  <c r="V99" i="3"/>
  <c r="T99" i="3"/>
  <c r="P99" i="3"/>
  <c r="N99" i="3" s="1"/>
  <c r="BA98" i="3"/>
  <c r="T98" i="3"/>
  <c r="R98" i="3"/>
  <c r="R143" i="3" s="1"/>
  <c r="R145" i="3" s="1"/>
  <c r="BA97" i="3"/>
  <c r="AY97" i="3"/>
  <c r="U97" i="3"/>
  <c r="T97" i="3"/>
  <c r="P97" i="3"/>
  <c r="N97" i="3"/>
  <c r="BA96" i="3"/>
  <c r="T96" i="3"/>
  <c r="BB96" i="3" s="1"/>
  <c r="BE96" i="3" s="1"/>
  <c r="T95" i="3"/>
  <c r="P95" i="3"/>
  <c r="N95" i="3" s="1"/>
  <c r="BA94" i="3"/>
  <c r="T94" i="3"/>
  <c r="T93" i="3"/>
  <c r="P93" i="3"/>
  <c r="N93" i="3" s="1"/>
  <c r="BB92" i="3"/>
  <c r="BA92" i="3"/>
  <c r="AY92" i="3"/>
  <c r="AZ92" i="3" s="1"/>
  <c r="T92" i="3"/>
  <c r="AK91" i="3"/>
  <c r="AJ91" i="3"/>
  <c r="AI91" i="3"/>
  <c r="AH91" i="3"/>
  <c r="AF91" i="3"/>
  <c r="AB91" i="3"/>
  <c r="AA91" i="3"/>
  <c r="Z91" i="3"/>
  <c r="Y91" i="3"/>
  <c r="X91" i="3"/>
  <c r="W91" i="3"/>
  <c r="V91" i="3"/>
  <c r="U91" i="3"/>
  <c r="T91" i="3"/>
  <c r="P91" i="3"/>
  <c r="N91" i="3"/>
  <c r="AE91" i="3" s="1"/>
  <c r="BA90" i="3"/>
  <c r="BB90" i="3" s="1"/>
  <c r="AZ90" i="3"/>
  <c r="AY90" i="3"/>
  <c r="T90" i="3"/>
  <c r="BA89" i="3"/>
  <c r="T89" i="3"/>
  <c r="P89" i="3"/>
  <c r="N89" i="3" s="1"/>
  <c r="BB88" i="3"/>
  <c r="BE88" i="3" s="1"/>
  <c r="BA88" i="3"/>
  <c r="T88" i="3"/>
  <c r="AY88" i="3" s="1"/>
  <c r="AZ88" i="3" s="1"/>
  <c r="AK87" i="3"/>
  <c r="AJ87" i="3"/>
  <c r="AI87" i="3"/>
  <c r="AG87" i="3"/>
  <c r="AE87" i="3"/>
  <c r="AB87" i="3"/>
  <c r="W87" i="3"/>
  <c r="T87" i="3"/>
  <c r="P87" i="3"/>
  <c r="N87" i="3"/>
  <c r="BA86" i="3"/>
  <c r="BB86" i="3" s="1"/>
  <c r="BE86" i="3" s="1"/>
  <c r="AZ86" i="3"/>
  <c r="AY86" i="3"/>
  <c r="T86" i="3"/>
  <c r="T85" i="3"/>
  <c r="P85" i="3"/>
  <c r="N85" i="3" s="1"/>
  <c r="BE84" i="3"/>
  <c r="BD84" i="3"/>
  <c r="BB84" i="3"/>
  <c r="BA84" i="3"/>
  <c r="AZ84" i="3"/>
  <c r="AY84" i="3"/>
  <c r="T84" i="3"/>
  <c r="T83" i="3"/>
  <c r="P83" i="3"/>
  <c r="N83" i="3" s="1"/>
  <c r="BE82" i="3"/>
  <c r="BD82" i="3"/>
  <c r="BB82" i="3"/>
  <c r="BA82" i="3"/>
  <c r="AZ82" i="3"/>
  <c r="AY82" i="3"/>
  <c r="T82" i="3"/>
  <c r="AG81" i="3"/>
  <c r="AF81" i="3"/>
  <c r="AE81" i="3"/>
  <c r="AD81" i="3"/>
  <c r="AC81" i="3"/>
  <c r="AB81" i="3"/>
  <c r="T81" i="3"/>
  <c r="P81" i="3"/>
  <c r="N81" i="3"/>
  <c r="AI81" i="3" s="1"/>
  <c r="BA80" i="3"/>
  <c r="T80" i="3"/>
  <c r="T79" i="3"/>
  <c r="P79" i="3"/>
  <c r="N79" i="3"/>
  <c r="BE78" i="3"/>
  <c r="BB78" i="3"/>
  <c r="BA78" i="3"/>
  <c r="T78" i="3"/>
  <c r="AY78" i="3" s="1"/>
  <c r="BA77" i="3"/>
  <c r="T77" i="3"/>
  <c r="P77" i="3"/>
  <c r="N77" i="3" s="1"/>
  <c r="U77" i="3" s="1"/>
  <c r="BE76" i="3"/>
  <c r="BD76" i="3"/>
  <c r="BB76" i="3"/>
  <c r="BA76" i="3"/>
  <c r="AZ76" i="3"/>
  <c r="AY76" i="3"/>
  <c r="T76" i="3"/>
  <c r="AV75" i="3"/>
  <c r="AU75" i="3"/>
  <c r="AT75" i="3"/>
  <c r="AR75" i="3"/>
  <c r="AO75" i="3"/>
  <c r="AN75" i="3"/>
  <c r="AM75" i="3"/>
  <c r="AJ75" i="3"/>
  <c r="AI75" i="3"/>
  <c r="AF75" i="3"/>
  <c r="AB75" i="3"/>
  <c r="AA75" i="3"/>
  <c r="Z75" i="3"/>
  <c r="Y75" i="3"/>
  <c r="X75" i="3"/>
  <c r="V75" i="3"/>
  <c r="T75" i="3"/>
  <c r="P75" i="3"/>
  <c r="N75" i="3" s="1"/>
  <c r="AC75" i="3" s="1"/>
  <c r="BA74" i="3"/>
  <c r="T74" i="3"/>
  <c r="BB74" i="3" s="1"/>
  <c r="BE74" i="3" s="1"/>
  <c r="AB73" i="3"/>
  <c r="AA73" i="3"/>
  <c r="Z73" i="3"/>
  <c r="X73" i="3"/>
  <c r="W73" i="3"/>
  <c r="V73" i="3"/>
  <c r="U73" i="3"/>
  <c r="T73" i="3"/>
  <c r="P73" i="3"/>
  <c r="N73" i="3" s="1"/>
  <c r="Y73" i="3" s="1"/>
  <c r="BA72" i="3"/>
  <c r="BB72" i="3" s="1"/>
  <c r="BE72" i="3" s="1"/>
  <c r="AY72" i="3"/>
  <c r="BD72" i="3" s="1"/>
  <c r="T72" i="3"/>
  <c r="T71" i="3"/>
  <c r="P71" i="3"/>
  <c r="N71" i="3"/>
  <c r="BA70" i="3"/>
  <c r="T70" i="3"/>
  <c r="BA69" i="3"/>
  <c r="T69" i="3"/>
  <c r="P69" i="3"/>
  <c r="N69" i="3" s="1"/>
  <c r="BD68" i="3"/>
  <c r="BB68" i="3"/>
  <c r="BE68" i="3" s="1"/>
  <c r="BA68" i="3"/>
  <c r="AY68" i="3"/>
  <c r="AZ68" i="3" s="1"/>
  <c r="T68" i="3"/>
  <c r="BA67" i="3"/>
  <c r="T67" i="3"/>
  <c r="P67" i="3"/>
  <c r="N67" i="3"/>
  <c r="BE66" i="3"/>
  <c r="BB66" i="3"/>
  <c r="BA66" i="3"/>
  <c r="AY66" i="3"/>
  <c r="T66" i="3"/>
  <c r="AJ65" i="3"/>
  <c r="AI65" i="3"/>
  <c r="AF65" i="3"/>
  <c r="AC65" i="3"/>
  <c r="T65" i="3"/>
  <c r="P65" i="3"/>
  <c r="N65" i="3" s="1"/>
  <c r="AB65" i="3" s="1"/>
  <c r="BB64" i="3"/>
  <c r="BA64" i="3"/>
  <c r="AY64" i="3"/>
  <c r="AZ64" i="3" s="1"/>
  <c r="T64" i="3"/>
  <c r="AR63" i="3"/>
  <c r="AQ63" i="3"/>
  <c r="AO63" i="3"/>
  <c r="AN63" i="3"/>
  <c r="AM63" i="3"/>
  <c r="AL63" i="3"/>
  <c r="AK63" i="3"/>
  <c r="AC63" i="3"/>
  <c r="AB63" i="3"/>
  <c r="AA63" i="3"/>
  <c r="Z63" i="3"/>
  <c r="Y63" i="3"/>
  <c r="X63" i="3"/>
  <c r="W63" i="3"/>
  <c r="T63" i="3"/>
  <c r="P63" i="3"/>
  <c r="N63" i="3" s="1"/>
  <c r="AU63" i="3" s="1"/>
  <c r="BA62" i="3"/>
  <c r="AY62" i="3"/>
  <c r="BD62" i="3" s="1"/>
  <c r="T62" i="3"/>
  <c r="BB62" i="3" s="1"/>
  <c r="BE62" i="3" s="1"/>
  <c r="AE61" i="3"/>
  <c r="AD61" i="3"/>
  <c r="AB61" i="3"/>
  <c r="AA61" i="3"/>
  <c r="Z61" i="3"/>
  <c r="X61" i="3"/>
  <c r="W61" i="3"/>
  <c r="V61" i="3"/>
  <c r="T61" i="3"/>
  <c r="P61" i="3"/>
  <c r="N61" i="3"/>
  <c r="AC61" i="3" s="1"/>
  <c r="BA60" i="3"/>
  <c r="T60" i="3"/>
  <c r="T59" i="3"/>
  <c r="P59" i="3"/>
  <c r="N59" i="3" s="1"/>
  <c r="BA58" i="3"/>
  <c r="BB58" i="3" s="1"/>
  <c r="BE58" i="3" s="1"/>
  <c r="AY58" i="3"/>
  <c r="AZ58" i="3" s="1"/>
  <c r="T58" i="3"/>
  <c r="AI57" i="3"/>
  <c r="AH57" i="3"/>
  <c r="AD57" i="3"/>
  <c r="AC57" i="3"/>
  <c r="AA57" i="3"/>
  <c r="Z57" i="3"/>
  <c r="Y57" i="3"/>
  <c r="W57" i="3"/>
  <c r="V57" i="3"/>
  <c r="U57" i="3"/>
  <c r="T57" i="3"/>
  <c r="P57" i="3"/>
  <c r="N57" i="3"/>
  <c r="AB57" i="3" s="1"/>
  <c r="BA56" i="3"/>
  <c r="T56" i="3"/>
  <c r="W55" i="3"/>
  <c r="U55" i="3"/>
  <c r="T55" i="3"/>
  <c r="P55" i="3"/>
  <c r="N55" i="3" s="1"/>
  <c r="BA54" i="3"/>
  <c r="T54" i="3"/>
  <c r="AK53" i="3"/>
  <c r="AJ53" i="3"/>
  <c r="AI53" i="3"/>
  <c r="AH53" i="3"/>
  <c r="AG53" i="3"/>
  <c r="W53" i="3"/>
  <c r="V53" i="3"/>
  <c r="U53" i="3"/>
  <c r="T53" i="3"/>
  <c r="P53" i="3"/>
  <c r="N53" i="3"/>
  <c r="AS53" i="3" s="1"/>
  <c r="BA52" i="3"/>
  <c r="T52" i="3"/>
  <c r="BA51" i="3"/>
  <c r="Z51" i="3"/>
  <c r="Y51" i="3"/>
  <c r="U51" i="3"/>
  <c r="T51" i="3"/>
  <c r="P51" i="3"/>
  <c r="N51" i="3"/>
  <c r="X51" i="3" s="1"/>
  <c r="BA50" i="3"/>
  <c r="BB50" i="3" s="1"/>
  <c r="BE50" i="3" s="1"/>
  <c r="AZ50" i="3"/>
  <c r="T50" i="3"/>
  <c r="AY50" i="3" s="1"/>
  <c r="AD49" i="3"/>
  <c r="AC49" i="3"/>
  <c r="AB49" i="3"/>
  <c r="Z49" i="3"/>
  <c r="Y49" i="3"/>
  <c r="X49" i="3"/>
  <c r="W49" i="3"/>
  <c r="V49" i="3"/>
  <c r="U49" i="3"/>
  <c r="T49" i="3"/>
  <c r="P49" i="3"/>
  <c r="N49" i="3"/>
  <c r="BA48" i="3"/>
  <c r="AZ48" i="3"/>
  <c r="AY48" i="3"/>
  <c r="T48" i="3"/>
  <c r="AE47" i="3"/>
  <c r="AD47" i="3"/>
  <c r="AC47" i="3"/>
  <c r="AB47" i="3"/>
  <c r="AA47" i="3"/>
  <c r="Z47" i="3"/>
  <c r="V47" i="3"/>
  <c r="T47" i="3"/>
  <c r="P47" i="3"/>
  <c r="N47" i="3"/>
  <c r="BE46" i="3"/>
  <c r="BD46" i="3"/>
  <c r="BB46" i="3"/>
  <c r="BA46" i="3"/>
  <c r="AY46" i="3"/>
  <c r="AZ46" i="3" s="1"/>
  <c r="T46" i="3"/>
  <c r="T45" i="3"/>
  <c r="P45" i="3"/>
  <c r="N45" i="3"/>
  <c r="BA44" i="3"/>
  <c r="T44" i="3"/>
  <c r="BA43" i="3"/>
  <c r="T43" i="3"/>
  <c r="P43" i="3"/>
  <c r="N43" i="3" s="1"/>
  <c r="BD42" i="3"/>
  <c r="BA42" i="3"/>
  <c r="BB42" i="3" s="1"/>
  <c r="BE42" i="3" s="1"/>
  <c r="AY42" i="3"/>
  <c r="AZ42" i="3" s="1"/>
  <c r="T42" i="3"/>
  <c r="V41" i="3"/>
  <c r="T41" i="3"/>
  <c r="P41" i="3"/>
  <c r="N41" i="3" s="1"/>
  <c r="BA40" i="3"/>
  <c r="T40" i="3"/>
  <c r="AY40" i="3" s="1"/>
  <c r="AI39" i="3"/>
  <c r="X39" i="3"/>
  <c r="W39" i="3"/>
  <c r="U39" i="3"/>
  <c r="T39" i="3"/>
  <c r="P39" i="3"/>
  <c r="N39" i="3" s="1"/>
  <c r="BA38" i="3"/>
  <c r="T38" i="3"/>
  <c r="BB38" i="3" s="1"/>
  <c r="BE38" i="3" s="1"/>
  <c r="AI37" i="3"/>
  <c r="Y37" i="3"/>
  <c r="W37" i="3"/>
  <c r="V37" i="3"/>
  <c r="U37" i="3"/>
  <c r="T37" i="3"/>
  <c r="P37" i="3"/>
  <c r="N37" i="3" s="1"/>
  <c r="BB36" i="3"/>
  <c r="BE36" i="3" s="1"/>
  <c r="BA36" i="3"/>
  <c r="T36" i="3"/>
  <c r="AY36" i="3" s="1"/>
  <c r="AJ35" i="3"/>
  <c r="AI35" i="3"/>
  <c r="AH35" i="3"/>
  <c r="T35" i="3"/>
  <c r="P35" i="3"/>
  <c r="N35" i="3" s="1"/>
  <c r="BA34" i="3"/>
  <c r="BB34" i="3" s="1"/>
  <c r="BE34" i="3" s="1"/>
  <c r="AZ34" i="3"/>
  <c r="AY34" i="3"/>
  <c r="T34" i="3"/>
  <c r="T33" i="3"/>
  <c r="P33" i="3"/>
  <c r="N33" i="3" s="1"/>
  <c r="BA32" i="3"/>
  <c r="T32" i="3"/>
  <c r="BA31" i="3"/>
  <c r="T31" i="3"/>
  <c r="P31" i="3"/>
  <c r="N31" i="3" s="1"/>
  <c r="BB30" i="3"/>
  <c r="BE30" i="3" s="1"/>
  <c r="BA30" i="3"/>
  <c r="T30" i="3"/>
  <c r="AY30" i="3" s="1"/>
  <c r="AI29" i="3"/>
  <c r="AG29" i="3"/>
  <c r="AF29" i="3"/>
  <c r="W29" i="3"/>
  <c r="U29" i="3"/>
  <c r="T29" i="3"/>
  <c r="P29" i="3"/>
  <c r="N29" i="3" s="1"/>
  <c r="BA28" i="3"/>
  <c r="T28" i="3"/>
  <c r="BB28" i="3" s="1"/>
  <c r="BE28" i="3" s="1"/>
  <c r="T27" i="3"/>
  <c r="P27" i="3"/>
  <c r="N27" i="3"/>
  <c r="BA26" i="3"/>
  <c r="BB26" i="3" s="1"/>
  <c r="BE26" i="3" s="1"/>
  <c r="AY26" i="3"/>
  <c r="T26" i="3"/>
  <c r="BA25" i="3"/>
  <c r="BB25" i="3" s="1"/>
  <c r="AZ25" i="3"/>
  <c r="AY25" i="3"/>
  <c r="V25" i="3"/>
  <c r="T25" i="3"/>
  <c r="P25" i="3"/>
  <c r="N25" i="3"/>
  <c r="U25" i="3" s="1"/>
  <c r="BA24" i="3"/>
  <c r="T24" i="3"/>
  <c r="BB24" i="3" s="1"/>
  <c r="BE24" i="3" s="1"/>
  <c r="AI23" i="3"/>
  <c r="AG23" i="3"/>
  <c r="AD23" i="3"/>
  <c r="AC23" i="3"/>
  <c r="AB23" i="3"/>
  <c r="AA23" i="3"/>
  <c r="Z23" i="3"/>
  <c r="Y23" i="3"/>
  <c r="U23" i="3"/>
  <c r="T23" i="3"/>
  <c r="P23" i="3"/>
  <c r="N23" i="3"/>
  <c r="BA22" i="3"/>
  <c r="BB22" i="3" s="1"/>
  <c r="AZ22" i="3"/>
  <c r="AY22" i="3"/>
  <c r="T22" i="3"/>
  <c r="T21" i="3"/>
  <c r="P21" i="3"/>
  <c r="N21" i="3" s="1"/>
  <c r="BE20" i="3"/>
  <c r="BB20" i="3"/>
  <c r="BA20" i="3"/>
  <c r="T20" i="3"/>
  <c r="AY20" i="3" s="1"/>
  <c r="AS19" i="3"/>
  <c r="AI19" i="3"/>
  <c r="AH19" i="3"/>
  <c r="AG19" i="3"/>
  <c r="AE19" i="3"/>
  <c r="V19" i="3"/>
  <c r="T19" i="3"/>
  <c r="P19" i="3"/>
  <c r="N19" i="3" s="1"/>
  <c r="BA18" i="3"/>
  <c r="T18" i="3"/>
  <c r="BB18" i="3" s="1"/>
  <c r="BE18" i="3" s="1"/>
  <c r="T17" i="3"/>
  <c r="P17" i="3"/>
  <c r="N17" i="3" s="1"/>
  <c r="BA16" i="3"/>
  <c r="BB16" i="3" s="1"/>
  <c r="BE16" i="3" s="1"/>
  <c r="AY16" i="3"/>
  <c r="BD16" i="3" s="1"/>
  <c r="T16" i="3"/>
  <c r="T15" i="3"/>
  <c r="P15" i="3"/>
  <c r="N15" i="3" s="1"/>
  <c r="BE14" i="3"/>
  <c r="BA14" i="3"/>
  <c r="T14" i="3"/>
  <c r="BB14" i="3" s="1"/>
  <c r="BA13" i="3"/>
  <c r="AZ13" i="3"/>
  <c r="AY13" i="3"/>
  <c r="BD13" i="3" s="1"/>
  <c r="T13" i="3"/>
  <c r="BB13" i="3" s="1"/>
  <c r="P13" i="3"/>
  <c r="N13" i="3" s="1"/>
  <c r="BA12" i="3"/>
  <c r="BB12" i="3" s="1"/>
  <c r="BE12" i="3" s="1"/>
  <c r="AY12" i="3"/>
  <c r="BD12" i="3" s="1"/>
  <c r="T12" i="3"/>
  <c r="BB11" i="3"/>
  <c r="BA11" i="3"/>
  <c r="T11" i="3"/>
  <c r="P11" i="3"/>
  <c r="N11" i="3"/>
  <c r="U11" i="3" s="1"/>
  <c r="AY11" i="3" s="1"/>
  <c r="AZ11" i="3" s="1"/>
  <c r="BA10" i="3"/>
  <c r="T10" i="3"/>
  <c r="BB10" i="3" s="1"/>
  <c r="BE10" i="3" s="1"/>
  <c r="AC9" i="3"/>
  <c r="Z9" i="3"/>
  <c r="Y9" i="3"/>
  <c r="X9" i="3"/>
  <c r="W9" i="3"/>
  <c r="V9" i="3"/>
  <c r="U9" i="3"/>
  <c r="T9" i="3"/>
  <c r="P9" i="3"/>
  <c r="N9" i="3"/>
  <c r="AA9" i="3" s="1"/>
  <c r="BA8" i="3"/>
  <c r="T8" i="3"/>
  <c r="BB8" i="3" s="1"/>
  <c r="BE8" i="3" s="1"/>
  <c r="AA7" i="3"/>
  <c r="Z7" i="3"/>
  <c r="Y7" i="3"/>
  <c r="X7" i="3"/>
  <c r="W7" i="3"/>
  <c r="T7" i="3"/>
  <c r="P7" i="3"/>
  <c r="N7" i="3"/>
  <c r="AC7" i="3" s="1"/>
  <c r="BA6" i="3"/>
  <c r="BB6" i="3" s="1"/>
  <c r="BE6" i="3" s="1"/>
  <c r="AZ6" i="3"/>
  <c r="AY6" i="3"/>
  <c r="T6" i="3"/>
  <c r="AB21" i="3" l="1"/>
  <c r="AC21" i="3"/>
  <c r="AA21" i="3"/>
  <c r="Z21" i="3"/>
  <c r="Y21" i="3"/>
  <c r="X21" i="3"/>
  <c r="W21" i="3"/>
  <c r="AI21" i="3"/>
  <c r="V21" i="3"/>
  <c r="AD21" i="3"/>
  <c r="AY21" i="3" s="1"/>
  <c r="AH21" i="3"/>
  <c r="AG21" i="3"/>
  <c r="AF21" i="3"/>
  <c r="AE21" i="3"/>
  <c r="U21" i="3"/>
  <c r="BE118" i="3"/>
  <c r="BD118" i="3"/>
  <c r="AA15" i="3"/>
  <c r="BA15" i="3" s="1"/>
  <c r="Z15" i="3"/>
  <c r="X15" i="3"/>
  <c r="Y15" i="3"/>
  <c r="W15" i="3"/>
  <c r="V15" i="3"/>
  <c r="U15" i="3"/>
  <c r="AB15" i="3"/>
  <c r="AC15" i="3"/>
  <c r="BD22" i="3"/>
  <c r="BE22" i="3"/>
  <c r="AE85" i="3"/>
  <c r="Z85" i="3"/>
  <c r="AK85" i="3"/>
  <c r="X85" i="3"/>
  <c r="AY85" i="3" s="1"/>
  <c r="AJ85" i="3"/>
  <c r="W85" i="3"/>
  <c r="AB85" i="3"/>
  <c r="AA85" i="3"/>
  <c r="Y85" i="3"/>
  <c r="V85" i="3"/>
  <c r="AL85" i="3"/>
  <c r="AI85" i="3"/>
  <c r="AH85" i="3"/>
  <c r="AG85" i="3"/>
  <c r="AF85" i="3"/>
  <c r="AD85" i="3"/>
  <c r="AC85" i="3"/>
  <c r="U85" i="3"/>
  <c r="AB17" i="3"/>
  <c r="AA17" i="3"/>
  <c r="Z17" i="3"/>
  <c r="Y17" i="3"/>
  <c r="X17" i="3"/>
  <c r="W17" i="3"/>
  <c r="V17" i="3"/>
  <c r="AC17" i="3"/>
  <c r="U17" i="3"/>
  <c r="Y31" i="3"/>
  <c r="X31" i="3"/>
  <c r="W31" i="3"/>
  <c r="V31" i="3"/>
  <c r="U31" i="3"/>
  <c r="BB32" i="3"/>
  <c r="BE32" i="3" s="1"/>
  <c r="AY32" i="3"/>
  <c r="BB60" i="3"/>
  <c r="BE60" i="3" s="1"/>
  <c r="AY60" i="3"/>
  <c r="BE64" i="3"/>
  <c r="BD64" i="3"/>
  <c r="V67" i="3"/>
  <c r="U67" i="3"/>
  <c r="W168" i="3"/>
  <c r="BD6" i="3"/>
  <c r="BD11" i="3"/>
  <c r="BD25" i="3"/>
  <c r="Z55" i="3"/>
  <c r="V55" i="3"/>
  <c r="AE55" i="3"/>
  <c r="AD55" i="3"/>
  <c r="AC55" i="3"/>
  <c r="AB55" i="3"/>
  <c r="AA55" i="3"/>
  <c r="Y55" i="3"/>
  <c r="X55" i="3"/>
  <c r="AY57" i="3"/>
  <c r="BB80" i="3"/>
  <c r="BE80" i="3" s="1"/>
  <c r="AY80" i="3"/>
  <c r="BD30" i="3"/>
  <c r="AZ30" i="3"/>
  <c r="AR33" i="3"/>
  <c r="AF33" i="3"/>
  <c r="AQ33" i="3"/>
  <c r="AD33" i="3"/>
  <c r="AP33" i="3"/>
  <c r="AC33" i="3"/>
  <c r="AO33" i="3"/>
  <c r="AB33" i="3"/>
  <c r="AN33" i="3"/>
  <c r="AA33" i="3"/>
  <c r="AM33" i="3"/>
  <c r="Z33" i="3"/>
  <c r="AL33" i="3"/>
  <c r="Y33" i="3"/>
  <c r="AK33" i="3"/>
  <c r="X33" i="3"/>
  <c r="AS33" i="3"/>
  <c r="AE33" i="3"/>
  <c r="AY55" i="3"/>
  <c r="AM71" i="3"/>
  <c r="AA71" i="3"/>
  <c r="BA71" i="3" s="1"/>
  <c r="BB71" i="3" s="1"/>
  <c r="AK71" i="3"/>
  <c r="Y71" i="3"/>
  <c r="AV71" i="3"/>
  <c r="AJ71" i="3"/>
  <c r="X71" i="3"/>
  <c r="AQ71" i="3"/>
  <c r="AB71" i="3"/>
  <c r="AL71" i="3"/>
  <c r="U71" i="3"/>
  <c r="AY71" i="3" s="1"/>
  <c r="AF71" i="3"/>
  <c r="AE71" i="3"/>
  <c r="AU71" i="3"/>
  <c r="AU144" i="3" s="1"/>
  <c r="AD71" i="3"/>
  <c r="AT71" i="3"/>
  <c r="AC71" i="3"/>
  <c r="AS71" i="3"/>
  <c r="Z71" i="3"/>
  <c r="AR71" i="3"/>
  <c r="W71" i="3"/>
  <c r="AP71" i="3"/>
  <c r="V71" i="3"/>
  <c r="AO71" i="3"/>
  <c r="AH71" i="3"/>
  <c r="AG71" i="3"/>
  <c r="W89" i="3"/>
  <c r="V89" i="3"/>
  <c r="U89" i="3"/>
  <c r="BD120" i="3"/>
  <c r="AZ120" i="3"/>
  <c r="AZ62" i="3"/>
  <c r="BD78" i="3"/>
  <c r="AZ78" i="3"/>
  <c r="BD104" i="3"/>
  <c r="AZ104" i="3"/>
  <c r="AY8" i="3"/>
  <c r="U33" i="3"/>
  <c r="AE45" i="3"/>
  <c r="AA45" i="3"/>
  <c r="BA45" i="3" s="1"/>
  <c r="BB45" i="3" s="1"/>
  <c r="Z45" i="3"/>
  <c r="Y45" i="3"/>
  <c r="X45" i="3"/>
  <c r="W45" i="3"/>
  <c r="V45" i="3"/>
  <c r="AI45" i="3"/>
  <c r="U45" i="3"/>
  <c r="AH45" i="3"/>
  <c r="AC45" i="3"/>
  <c r="AB45" i="3"/>
  <c r="AO59" i="3"/>
  <c r="AC59" i="3"/>
  <c r="AK59" i="3"/>
  <c r="Y59" i="3"/>
  <c r="AF59" i="3"/>
  <c r="AS59" i="3"/>
  <c r="AE59" i="3"/>
  <c r="AR59" i="3"/>
  <c r="AD59" i="3"/>
  <c r="AQ59" i="3"/>
  <c r="AB59" i="3"/>
  <c r="AP59" i="3"/>
  <c r="AA59" i="3"/>
  <c r="AN59" i="3"/>
  <c r="Z59" i="3"/>
  <c r="AM59" i="3"/>
  <c r="X59" i="3"/>
  <c r="W59" i="3"/>
  <c r="AH59" i="3"/>
  <c r="AG59" i="3"/>
  <c r="BE92" i="3"/>
  <c r="BD92" i="3"/>
  <c r="AY10" i="3"/>
  <c r="V33" i="3"/>
  <c r="AI71" i="3"/>
  <c r="AZ105" i="3"/>
  <c r="AY24" i="3"/>
  <c r="BD26" i="3"/>
  <c r="AH29" i="3"/>
  <c r="V29" i="3"/>
  <c r="AD29" i="3"/>
  <c r="AC29" i="3"/>
  <c r="AB29" i="3"/>
  <c r="AA29" i="3"/>
  <c r="Z29" i="3"/>
  <c r="Y29" i="3"/>
  <c r="X29" i="3"/>
  <c r="AE29" i="3"/>
  <c r="W33" i="3"/>
  <c r="AY56" i="3"/>
  <c r="BB56" i="3"/>
  <c r="BE56" i="3" s="1"/>
  <c r="U59" i="3"/>
  <c r="AN71" i="3"/>
  <c r="AG33" i="3"/>
  <c r="AR35" i="3"/>
  <c r="AF35" i="3"/>
  <c r="AN35" i="3"/>
  <c r="AB35" i="3"/>
  <c r="AS35" i="3"/>
  <c r="AS144" i="3" s="1"/>
  <c r="AD35" i="3"/>
  <c r="AQ35" i="3"/>
  <c r="AC35" i="3"/>
  <c r="AP35" i="3"/>
  <c r="AA35" i="3"/>
  <c r="AO35" i="3"/>
  <c r="Z35" i="3"/>
  <c r="AM35" i="3"/>
  <c r="Y35" i="3"/>
  <c r="AL35" i="3"/>
  <c r="X35" i="3"/>
  <c r="AK35" i="3"/>
  <c r="W35" i="3"/>
  <c r="AY35" i="3" s="1"/>
  <c r="AE35" i="3"/>
  <c r="W43" i="3"/>
  <c r="U43" i="3"/>
  <c r="AD45" i="3"/>
  <c r="V59" i="3"/>
  <c r="AT79" i="3"/>
  <c r="AH79" i="3"/>
  <c r="V79" i="3"/>
  <c r="AR79" i="3"/>
  <c r="AF79" i="3"/>
  <c r="AQ79" i="3"/>
  <c r="AE79" i="3"/>
  <c r="AJ79" i="3"/>
  <c r="AU79" i="3"/>
  <c r="AC79" i="3"/>
  <c r="AV79" i="3"/>
  <c r="AA79" i="3"/>
  <c r="AS79" i="3"/>
  <c r="Z79" i="3"/>
  <c r="AP79" i="3"/>
  <c r="Y79" i="3"/>
  <c r="AO79" i="3"/>
  <c r="X79" i="3"/>
  <c r="AN79" i="3"/>
  <c r="W79" i="3"/>
  <c r="AM79" i="3"/>
  <c r="U79" i="3"/>
  <c r="AL79" i="3"/>
  <c r="AK79" i="3"/>
  <c r="AD79" i="3"/>
  <c r="AB79" i="3"/>
  <c r="AS83" i="3"/>
  <c r="AG83" i="3"/>
  <c r="U83" i="3"/>
  <c r="AQ83" i="3"/>
  <c r="AE83" i="3"/>
  <c r="AP83" i="3"/>
  <c r="AD83" i="3"/>
  <c r="AO83" i="3"/>
  <c r="Z83" i="3"/>
  <c r="AN83" i="3"/>
  <c r="Y83" i="3"/>
  <c r="AM83" i="3"/>
  <c r="X83" i="3"/>
  <c r="AL83" i="3"/>
  <c r="W83" i="3"/>
  <c r="AJ83" i="3"/>
  <c r="AK83" i="3"/>
  <c r="AI83" i="3"/>
  <c r="AH83" i="3"/>
  <c r="AF83" i="3"/>
  <c r="AC83" i="3"/>
  <c r="AB83" i="3"/>
  <c r="AA83" i="3"/>
  <c r="V83" i="3"/>
  <c r="AT83" i="3"/>
  <c r="AR83" i="3"/>
  <c r="AH33" i="3"/>
  <c r="BB43" i="3"/>
  <c r="AF45" i="3"/>
  <c r="AI59" i="3"/>
  <c r="BE90" i="3"/>
  <c r="BD90" i="3"/>
  <c r="AY132" i="3"/>
  <c r="BB132" i="3"/>
  <c r="BE132" i="3" s="1"/>
  <c r="AQ168" i="3"/>
  <c r="W27" i="3"/>
  <c r="AC27" i="3"/>
  <c r="AB27" i="3"/>
  <c r="AA27" i="3"/>
  <c r="Z27" i="3"/>
  <c r="Y27" i="3"/>
  <c r="X27" i="3"/>
  <c r="V27" i="3"/>
  <c r="AD27" i="3"/>
  <c r="AR19" i="3"/>
  <c r="AF19" i="3"/>
  <c r="AP19" i="3"/>
  <c r="AP144" i="3" s="1"/>
  <c r="AC19" i="3"/>
  <c r="AO19" i="3"/>
  <c r="AB19" i="3"/>
  <c r="AN19" i="3"/>
  <c r="AA19" i="3"/>
  <c r="AM19" i="3"/>
  <c r="Z19" i="3"/>
  <c r="AL19" i="3"/>
  <c r="Y19" i="3"/>
  <c r="AK19" i="3"/>
  <c r="X19" i="3"/>
  <c r="AJ19" i="3"/>
  <c r="W19" i="3"/>
  <c r="W144" i="3" s="1"/>
  <c r="AQ19" i="3"/>
  <c r="AQ144" i="3" s="1"/>
  <c r="AQ169" i="3" s="1"/>
  <c r="AD19" i="3"/>
  <c r="BD20" i="3"/>
  <c r="AZ20" i="3"/>
  <c r="AI33" i="3"/>
  <c r="U35" i="3"/>
  <c r="AB41" i="3"/>
  <c r="X41" i="3"/>
  <c r="AD41" i="3"/>
  <c r="AC41" i="3"/>
  <c r="AA41" i="3"/>
  <c r="BA41" i="3" s="1"/>
  <c r="Z41" i="3"/>
  <c r="Y41" i="3"/>
  <c r="W41" i="3"/>
  <c r="V43" i="3"/>
  <c r="AG45" i="3"/>
  <c r="AJ59" i="3"/>
  <c r="V69" i="3"/>
  <c r="U69" i="3"/>
  <c r="AZ72" i="3"/>
  <c r="AU83" i="3"/>
  <c r="X95" i="3"/>
  <c r="AB95" i="3"/>
  <c r="AA95" i="3"/>
  <c r="Z95" i="3"/>
  <c r="W95" i="3"/>
  <c r="V95" i="3"/>
  <c r="U95" i="3"/>
  <c r="AY95" i="3" s="1"/>
  <c r="Y95" i="3"/>
  <c r="BA151" i="3"/>
  <c r="AJ33" i="3"/>
  <c r="V35" i="3"/>
  <c r="AB37" i="3"/>
  <c r="X37" i="3"/>
  <c r="AG37" i="3"/>
  <c r="AF37" i="3"/>
  <c r="AE37" i="3"/>
  <c r="AD37" i="3"/>
  <c r="AC37" i="3"/>
  <c r="AA37" i="3"/>
  <c r="Z37" i="3"/>
  <c r="AY37" i="3" s="1"/>
  <c r="AH37" i="3"/>
  <c r="AY41" i="3"/>
  <c r="X43" i="3"/>
  <c r="AY43" i="3" s="1"/>
  <c r="AL59" i="3"/>
  <c r="AG79" i="3"/>
  <c r="AV83" i="3"/>
  <c r="AZ114" i="3"/>
  <c r="BD114" i="3"/>
  <c r="W123" i="3"/>
  <c r="V123" i="3"/>
  <c r="U123" i="3"/>
  <c r="U19" i="3"/>
  <c r="U27" i="3"/>
  <c r="AG35" i="3"/>
  <c r="U41" i="3"/>
  <c r="Y43" i="3"/>
  <c r="BB54" i="3"/>
  <c r="BE54" i="3" s="1"/>
  <c r="AY54" i="3"/>
  <c r="AI79" i="3"/>
  <c r="AC127" i="3"/>
  <c r="Y127" i="3"/>
  <c r="X127" i="3"/>
  <c r="W127" i="3"/>
  <c r="V127" i="3"/>
  <c r="U127" i="3"/>
  <c r="AF127" i="3"/>
  <c r="AE127" i="3"/>
  <c r="AB127" i="3"/>
  <c r="AD127" i="3"/>
  <c r="AA127" i="3"/>
  <c r="BA127" i="3" s="1"/>
  <c r="BB138" i="3"/>
  <c r="AY138" i="3"/>
  <c r="T143" i="3"/>
  <c r="AH39" i="3"/>
  <c r="V39" i="3"/>
  <c r="AD39" i="3"/>
  <c r="AG39" i="3"/>
  <c r="BB48" i="3"/>
  <c r="BD50" i="3"/>
  <c r="AY89" i="3"/>
  <c r="BB89" i="3"/>
  <c r="AY94" i="3"/>
  <c r="BB94" i="3"/>
  <c r="BE94" i="3" s="1"/>
  <c r="AB99" i="3"/>
  <c r="AA99" i="3"/>
  <c r="Z99" i="3"/>
  <c r="Y99" i="3"/>
  <c r="X99" i="3"/>
  <c r="U99" i="3"/>
  <c r="AY99" i="3" s="1"/>
  <c r="X133" i="3"/>
  <c r="Z133" i="3"/>
  <c r="Y133" i="3"/>
  <c r="W133" i="3"/>
  <c r="V133" i="3"/>
  <c r="U133" i="3"/>
  <c r="BD137" i="3"/>
  <c r="BA73" i="3"/>
  <c r="X129" i="3"/>
  <c r="Z129" i="3"/>
  <c r="Y129" i="3"/>
  <c r="W129" i="3"/>
  <c r="V129" i="3"/>
  <c r="AG168" i="3"/>
  <c r="T144" i="3"/>
  <c r="AH168" i="3"/>
  <c r="AJ168" i="3"/>
  <c r="AB7" i="3"/>
  <c r="AH23" i="3"/>
  <c r="BA23" i="3" s="1"/>
  <c r="V23" i="3"/>
  <c r="AE23" i="3"/>
  <c r="BD36" i="3"/>
  <c r="Y39" i="3"/>
  <c r="Y47" i="3"/>
  <c r="AG47" i="3"/>
  <c r="U47" i="3"/>
  <c r="AF47" i="3"/>
  <c r="BA47" i="3" s="1"/>
  <c r="BB52" i="3"/>
  <c r="BE52" i="3" s="1"/>
  <c r="X53" i="3"/>
  <c r="AL53" i="3"/>
  <c r="AG65" i="3"/>
  <c r="U65" i="3"/>
  <c r="AE65" i="3"/>
  <c r="AD65" i="3"/>
  <c r="AH65" i="3"/>
  <c r="AA65" i="3"/>
  <c r="AK65" i="3"/>
  <c r="AY67" i="3"/>
  <c r="BB67" i="3"/>
  <c r="AY74" i="3"/>
  <c r="AY77" i="3"/>
  <c r="AZ97" i="3"/>
  <c r="BB102" i="3"/>
  <c r="BE102" i="3" s="1"/>
  <c r="AY102" i="3"/>
  <c r="V107" i="3"/>
  <c r="X107" i="3"/>
  <c r="W107" i="3"/>
  <c r="U107" i="3"/>
  <c r="Z143" i="3"/>
  <c r="W164" i="3"/>
  <c r="W170" i="3" s="1"/>
  <c r="AB9" i="3"/>
  <c r="AY9" i="3" s="1"/>
  <c r="AZ12" i="3"/>
  <c r="AY18" i="3"/>
  <c r="AF23" i="3"/>
  <c r="AY28" i="3"/>
  <c r="AZ36" i="3"/>
  <c r="AY38" i="3"/>
  <c r="Z39" i="3"/>
  <c r="AH47" i="3"/>
  <c r="AE49" i="3"/>
  <c r="AA49" i="3"/>
  <c r="AF49" i="3"/>
  <c r="AY49" i="3" s="1"/>
  <c r="AY52" i="3"/>
  <c r="Y53" i="3"/>
  <c r="AN53" i="3"/>
  <c r="AE63" i="3"/>
  <c r="AS63" i="3"/>
  <c r="AH87" i="3"/>
  <c r="V87" i="3"/>
  <c r="AF87" i="3"/>
  <c r="AD87" i="3"/>
  <c r="AC87" i="3"/>
  <c r="AA87" i="3"/>
  <c r="BA87" i="3" s="1"/>
  <c r="Z87" i="3"/>
  <c r="Y87" i="3"/>
  <c r="BB87" i="3" s="1"/>
  <c r="X87" i="3"/>
  <c r="AL87" i="3"/>
  <c r="U87" i="3"/>
  <c r="W93" i="3"/>
  <c r="AA93" i="3"/>
  <c r="Z93" i="3"/>
  <c r="Y93" i="3"/>
  <c r="X93" i="3"/>
  <c r="V93" i="3"/>
  <c r="AB93" i="3"/>
  <c r="U93" i="3"/>
  <c r="BB130" i="3"/>
  <c r="BE130" i="3" s="1"/>
  <c r="N143" i="3"/>
  <c r="AE7" i="3"/>
  <c r="AD7" i="3"/>
  <c r="BD34" i="3"/>
  <c r="AA39" i="3"/>
  <c r="AI47" i="3"/>
  <c r="Z53" i="3"/>
  <c r="AO53" i="3"/>
  <c r="AF63" i="3"/>
  <c r="V65" i="3"/>
  <c r="BB73" i="3"/>
  <c r="AA81" i="3"/>
  <c r="BA81" i="3" s="1"/>
  <c r="Y81" i="3"/>
  <c r="X81" i="3"/>
  <c r="Z81" i="3"/>
  <c r="W81" i="3"/>
  <c r="AH81" i="3"/>
  <c r="AD103" i="3"/>
  <c r="AC103" i="3"/>
  <c r="AB103" i="3"/>
  <c r="AA103" i="3"/>
  <c r="Z103" i="3"/>
  <c r="Y103" i="3"/>
  <c r="W103" i="3"/>
  <c r="V103" i="3"/>
  <c r="U103" i="3"/>
  <c r="X117" i="3"/>
  <c r="Y117" i="3"/>
  <c r="W117" i="3"/>
  <c r="V117" i="3"/>
  <c r="AH117" i="3"/>
  <c r="U117" i="3"/>
  <c r="AG117" i="3"/>
  <c r="AF117" i="3"/>
  <c r="AE117" i="3"/>
  <c r="AD117" i="3"/>
  <c r="AB117" i="3"/>
  <c r="BA130" i="3"/>
  <c r="AF7" i="3"/>
  <c r="AY14" i="3"/>
  <c r="AZ16" i="3"/>
  <c r="AZ26" i="3"/>
  <c r="AB39" i="3"/>
  <c r="AZ40" i="3"/>
  <c r="AB53" i="3"/>
  <c r="AP53" i="3"/>
  <c r="AT63" i="3"/>
  <c r="AH63" i="3"/>
  <c r="V63" i="3"/>
  <c r="AP63" i="3"/>
  <c r="AD63" i="3"/>
  <c r="BA63" i="3" s="1"/>
  <c r="AG63" i="3"/>
  <c r="W65" i="3"/>
  <c r="AY65" i="3" s="1"/>
  <c r="BB77" i="3"/>
  <c r="BD88" i="3"/>
  <c r="AG7" i="3"/>
  <c r="W23" i="3"/>
  <c r="AC39" i="3"/>
  <c r="BB44" i="3"/>
  <c r="BE44" i="3" s="1"/>
  <c r="W47" i="3"/>
  <c r="V51" i="3"/>
  <c r="AC53" i="3"/>
  <c r="AR53" i="3"/>
  <c r="AJ57" i="3"/>
  <c r="X57" i="3"/>
  <c r="BB57" i="3" s="1"/>
  <c r="AF57" i="3"/>
  <c r="AE57" i="3"/>
  <c r="BA57" i="3" s="1"/>
  <c r="Y61" i="3"/>
  <c r="U61" i="3"/>
  <c r="AF61" i="3"/>
  <c r="BA61" i="3" s="1"/>
  <c r="AI63" i="3"/>
  <c r="X65" i="3"/>
  <c r="AY96" i="3"/>
  <c r="BB98" i="3"/>
  <c r="BE98" i="3" s="1"/>
  <c r="AY98" i="3"/>
  <c r="BD100" i="3"/>
  <c r="AZ100" i="3"/>
  <c r="X103" i="3"/>
  <c r="AD113" i="3"/>
  <c r="Z113" i="3"/>
  <c r="Y113" i="3"/>
  <c r="X113" i="3"/>
  <c r="W113" i="3"/>
  <c r="V113" i="3"/>
  <c r="AF113" i="3"/>
  <c r="BA113" i="3" s="1"/>
  <c r="BB113" i="3" s="1"/>
  <c r="AE113" i="3"/>
  <c r="AC113" i="3"/>
  <c r="AB113" i="3"/>
  <c r="U113" i="3"/>
  <c r="AY113" i="3" s="1"/>
  <c r="AH113" i="3"/>
  <c r="Z117" i="3"/>
  <c r="BD136" i="3"/>
  <c r="AZ136" i="3"/>
  <c r="U7" i="3"/>
  <c r="X23" i="3"/>
  <c r="AE39" i="3"/>
  <c r="BB40" i="3"/>
  <c r="BE40" i="3" s="1"/>
  <c r="AY44" i="3"/>
  <c r="X47" i="3"/>
  <c r="W51" i="3"/>
  <c r="AD53" i="3"/>
  <c r="AG57" i="3"/>
  <c r="BD58" i="3"/>
  <c r="U63" i="3"/>
  <c r="AJ63" i="3"/>
  <c r="Y65" i="3"/>
  <c r="BB70" i="3"/>
  <c r="BE70" i="3" s="1"/>
  <c r="AY70" i="3"/>
  <c r="AS75" i="3"/>
  <c r="AG75" i="3"/>
  <c r="U75" i="3"/>
  <c r="BB75" i="3" s="1"/>
  <c r="AQ75" i="3"/>
  <c r="AE75" i="3"/>
  <c r="AP75" i="3"/>
  <c r="AD75" i="3"/>
  <c r="BA75" i="3" s="1"/>
  <c r="AL75" i="3"/>
  <c r="W75" i="3"/>
  <c r="AH75" i="3"/>
  <c r="AK75" i="3"/>
  <c r="U81" i="3"/>
  <c r="BB81" i="3" s="1"/>
  <c r="AA117" i="3"/>
  <c r="BA128" i="3"/>
  <c r="AB131" i="3"/>
  <c r="V7" i="3"/>
  <c r="AF39" i="3"/>
  <c r="AQ53" i="3"/>
  <c r="AE53" i="3"/>
  <c r="AM53" i="3"/>
  <c r="AA53" i="3"/>
  <c r="AF53" i="3"/>
  <c r="AT53" i="3"/>
  <c r="AT144" i="3" s="1"/>
  <c r="AT169" i="3" s="1"/>
  <c r="AY61" i="3"/>
  <c r="Z65" i="3"/>
  <c r="AZ66" i="3"/>
  <c r="BD66" i="3"/>
  <c r="V81" i="3"/>
  <c r="BB108" i="3"/>
  <c r="BE108" i="3" s="1"/>
  <c r="AY108" i="3"/>
  <c r="U111" i="3"/>
  <c r="BB111" i="3" s="1"/>
  <c r="Z111" i="3"/>
  <c r="X111" i="3"/>
  <c r="AC117" i="3"/>
  <c r="BD162" i="3"/>
  <c r="BA115" i="3"/>
  <c r="BB151" i="3"/>
  <c r="AY151" i="3"/>
  <c r="BD151" i="3" s="1"/>
  <c r="U164" i="3"/>
  <c r="U170" i="3" s="1"/>
  <c r="AR168" i="3"/>
  <c r="AA121" i="3"/>
  <c r="AE121" i="3"/>
  <c r="AD121" i="3"/>
  <c r="AC121" i="3"/>
  <c r="AB121" i="3"/>
  <c r="Z121" i="3"/>
  <c r="AY140" i="3"/>
  <c r="AS168" i="3"/>
  <c r="V168" i="3"/>
  <c r="AT168" i="3"/>
  <c r="AC163" i="3"/>
  <c r="AC164" i="3" s="1"/>
  <c r="AC170" i="3" s="1"/>
  <c r="AB163" i="3"/>
  <c r="AB164" i="3" s="1"/>
  <c r="AB170" i="3" s="1"/>
  <c r="Z163" i="3"/>
  <c r="Y115" i="3"/>
  <c r="W115" i="3"/>
  <c r="V115" i="3"/>
  <c r="U115" i="3"/>
  <c r="AY115" i="3" s="1"/>
  <c r="BA124" i="3"/>
  <c r="BB124" i="3" s="1"/>
  <c r="BE124" i="3" s="1"/>
  <c r="AC125" i="3"/>
  <c r="AE143" i="3"/>
  <c r="AL134" i="3"/>
  <c r="AL143" i="3" s="1"/>
  <c r="Z134" i="3"/>
  <c r="AC134" i="3"/>
  <c r="AC143" i="3" s="1"/>
  <c r="AO134" i="3"/>
  <c r="AO143" i="3" s="1"/>
  <c r="AB134" i="3"/>
  <c r="AB143" i="3" s="1"/>
  <c r="AN134" i="3"/>
  <c r="AN143" i="3" s="1"/>
  <c r="AA134" i="3"/>
  <c r="AM134" i="3"/>
  <c r="AM143" i="3" s="1"/>
  <c r="Y134" i="3"/>
  <c r="Y143" i="3" s="1"/>
  <c r="AK134" i="3"/>
  <c r="AJ135" i="3" s="1"/>
  <c r="X134" i="3"/>
  <c r="W135" i="3" s="1"/>
  <c r="BB110" i="3"/>
  <c r="BE110" i="3" s="1"/>
  <c r="U143" i="3"/>
  <c r="AY124" i="3"/>
  <c r="AF143" i="3"/>
  <c r="AD134" i="3"/>
  <c r="AD135" i="3" s="1"/>
  <c r="BB105" i="3"/>
  <c r="BD105" i="3" s="1"/>
  <c r="BD106" i="3"/>
  <c r="AY110" i="3"/>
  <c r="BB126" i="3"/>
  <c r="BE126" i="3" s="1"/>
  <c r="AY126" i="3"/>
  <c r="AE134" i="3"/>
  <c r="BA162" i="3"/>
  <c r="BD86" i="3"/>
  <c r="AA109" i="3"/>
  <c r="BA109" i="3" s="1"/>
  <c r="BB109" i="3" s="1"/>
  <c r="AC109" i="3"/>
  <c r="AB109" i="3"/>
  <c r="X115" i="3"/>
  <c r="BB128" i="3"/>
  <c r="BE128" i="3" s="1"/>
  <c r="AL131" i="3"/>
  <c r="Z131" i="3"/>
  <c r="Y131" i="3"/>
  <c r="AK131" i="3"/>
  <c r="X131" i="3"/>
  <c r="AJ131" i="3"/>
  <c r="W131" i="3"/>
  <c r="AI131" i="3"/>
  <c r="V131" i="3"/>
  <c r="AH131" i="3"/>
  <c r="BA131" i="3" s="1"/>
  <c r="AX171" i="3"/>
  <c r="AX173" i="3" s="1"/>
  <c r="X163" i="3"/>
  <c r="X164" i="3" s="1"/>
  <c r="X170" i="3" s="1"/>
  <c r="W163" i="3"/>
  <c r="V163" i="3"/>
  <c r="U163" i="3"/>
  <c r="BB162" i="3"/>
  <c r="AY73" i="3"/>
  <c r="AC91" i="3"/>
  <c r="AY91" i="3" s="1"/>
  <c r="Y164" i="3"/>
  <c r="Y170" i="3" s="1"/>
  <c r="Y163" i="3"/>
  <c r="AD91" i="3"/>
  <c r="Z164" i="3"/>
  <c r="Z170" i="3" s="1"/>
  <c r="AA125" i="3"/>
  <c r="AI143" i="3"/>
  <c r="S145" i="3"/>
  <c r="AA163" i="3"/>
  <c r="BA163" i="3" s="1"/>
  <c r="AG91" i="3"/>
  <c r="AY116" i="3"/>
  <c r="AY130" i="3"/>
  <c r="BB141" i="3"/>
  <c r="BD141" i="3" s="1"/>
  <c r="BD158" i="3"/>
  <c r="BB97" i="3"/>
  <c r="BD97" i="3" s="1"/>
  <c r="U125" i="3"/>
  <c r="BD139" i="3"/>
  <c r="BD155" i="3"/>
  <c r="AX145" i="3"/>
  <c r="AK159" i="3"/>
  <c r="AK164" i="3" s="1"/>
  <c r="AK170" i="3" s="1"/>
  <c r="AW159" i="3"/>
  <c r="AW164" i="3" s="1"/>
  <c r="AW170" i="3" s="1"/>
  <c r="AW171" i="3" s="1"/>
  <c r="AW173" i="3" s="1"/>
  <c r="AD159" i="3"/>
  <c r="AD164" i="3" s="1"/>
  <c r="AD170" i="3" s="1"/>
  <c r="AP159" i="3"/>
  <c r="AP164" i="3" s="1"/>
  <c r="AP170" i="3" s="1"/>
  <c r="AF163" i="3"/>
  <c r="AU168" i="3"/>
  <c r="AF159" i="3"/>
  <c r="AF164" i="3" s="1"/>
  <c r="AF170" i="3" s="1"/>
  <c r="AR159" i="3"/>
  <c r="AR164" i="3" s="1"/>
  <c r="AR170" i="3" s="1"/>
  <c r="AV168" i="3"/>
  <c r="V159" i="3"/>
  <c r="AH159" i="3"/>
  <c r="AH164" i="3" s="1"/>
  <c r="AH170" i="3" s="1"/>
  <c r="AT159" i="3"/>
  <c r="AT164" i="3" s="1"/>
  <c r="AT170" i="3" s="1"/>
  <c r="W159" i="3"/>
  <c r="AI159" i="3"/>
  <c r="AI164" i="3" s="1"/>
  <c r="AI170" i="3" s="1"/>
  <c r="AZ21" i="3" l="1"/>
  <c r="AS169" i="3"/>
  <c r="AS145" i="3"/>
  <c r="BD113" i="3"/>
  <c r="AZ113" i="3"/>
  <c r="AZ65" i="3"/>
  <c r="AZ95" i="3"/>
  <c r="AU169" i="3"/>
  <c r="AU145" i="3"/>
  <c r="AL168" i="3"/>
  <c r="AZ9" i="3"/>
  <c r="BD9" i="3"/>
  <c r="BB29" i="3"/>
  <c r="AZ91" i="3"/>
  <c r="AZ49" i="3"/>
  <c r="AZ43" i="3"/>
  <c r="BD43" i="3"/>
  <c r="Y144" i="3"/>
  <c r="Y169" i="3" s="1"/>
  <c r="AZ71" i="3"/>
  <c r="BD71" i="3"/>
  <c r="AZ85" i="3"/>
  <c r="Y168" i="3"/>
  <c r="W169" i="3"/>
  <c r="W145" i="3"/>
  <c r="BB63" i="3"/>
  <c r="BB39" i="3"/>
  <c r="AZ37" i="3"/>
  <c r="AZ35" i="3"/>
  <c r="BD116" i="3"/>
  <c r="AZ116" i="3"/>
  <c r="AJ144" i="3"/>
  <c r="AZ110" i="3"/>
  <c r="BD110" i="3"/>
  <c r="AD143" i="3"/>
  <c r="AY143" i="3" s="1"/>
  <c r="AT145" i="3"/>
  <c r="AY59" i="3"/>
  <c r="BA117" i="3"/>
  <c r="BB117" i="3" s="1"/>
  <c r="BD98" i="3"/>
  <c r="AZ98" i="3"/>
  <c r="BA103" i="3"/>
  <c r="BD18" i="3"/>
  <c r="AZ18" i="3"/>
  <c r="BD94" i="3"/>
  <c r="AZ94" i="3"/>
  <c r="T145" i="3"/>
  <c r="T168" i="3"/>
  <c r="BB27" i="3"/>
  <c r="AY27" i="3"/>
  <c r="BA95" i="3"/>
  <c r="AK135" i="3"/>
  <c r="AZ60" i="3"/>
  <c r="BD60" i="3"/>
  <c r="BD130" i="3"/>
  <c r="AZ130" i="3"/>
  <c r="AY131" i="3"/>
  <c r="BB131" i="3"/>
  <c r="AZ44" i="3"/>
  <c r="BD44" i="3"/>
  <c r="AY117" i="3"/>
  <c r="BA91" i="3"/>
  <c r="BB91" i="3" s="1"/>
  <c r="BD91" i="3" s="1"/>
  <c r="BB23" i="3"/>
  <c r="BB129" i="3"/>
  <c r="AY129" i="3"/>
  <c r="BD138" i="3"/>
  <c r="AZ138" i="3"/>
  <c r="BB19" i="3"/>
  <c r="AY19" i="3"/>
  <c r="BA27" i="3"/>
  <c r="Y135" i="3"/>
  <c r="AZ115" i="3"/>
  <c r="AZ41" i="3"/>
  <c r="BD41" i="3"/>
  <c r="AO144" i="3"/>
  <c r="AO169" i="3" s="1"/>
  <c r="AE135" i="3"/>
  <c r="AE144" i="3" s="1"/>
  <c r="AL135" i="3"/>
  <c r="AL144" i="3" s="1"/>
  <c r="BA33" i="3"/>
  <c r="BB33" i="3" s="1"/>
  <c r="AZ80" i="3"/>
  <c r="BD80" i="3"/>
  <c r="AY53" i="3"/>
  <c r="AY17" i="3"/>
  <c r="AY111" i="3"/>
  <c r="BA134" i="3"/>
  <c r="AS171" i="3"/>
  <c r="AS173" i="3" s="1"/>
  <c r="BA159" i="3"/>
  <c r="BA164" i="3" s="1"/>
  <c r="BD108" i="3"/>
  <c r="AZ108" i="3"/>
  <c r="BA53" i="3"/>
  <c r="BB53" i="3" s="1"/>
  <c r="AZ70" i="3"/>
  <c r="BD70" i="3"/>
  <c r="AY81" i="3"/>
  <c r="BD74" i="3"/>
  <c r="AZ74" i="3"/>
  <c r="AZ89" i="3"/>
  <c r="BD89" i="3"/>
  <c r="AY109" i="3"/>
  <c r="BA59" i="3"/>
  <c r="BB59" i="3" s="1"/>
  <c r="AF135" i="3"/>
  <c r="Z135" i="3"/>
  <c r="Z144" i="3" s="1"/>
  <c r="BD32" i="3"/>
  <c r="AZ32" i="3"/>
  <c r="AN168" i="3"/>
  <c r="AY51" i="3"/>
  <c r="BB51" i="3"/>
  <c r="AZ14" i="3"/>
  <c r="BD14" i="3"/>
  <c r="AY93" i="3"/>
  <c r="Z168" i="3"/>
  <c r="AP169" i="3"/>
  <c r="AP171" i="3" s="1"/>
  <c r="AP173" i="3" s="1"/>
  <c r="AP145" i="3"/>
  <c r="AY83" i="3"/>
  <c r="BD56" i="3"/>
  <c r="AZ56" i="3"/>
  <c r="AY33" i="3"/>
  <c r="AG135" i="3"/>
  <c r="AM135" i="3"/>
  <c r="BD57" i="3"/>
  <c r="AZ57" i="3"/>
  <c r="AZ73" i="3"/>
  <c r="BD73" i="3"/>
  <c r="AF168" i="3"/>
  <c r="AB168" i="3"/>
  <c r="BD140" i="3"/>
  <c r="AZ140" i="3"/>
  <c r="U144" i="3"/>
  <c r="U169" i="3" s="1"/>
  <c r="BB7" i="3"/>
  <c r="AF144" i="3"/>
  <c r="AF169" i="3" s="1"/>
  <c r="BD67" i="3"/>
  <c r="AZ67" i="3"/>
  <c r="AY47" i="3"/>
  <c r="AZ99" i="3"/>
  <c r="BE48" i="3"/>
  <c r="BD48" i="3"/>
  <c r="AY123" i="3"/>
  <c r="BB123" i="3"/>
  <c r="BA37" i="3"/>
  <c r="BB37" i="3" s="1"/>
  <c r="BD37" i="3" s="1"/>
  <c r="AA164" i="3"/>
  <c r="AA170" i="3" s="1"/>
  <c r="BA170" i="3" s="1"/>
  <c r="AY69" i="3"/>
  <c r="BB69" i="3"/>
  <c r="BB47" i="3"/>
  <c r="BD10" i="3"/>
  <c r="AZ10" i="3"/>
  <c r="AA135" i="3"/>
  <c r="AZ55" i="3"/>
  <c r="W171" i="3"/>
  <c r="BA7" i="3"/>
  <c r="AY29" i="3"/>
  <c r="BD124" i="3"/>
  <c r="AZ124" i="3"/>
  <c r="AO168" i="3"/>
  <c r="AY121" i="3"/>
  <c r="AY75" i="3"/>
  <c r="BD40" i="3"/>
  <c r="AY107" i="3"/>
  <c r="BB107" i="3"/>
  <c r="BD54" i="3"/>
  <c r="AZ54" i="3"/>
  <c r="AK144" i="3"/>
  <c r="AK169" i="3" s="1"/>
  <c r="AR144" i="3"/>
  <c r="AQ171" i="3"/>
  <c r="AQ173" i="3" s="1"/>
  <c r="BD24" i="3"/>
  <c r="AZ24" i="3"/>
  <c r="BD8" i="3"/>
  <c r="AZ8" i="3"/>
  <c r="AI135" i="3"/>
  <c r="AI144" i="3" s="1"/>
  <c r="AN135" i="3"/>
  <c r="AN144" i="3" s="1"/>
  <c r="V164" i="3"/>
  <c r="V170" i="3" s="1"/>
  <c r="BB170" i="3" s="1"/>
  <c r="BB159" i="3"/>
  <c r="BB164" i="3" s="1"/>
  <c r="AY159" i="3"/>
  <c r="BD159" i="3" s="1"/>
  <c r="AY163" i="3"/>
  <c r="BB163" i="3"/>
  <c r="U168" i="3"/>
  <c r="AC168" i="3"/>
  <c r="AY63" i="3"/>
  <c r="X143" i="3"/>
  <c r="AY103" i="3"/>
  <c r="BB103" i="3"/>
  <c r="BA39" i="3"/>
  <c r="BA65" i="3"/>
  <c r="BB65" i="3" s="1"/>
  <c r="BD65" i="3" s="1"/>
  <c r="AQ145" i="3"/>
  <c r="AY23" i="3"/>
  <c r="AY45" i="3"/>
  <c r="AC135" i="3"/>
  <c r="AC144" i="3" s="1"/>
  <c r="AO135" i="3"/>
  <c r="V135" i="3"/>
  <c r="BA55" i="3"/>
  <c r="BB55" i="3" s="1"/>
  <c r="BD55" i="3" s="1"/>
  <c r="AK143" i="3"/>
  <c r="AI168" i="3"/>
  <c r="V144" i="3"/>
  <c r="BB61" i="3"/>
  <c r="BD61" i="3" s="1"/>
  <c r="BD38" i="3"/>
  <c r="AZ38" i="3"/>
  <c r="AY39" i="3"/>
  <c r="BB127" i="3"/>
  <c r="AY127" i="3"/>
  <c r="BB95" i="3"/>
  <c r="BD95" i="3" s="1"/>
  <c r="BA83" i="3"/>
  <c r="BB83" i="3" s="1"/>
  <c r="BA9" i="3"/>
  <c r="BB9" i="3" s="1"/>
  <c r="AB135" i="3"/>
  <c r="AB144" i="3" s="1"/>
  <c r="AH135" i="3"/>
  <c r="AH144" i="3" s="1"/>
  <c r="AY31" i="3"/>
  <c r="BB31" i="3"/>
  <c r="BD52" i="3"/>
  <c r="AZ52" i="3"/>
  <c r="BA49" i="3"/>
  <c r="BB49" i="3" s="1"/>
  <c r="BD49" i="3" s="1"/>
  <c r="AY125" i="3"/>
  <c r="BA125" i="3"/>
  <c r="BB125" i="3" s="1"/>
  <c r="AZ126" i="3"/>
  <c r="BD126" i="3"/>
  <c r="BD128" i="3"/>
  <c r="AG144" i="3"/>
  <c r="AD144" i="3"/>
  <c r="AD169" i="3" s="1"/>
  <c r="BA93" i="3"/>
  <c r="BB93" i="3" s="1"/>
  <c r="BA99" i="3"/>
  <c r="BB99" i="3" s="1"/>
  <c r="BD99" i="3" s="1"/>
  <c r="BB41" i="3"/>
  <c r="BD132" i="3"/>
  <c r="AZ132" i="3"/>
  <c r="BA79" i="3"/>
  <c r="BA17" i="3"/>
  <c r="BB17" i="3" s="1"/>
  <c r="BA21" i="3"/>
  <c r="BB21" i="3" s="1"/>
  <c r="BD21" i="3" s="1"/>
  <c r="AM168" i="3"/>
  <c r="AE168" i="3"/>
  <c r="BD28" i="3"/>
  <c r="AZ28" i="3"/>
  <c r="BD102" i="3"/>
  <c r="AZ102" i="3"/>
  <c r="T169" i="3"/>
  <c r="BB133" i="3"/>
  <c r="AY133" i="3"/>
  <c r="AM144" i="3"/>
  <c r="AM169" i="3" s="1"/>
  <c r="BA35" i="3"/>
  <c r="BB35" i="3" s="1"/>
  <c r="BD35" i="3" s="1"/>
  <c r="AY7" i="3"/>
  <c r="BA85" i="3"/>
  <c r="BB85" i="3" s="1"/>
  <c r="BD85" i="3" s="1"/>
  <c r="BB15" i="3"/>
  <c r="AY15" i="3"/>
  <c r="AZ96" i="3"/>
  <c r="BD96" i="3"/>
  <c r="BD77" i="3"/>
  <c r="AZ77" i="3"/>
  <c r="AU171" i="3"/>
  <c r="AU173" i="3" s="1"/>
  <c r="BB115" i="3"/>
  <c r="BD115" i="3" s="1"/>
  <c r="AY134" i="3"/>
  <c r="BB134" i="3"/>
  <c r="BE134" i="3" s="1"/>
  <c r="AT171" i="3"/>
  <c r="AT173" i="3" s="1"/>
  <c r="BA121" i="3"/>
  <c r="BB121" i="3" s="1"/>
  <c r="AZ61" i="3"/>
  <c r="AA143" i="3"/>
  <c r="AY87" i="3"/>
  <c r="BA19" i="3"/>
  <c r="BB79" i="3"/>
  <c r="AY79" i="3"/>
  <c r="AA144" i="3"/>
  <c r="BA29" i="3"/>
  <c r="X135" i="3"/>
  <c r="X144" i="3" s="1"/>
  <c r="X169" i="3" s="1"/>
  <c r="AV144" i="3"/>
  <c r="AC169" i="3" l="1"/>
  <c r="AC145" i="3"/>
  <c r="AN169" i="3"/>
  <c r="AN145" i="3"/>
  <c r="AB169" i="3"/>
  <c r="AB171" i="3" s="1"/>
  <c r="AB173" i="3" s="1"/>
  <c r="AB145" i="3"/>
  <c r="AH169" i="3"/>
  <c r="AH171" i="3" s="1"/>
  <c r="AH173" i="3" s="1"/>
  <c r="AH145" i="3"/>
  <c r="AI169" i="3"/>
  <c r="AY169" i="3" s="1"/>
  <c r="AI145" i="3"/>
  <c r="AL169" i="3"/>
  <c r="AL145" i="3"/>
  <c r="Z169" i="3"/>
  <c r="Z145" i="3"/>
  <c r="AE169" i="3"/>
  <c r="AE145" i="3"/>
  <c r="AZ143" i="3"/>
  <c r="BD133" i="3"/>
  <c r="AZ133" i="3"/>
  <c r="AI171" i="3"/>
  <c r="AI173" i="3" s="1"/>
  <c r="BB144" i="3"/>
  <c r="BD129" i="3"/>
  <c r="AZ129" i="3"/>
  <c r="AZ7" i="3"/>
  <c r="BD7" i="3"/>
  <c r="BD45" i="3"/>
  <c r="AZ45" i="3"/>
  <c r="U171" i="3"/>
  <c r="AO145" i="3"/>
  <c r="V169" i="3"/>
  <c r="V171" i="3" s="1"/>
  <c r="V145" i="3"/>
  <c r="Z171" i="3"/>
  <c r="BD93" i="3"/>
  <c r="AZ93" i="3"/>
  <c r="AA169" i="3"/>
  <c r="BA144" i="3"/>
  <c r="AE171" i="3"/>
  <c r="AE173" i="3" s="1"/>
  <c r="AZ23" i="3"/>
  <c r="BD23" i="3"/>
  <c r="U145" i="3"/>
  <c r="AO171" i="3"/>
  <c r="AO173" i="3" s="1"/>
  <c r="BD19" i="3"/>
  <c r="AZ19" i="3"/>
  <c r="BD27" i="3"/>
  <c r="AZ27" i="3"/>
  <c r="AR169" i="3"/>
  <c r="AR171" i="3" s="1"/>
  <c r="AR173" i="3" s="1"/>
  <c r="AR145" i="3"/>
  <c r="AM145" i="3"/>
  <c r="U179" i="3"/>
  <c r="T171" i="3"/>
  <c r="AM171" i="3"/>
  <c r="AM173" i="3" s="1"/>
  <c r="AK168" i="3"/>
  <c r="AK171" i="3" s="1"/>
  <c r="AK173" i="3" s="1"/>
  <c r="AK145" i="3"/>
  <c r="AZ103" i="3"/>
  <c r="BD103" i="3"/>
  <c r="BD107" i="3"/>
  <c r="AZ107" i="3"/>
  <c r="BD29" i="3"/>
  <c r="AZ29" i="3"/>
  <c r="BD33" i="3"/>
  <c r="AZ33" i="3"/>
  <c r="AA168" i="3"/>
  <c r="BA143" i="3"/>
  <c r="BB143" i="3" s="1"/>
  <c r="BD143" i="3" s="1"/>
  <c r="AA145" i="3"/>
  <c r="AZ125" i="3"/>
  <c r="BD125" i="3"/>
  <c r="AZ51" i="3"/>
  <c r="BD51" i="3"/>
  <c r="AJ169" i="3"/>
  <c r="AJ171" i="3" s="1"/>
  <c r="AJ173" i="3" s="1"/>
  <c r="AJ145" i="3"/>
  <c r="AL171" i="3"/>
  <c r="AL173" i="3" s="1"/>
  <c r="AZ79" i="3"/>
  <c r="BD79" i="3"/>
  <c r="BD134" i="3"/>
  <c r="AZ134" i="3"/>
  <c r="AZ59" i="3"/>
  <c r="BD59" i="3"/>
  <c r="AY164" i="3"/>
  <c r="BD164" i="3" s="1"/>
  <c r="AZ109" i="3"/>
  <c r="BD109" i="3"/>
  <c r="BD131" i="3"/>
  <c r="AZ131" i="3"/>
  <c r="U180" i="3"/>
  <c r="W173" i="3"/>
  <c r="W176" i="3"/>
  <c r="X145" i="3"/>
  <c r="X168" i="3"/>
  <c r="X171" i="3" s="1"/>
  <c r="BD111" i="3"/>
  <c r="AZ111" i="3"/>
  <c r="BD15" i="3"/>
  <c r="AZ15" i="3"/>
  <c r="BD127" i="3"/>
  <c r="AZ127" i="3"/>
  <c r="BB135" i="3"/>
  <c r="AY135" i="3"/>
  <c r="AZ63" i="3"/>
  <c r="BD63" i="3"/>
  <c r="BD75" i="3"/>
  <c r="AZ75" i="3"/>
  <c r="BA135" i="3"/>
  <c r="AF171" i="3"/>
  <c r="AF173" i="3" s="1"/>
  <c r="BD83" i="3"/>
  <c r="AZ83" i="3"/>
  <c r="BD17" i="3"/>
  <c r="AZ17" i="3"/>
  <c r="AZ117" i="3"/>
  <c r="BD117" i="3"/>
  <c r="Y145" i="3"/>
  <c r="AZ31" i="3"/>
  <c r="BD31" i="3"/>
  <c r="AD168" i="3"/>
  <c r="AD171" i="3" s="1"/>
  <c r="AD173" i="3" s="1"/>
  <c r="AD145" i="3"/>
  <c r="AY170" i="3"/>
  <c r="AZ123" i="3"/>
  <c r="BD123" i="3"/>
  <c r="BD87" i="3"/>
  <c r="AZ87" i="3"/>
  <c r="AY144" i="3"/>
  <c r="AV169" i="3"/>
  <c r="AV171" i="3" s="1"/>
  <c r="AV173" i="3" s="1"/>
  <c r="AV145" i="3"/>
  <c r="AF145" i="3"/>
  <c r="AN171" i="3"/>
  <c r="AN173" i="3" s="1"/>
  <c r="Y171" i="3"/>
  <c r="AG169" i="3"/>
  <c r="AG171" i="3" s="1"/>
  <c r="AG173" i="3" s="1"/>
  <c r="AG145" i="3"/>
  <c r="BD69" i="3"/>
  <c r="AZ69" i="3"/>
  <c r="BD163" i="3"/>
  <c r="BD39" i="3"/>
  <c r="AZ39" i="3"/>
  <c r="AC171" i="3"/>
  <c r="AC173" i="3" s="1"/>
  <c r="BD121" i="3"/>
  <c r="AZ121" i="3"/>
  <c r="AZ47" i="3"/>
  <c r="BD47" i="3"/>
  <c r="AZ81" i="3"/>
  <c r="BD81" i="3"/>
  <c r="BD53" i="3"/>
  <c r="AZ53" i="3"/>
  <c r="BA145" i="3" l="1"/>
  <c r="BB145" i="3" s="1"/>
  <c r="BA169" i="3"/>
  <c r="Y176" i="3"/>
  <c r="Y173" i="3"/>
  <c r="X176" i="3"/>
  <c r="X173" i="3"/>
  <c r="AY145" i="3"/>
  <c r="BB168" i="3"/>
  <c r="U173" i="3"/>
  <c r="U176" i="3"/>
  <c r="Z176" i="3"/>
  <c r="Z173" i="3"/>
  <c r="BD135" i="3"/>
  <c r="AZ135" i="3"/>
  <c r="V173" i="3"/>
  <c r="V176" i="3"/>
  <c r="T173" i="3"/>
  <c r="AA171" i="3"/>
  <c r="AA173" i="3" s="1"/>
  <c r="BA168" i="3"/>
  <c r="BA171" i="3" s="1"/>
  <c r="BB169" i="3"/>
  <c r="AZ144" i="3"/>
  <c r="BD144" i="3"/>
  <c r="AY168" i="3"/>
  <c r="BD145" i="3" l="1"/>
  <c r="AZ145" i="3"/>
  <c r="BB171" i="3"/>
  <c r="AY171" i="3"/>
  <c r="F281" i="2" l="1"/>
  <c r="I281" i="2" s="1"/>
  <c r="V279" i="2"/>
  <c r="S279" i="2"/>
  <c r="P279" i="2"/>
  <c r="M279" i="2"/>
  <c r="J279" i="2"/>
  <c r="G279" i="2"/>
  <c r="V278" i="2"/>
  <c r="S278" i="2"/>
  <c r="P278" i="2"/>
  <c r="M278" i="2"/>
  <c r="J278" i="2"/>
  <c r="G278" i="2"/>
  <c r="U277" i="2"/>
  <c r="V277" i="2" s="1"/>
  <c r="R277" i="2"/>
  <c r="O277" i="2"/>
  <c r="P277" i="2" s="1"/>
  <c r="L277" i="2"/>
  <c r="M277" i="2" s="1"/>
  <c r="I277" i="2"/>
  <c r="F277" i="2"/>
  <c r="G277" i="2" s="1"/>
  <c r="F276" i="2"/>
  <c r="F275" i="2"/>
  <c r="G275" i="2" s="1"/>
  <c r="F273" i="2"/>
  <c r="I273" i="2" s="1"/>
  <c r="F272" i="2"/>
  <c r="I272" i="2" s="1"/>
  <c r="L272" i="2" s="1"/>
  <c r="F271" i="2"/>
  <c r="I271" i="2" s="1"/>
  <c r="L271" i="2" s="1"/>
  <c r="F270" i="2"/>
  <c r="I270" i="2" s="1"/>
  <c r="F269" i="2"/>
  <c r="G269" i="2" s="1"/>
  <c r="F268" i="2"/>
  <c r="I268" i="2" s="1"/>
  <c r="F267" i="2"/>
  <c r="G267" i="2" s="1"/>
  <c r="F265" i="2"/>
  <c r="I265" i="2" s="1"/>
  <c r="F264" i="2"/>
  <c r="F262" i="2"/>
  <c r="I262" i="2" s="1"/>
  <c r="F261" i="2"/>
  <c r="G261" i="2" s="1"/>
  <c r="F259" i="2"/>
  <c r="I259" i="2" s="1"/>
  <c r="F258" i="2"/>
  <c r="I258" i="2" s="1"/>
  <c r="F257" i="2"/>
  <c r="F256" i="2"/>
  <c r="G256" i="2" s="1"/>
  <c r="F255" i="2"/>
  <c r="I255" i="2" s="1"/>
  <c r="F254" i="2"/>
  <c r="G254" i="2" s="1"/>
  <c r="F253" i="2"/>
  <c r="I253" i="2" s="1"/>
  <c r="F251" i="2"/>
  <c r="I251" i="2" s="1"/>
  <c r="G250" i="2"/>
  <c r="F250" i="2"/>
  <c r="I250" i="2" s="1"/>
  <c r="L250" i="2" s="1"/>
  <c r="F249" i="2"/>
  <c r="F248" i="2"/>
  <c r="G248" i="2" s="1"/>
  <c r="F247" i="2"/>
  <c r="I247" i="2" s="1"/>
  <c r="F246" i="2"/>
  <c r="G246" i="2" s="1"/>
  <c r="F245" i="2"/>
  <c r="I245" i="2" s="1"/>
  <c r="F244" i="2"/>
  <c r="F242" i="2"/>
  <c r="G242" i="2" s="1"/>
  <c r="F241" i="2"/>
  <c r="G241" i="2" s="1"/>
  <c r="F240" i="2"/>
  <c r="F238" i="2"/>
  <c r="I238" i="2" s="1"/>
  <c r="F237" i="2"/>
  <c r="G237" i="2" s="1"/>
  <c r="F236" i="2"/>
  <c r="I236" i="2" s="1"/>
  <c r="J236" i="2" s="1"/>
  <c r="F234" i="2"/>
  <c r="I234" i="2" s="1"/>
  <c r="F233" i="2"/>
  <c r="G233" i="2" s="1"/>
  <c r="F232" i="2"/>
  <c r="I232" i="2" s="1"/>
  <c r="L232" i="2" s="1"/>
  <c r="F230" i="2"/>
  <c r="F229" i="2"/>
  <c r="G229" i="2" s="1"/>
  <c r="F227" i="2"/>
  <c r="G227" i="2" s="1"/>
  <c r="F226" i="2"/>
  <c r="I226" i="2" s="1"/>
  <c r="F224" i="2"/>
  <c r="F222" i="2"/>
  <c r="F221" i="2"/>
  <c r="F220" i="2"/>
  <c r="F219" i="2"/>
  <c r="I219" i="2" s="1"/>
  <c r="F218" i="2"/>
  <c r="G218" i="2" s="1"/>
  <c r="F217" i="2"/>
  <c r="I217" i="2" s="1"/>
  <c r="F216" i="2"/>
  <c r="F215" i="2"/>
  <c r="I215" i="2" s="1"/>
  <c r="F213" i="2"/>
  <c r="F212" i="2"/>
  <c r="G212" i="2" s="1"/>
  <c r="F210" i="2"/>
  <c r="F209" i="2"/>
  <c r="F208" i="2"/>
  <c r="G208" i="2" s="1"/>
  <c r="F207" i="2"/>
  <c r="G207" i="2" s="1"/>
  <c r="F206" i="2"/>
  <c r="I206" i="2" s="1"/>
  <c r="F203" i="2"/>
  <c r="F202" i="2"/>
  <c r="F201" i="2"/>
  <c r="G201" i="2" s="1"/>
  <c r="F200" i="2"/>
  <c r="I200" i="2" s="1"/>
  <c r="L200" i="2" s="1"/>
  <c r="F199" i="2"/>
  <c r="F198" i="2"/>
  <c r="F197" i="2"/>
  <c r="I197" i="2" s="1"/>
  <c r="F196" i="2"/>
  <c r="G196" i="2" s="1"/>
  <c r="F195" i="2"/>
  <c r="G195" i="2" s="1"/>
  <c r="F194" i="2"/>
  <c r="I194" i="2" s="1"/>
  <c r="J194" i="2" s="1"/>
  <c r="F193" i="2"/>
  <c r="I193" i="2" s="1"/>
  <c r="F190" i="2"/>
  <c r="I190" i="2" s="1"/>
  <c r="J190" i="2" s="1"/>
  <c r="F189" i="2"/>
  <c r="I189" i="2" s="1"/>
  <c r="F188" i="2"/>
  <c r="I188" i="2" s="1"/>
  <c r="J188" i="2" s="1"/>
  <c r="F187" i="2"/>
  <c r="I187" i="2" s="1"/>
  <c r="V186" i="2"/>
  <c r="F185" i="2"/>
  <c r="I185" i="2" s="1"/>
  <c r="J185" i="2" s="1"/>
  <c r="F184" i="2"/>
  <c r="G184" i="2" s="1"/>
  <c r="F183" i="2"/>
  <c r="I183" i="2" s="1"/>
  <c r="F182" i="2"/>
  <c r="G182" i="2" s="1"/>
  <c r="F181" i="2"/>
  <c r="F180" i="2"/>
  <c r="G180" i="2" s="1"/>
  <c r="F179" i="2"/>
  <c r="I179" i="2" s="1"/>
  <c r="F178" i="2"/>
  <c r="F177" i="2" s="1"/>
  <c r="G177" i="2" s="1"/>
  <c r="F176" i="2"/>
  <c r="I176" i="2" s="1"/>
  <c r="F175" i="2"/>
  <c r="I175" i="2" s="1"/>
  <c r="F174" i="2"/>
  <c r="I174" i="2" s="1"/>
  <c r="F173" i="2"/>
  <c r="F172" i="2"/>
  <c r="I172" i="2" s="1"/>
  <c r="L172" i="2" s="1"/>
  <c r="U170" i="2"/>
  <c r="V170" i="2" s="1"/>
  <c r="S170" i="2"/>
  <c r="U169" i="2"/>
  <c r="R169" i="2"/>
  <c r="O169" i="2"/>
  <c r="L169" i="2"/>
  <c r="I169" i="2"/>
  <c r="G169" i="2"/>
  <c r="U168" i="2"/>
  <c r="V168" i="2" s="1"/>
  <c r="R168" i="2"/>
  <c r="O168" i="2"/>
  <c r="L168" i="2"/>
  <c r="I168" i="2"/>
  <c r="G168" i="2"/>
  <c r="U167" i="2"/>
  <c r="R167" i="2"/>
  <c r="O167" i="2"/>
  <c r="L167" i="2"/>
  <c r="I167" i="2"/>
  <c r="M167" i="2" s="1"/>
  <c r="F167" i="2"/>
  <c r="G167" i="2" s="1"/>
  <c r="F166" i="2"/>
  <c r="I166" i="2" s="1"/>
  <c r="L166" i="2" s="1"/>
  <c r="F165" i="2"/>
  <c r="F164" i="2"/>
  <c r="I164" i="2" s="1"/>
  <c r="L164" i="2" s="1"/>
  <c r="F163" i="2"/>
  <c r="G163" i="2" s="1"/>
  <c r="F162" i="2"/>
  <c r="F161" i="2"/>
  <c r="I161" i="2" s="1"/>
  <c r="J161" i="2" s="1"/>
  <c r="F160" i="2"/>
  <c r="I160" i="2" s="1"/>
  <c r="L160" i="2" s="1"/>
  <c r="F158" i="2"/>
  <c r="F157" i="2"/>
  <c r="I157" i="2" s="1"/>
  <c r="F156" i="2"/>
  <c r="I156" i="2" s="1"/>
  <c r="L156" i="2" s="1"/>
  <c r="F154" i="2"/>
  <c r="F153" i="2" s="1"/>
  <c r="G153" i="2" s="1"/>
  <c r="F152" i="2"/>
  <c r="I152" i="2" s="1"/>
  <c r="F151" i="2"/>
  <c r="I151" i="2" s="1"/>
  <c r="F150" i="2"/>
  <c r="F147" i="2"/>
  <c r="G147" i="2" s="1"/>
  <c r="F146" i="2"/>
  <c r="G146" i="2" s="1"/>
  <c r="F145" i="2"/>
  <c r="F144" i="2"/>
  <c r="I144" i="2" s="1"/>
  <c r="F143" i="2"/>
  <c r="I143" i="2" s="1"/>
  <c r="L143" i="2" s="1"/>
  <c r="M143" i="2" s="1"/>
  <c r="F142" i="2"/>
  <c r="I142" i="2" s="1"/>
  <c r="J142" i="2" s="1"/>
  <c r="F141" i="2"/>
  <c r="F140" i="2"/>
  <c r="I140" i="2" s="1"/>
  <c r="F139" i="2"/>
  <c r="G139" i="2" s="1"/>
  <c r="F138" i="2"/>
  <c r="F137" i="2"/>
  <c r="I137" i="2" s="1"/>
  <c r="F136" i="2"/>
  <c r="I136" i="2" s="1"/>
  <c r="U128" i="2"/>
  <c r="V128" i="2" s="1"/>
  <c r="R128" i="2"/>
  <c r="S128" i="2" s="1"/>
  <c r="P128" i="2"/>
  <c r="F127" i="2"/>
  <c r="I127" i="2" s="1"/>
  <c r="F126" i="2"/>
  <c r="G126" i="2" s="1"/>
  <c r="F125" i="2"/>
  <c r="G125" i="2" s="1"/>
  <c r="F124" i="2"/>
  <c r="G124" i="2" s="1"/>
  <c r="F123" i="2"/>
  <c r="I123" i="2" s="1"/>
  <c r="F122" i="2"/>
  <c r="I122" i="2" s="1"/>
  <c r="F121" i="2"/>
  <c r="I121" i="2" s="1"/>
  <c r="F120" i="2"/>
  <c r="F119" i="2"/>
  <c r="I119" i="2" s="1"/>
  <c r="L119" i="2" s="1"/>
  <c r="M119" i="2" s="1"/>
  <c r="F118" i="2"/>
  <c r="I118" i="2" s="1"/>
  <c r="F117" i="2"/>
  <c r="G117" i="2" s="1"/>
  <c r="F116" i="2"/>
  <c r="I116" i="2" s="1"/>
  <c r="F115" i="2"/>
  <c r="I115" i="2" s="1"/>
  <c r="L115" i="2" s="1"/>
  <c r="O115" i="2" s="1"/>
  <c r="F113" i="2"/>
  <c r="G113" i="2" s="1"/>
  <c r="F112" i="2"/>
  <c r="F109" i="2"/>
  <c r="I109" i="2" s="1"/>
  <c r="L109" i="2" s="1"/>
  <c r="F108" i="2"/>
  <c r="I108" i="2" s="1"/>
  <c r="L108" i="2" s="1"/>
  <c r="F107" i="2"/>
  <c r="G107" i="2" s="1"/>
  <c r="F106" i="2"/>
  <c r="G106" i="2" s="1"/>
  <c r="F104" i="2"/>
  <c r="F103" i="2"/>
  <c r="F102" i="2"/>
  <c r="I102" i="2" s="1"/>
  <c r="F100" i="2"/>
  <c r="V99" i="2"/>
  <c r="S99" i="2"/>
  <c r="P99" i="2"/>
  <c r="M99" i="2"/>
  <c r="J99" i="2"/>
  <c r="G99" i="2"/>
  <c r="F98" i="2"/>
  <c r="G98" i="2" s="1"/>
  <c r="F97" i="2"/>
  <c r="I97" i="2" s="1"/>
  <c r="F96" i="2"/>
  <c r="F93" i="2"/>
  <c r="G93" i="2" s="1"/>
  <c r="F92" i="2"/>
  <c r="F90" i="2"/>
  <c r="G90" i="2" s="1"/>
  <c r="U89" i="2"/>
  <c r="V89" i="2" s="1"/>
  <c r="S89" i="2"/>
  <c r="F88" i="2"/>
  <c r="I88" i="2" s="1"/>
  <c r="F87" i="2"/>
  <c r="I87" i="2" s="1"/>
  <c r="F86" i="2"/>
  <c r="I86" i="2" s="1"/>
  <c r="J86" i="2" s="1"/>
  <c r="F85" i="2"/>
  <c r="G85" i="2" s="1"/>
  <c r="F84" i="2"/>
  <c r="I84" i="2" s="1"/>
  <c r="F83" i="2"/>
  <c r="I83" i="2" s="1"/>
  <c r="L83" i="2" s="1"/>
  <c r="F82" i="2"/>
  <c r="I82" i="2" s="1"/>
  <c r="F81" i="2"/>
  <c r="F80" i="2"/>
  <c r="I80" i="2" s="1"/>
  <c r="J80" i="2" s="1"/>
  <c r="F79" i="2"/>
  <c r="I79" i="2" s="1"/>
  <c r="L79" i="2" s="1"/>
  <c r="M79" i="2" s="1"/>
  <c r="F78" i="2"/>
  <c r="F77" i="2"/>
  <c r="G77" i="2" s="1"/>
  <c r="F76" i="2"/>
  <c r="F75" i="2"/>
  <c r="I75" i="2" s="1"/>
  <c r="J75" i="2" s="1"/>
  <c r="F74" i="2"/>
  <c r="I74" i="2" s="1"/>
  <c r="F73" i="2"/>
  <c r="G73" i="2" s="1"/>
  <c r="F72" i="2"/>
  <c r="F71" i="2"/>
  <c r="F70" i="2"/>
  <c r="F69" i="2"/>
  <c r="I69" i="2" s="1"/>
  <c r="F67" i="2"/>
  <c r="I67" i="2" s="1"/>
  <c r="V66" i="2"/>
  <c r="F65" i="2"/>
  <c r="I65" i="2" s="1"/>
  <c r="L65" i="2" s="1"/>
  <c r="M65" i="2" s="1"/>
  <c r="F64" i="2"/>
  <c r="I64" i="2" s="1"/>
  <c r="F63" i="2"/>
  <c r="I63" i="2" s="1"/>
  <c r="J63" i="2" s="1"/>
  <c r="F62" i="2"/>
  <c r="I62" i="2" s="1"/>
  <c r="L62" i="2" s="1"/>
  <c r="V61" i="2"/>
  <c r="S61" i="2"/>
  <c r="P61" i="2"/>
  <c r="M61" i="2"/>
  <c r="J61" i="2"/>
  <c r="F60" i="2"/>
  <c r="I60" i="2" s="1"/>
  <c r="F59" i="2"/>
  <c r="F58" i="2"/>
  <c r="F57" i="2"/>
  <c r="F56" i="2"/>
  <c r="F55" i="2"/>
  <c r="G55" i="2" s="1"/>
  <c r="F54" i="2"/>
  <c r="G54" i="2" s="1"/>
  <c r="F53" i="2"/>
  <c r="G53" i="2" s="1"/>
  <c r="V51" i="2"/>
  <c r="S51" i="2"/>
  <c r="P51" i="2"/>
  <c r="M51" i="2"/>
  <c r="J51" i="2"/>
  <c r="G51" i="2"/>
  <c r="U50" i="2"/>
  <c r="U49" i="2" s="1"/>
  <c r="R50" i="2"/>
  <c r="O50" i="2"/>
  <c r="O49" i="2" s="1"/>
  <c r="L50" i="2"/>
  <c r="M50" i="2" s="1"/>
  <c r="J50" i="2"/>
  <c r="G50" i="2"/>
  <c r="L49" i="2"/>
  <c r="I49" i="2"/>
  <c r="F49" i="2"/>
  <c r="F48" i="2"/>
  <c r="I48" i="2" s="1"/>
  <c r="F47" i="2"/>
  <c r="I47" i="2" s="1"/>
  <c r="J47" i="2" s="1"/>
  <c r="F46" i="2"/>
  <c r="G46" i="2" s="1"/>
  <c r="T44" i="2"/>
  <c r="Q44" i="2"/>
  <c r="N44" i="2"/>
  <c r="K44" i="2"/>
  <c r="F43" i="2"/>
  <c r="I43" i="2" s="1"/>
  <c r="F42" i="2"/>
  <c r="I42" i="2" s="1"/>
  <c r="L42" i="2" s="1"/>
  <c r="F41" i="2"/>
  <c r="I41" i="2" s="1"/>
  <c r="L41" i="2" s="1"/>
  <c r="M41" i="2" s="1"/>
  <c r="F40" i="2"/>
  <c r="F38" i="2"/>
  <c r="F37" i="2"/>
  <c r="G37" i="2" s="1"/>
  <c r="F35" i="2"/>
  <c r="I35" i="2" s="1"/>
  <c r="F34" i="2"/>
  <c r="G34" i="2" s="1"/>
  <c r="F33" i="2"/>
  <c r="F32" i="2"/>
  <c r="I32" i="2" s="1"/>
  <c r="F31" i="2"/>
  <c r="I31" i="2" s="1"/>
  <c r="F30" i="2"/>
  <c r="I30" i="2" s="1"/>
  <c r="L30" i="2" s="1"/>
  <c r="F29" i="2"/>
  <c r="G29" i="2" s="1"/>
  <c r="F27" i="2"/>
  <c r="G27" i="2" s="1"/>
  <c r="F26" i="2"/>
  <c r="I26" i="2" s="1"/>
  <c r="F25" i="2"/>
  <c r="I25" i="2" s="1"/>
  <c r="J25" i="2" s="1"/>
  <c r="F22" i="2"/>
  <c r="G22" i="2" s="1"/>
  <c r="F21" i="2"/>
  <c r="I21" i="2" s="1"/>
  <c r="L21" i="2" s="1"/>
  <c r="O21" i="2" s="1"/>
  <c r="F19" i="2"/>
  <c r="I19" i="2" s="1"/>
  <c r="F18" i="2"/>
  <c r="I18" i="2" s="1"/>
  <c r="L18" i="2" s="1"/>
  <c r="F16" i="2"/>
  <c r="I16" i="2" s="1"/>
  <c r="J16" i="2" s="1"/>
  <c r="F15" i="2"/>
  <c r="F13" i="2"/>
  <c r="I13" i="2" s="1"/>
  <c r="L13" i="2" s="1"/>
  <c r="F12" i="2"/>
  <c r="U9" i="2"/>
  <c r="R9" i="2"/>
  <c r="S9" i="2" s="1"/>
  <c r="O9" i="2"/>
  <c r="P9" i="2" s="1"/>
  <c r="L9" i="2"/>
  <c r="I9" i="2"/>
  <c r="F9" i="2"/>
  <c r="G9" i="2" s="1"/>
  <c r="F8" i="2"/>
  <c r="J9" i="2" l="1"/>
  <c r="V167" i="2"/>
  <c r="V169" i="2"/>
  <c r="G62" i="2"/>
  <c r="G115" i="2"/>
  <c r="V50" i="2"/>
  <c r="I53" i="2"/>
  <c r="L53" i="2" s="1"/>
  <c r="O53" i="2" s="1"/>
  <c r="R53" i="2" s="1"/>
  <c r="J167" i="2"/>
  <c r="F7" i="2"/>
  <c r="G7" i="2" s="1"/>
  <c r="F260" i="2"/>
  <c r="F105" i="2"/>
  <c r="G105" i="2" s="1"/>
  <c r="P167" i="2"/>
  <c r="P169" i="2"/>
  <c r="M9" i="2"/>
  <c r="S50" i="2"/>
  <c r="G122" i="2"/>
  <c r="G172" i="2"/>
  <c r="I241" i="2"/>
  <c r="L241" i="2" s="1"/>
  <c r="J277" i="2"/>
  <c r="F14" i="2"/>
  <c r="G14" i="2" s="1"/>
  <c r="G74" i="2"/>
  <c r="G157" i="2"/>
  <c r="S167" i="2"/>
  <c r="I180" i="2"/>
  <c r="L180" i="2" s="1"/>
  <c r="F192" i="2"/>
  <c r="F191" i="2" s="1"/>
  <c r="V9" i="2"/>
  <c r="G166" i="2"/>
  <c r="J272" i="2"/>
  <c r="S277" i="2"/>
  <c r="I29" i="2"/>
  <c r="G194" i="2"/>
  <c r="G137" i="2"/>
  <c r="I22" i="2"/>
  <c r="L22" i="2" s="1"/>
  <c r="O22" i="2" s="1"/>
  <c r="R22" i="2" s="1"/>
  <c r="U22" i="2" s="1"/>
  <c r="V22" i="2" s="1"/>
  <c r="G152" i="2"/>
  <c r="I207" i="2"/>
  <c r="L207" i="2" s="1"/>
  <c r="M207" i="2" s="1"/>
  <c r="G251" i="2"/>
  <c r="I242" i="2"/>
  <c r="J242" i="2" s="1"/>
  <c r="G8" i="2"/>
  <c r="I90" i="2"/>
  <c r="G18" i="2"/>
  <c r="G42" i="2"/>
  <c r="I182" i="2"/>
  <c r="I37" i="2"/>
  <c r="J37" i="2" s="1"/>
  <c r="I77" i="2"/>
  <c r="J77" i="2" s="1"/>
  <c r="G109" i="2"/>
  <c r="I233" i="2"/>
  <c r="J233" i="2" s="1"/>
  <c r="F20" i="2"/>
  <c r="G20" i="2" s="1"/>
  <c r="F36" i="2"/>
  <c r="G36" i="2" s="1"/>
  <c r="G48" i="2"/>
  <c r="P50" i="2"/>
  <c r="I196" i="2"/>
  <c r="G226" i="2"/>
  <c r="M62" i="2"/>
  <c r="O62" i="2"/>
  <c r="L121" i="2"/>
  <c r="O121" i="2" s="1"/>
  <c r="J121" i="2"/>
  <c r="J183" i="2"/>
  <c r="L183" i="2"/>
  <c r="O183" i="2" s="1"/>
  <c r="L74" i="2"/>
  <c r="M74" i="2" s="1"/>
  <c r="J74" i="2"/>
  <c r="L206" i="2"/>
  <c r="M206" i="2" s="1"/>
  <c r="J206" i="2"/>
  <c r="J127" i="2"/>
  <c r="L127" i="2"/>
  <c r="O127" i="2" s="1"/>
  <c r="J67" i="2"/>
  <c r="L67" i="2"/>
  <c r="O67" i="2" s="1"/>
  <c r="L102" i="2"/>
  <c r="O102" i="2" s="1"/>
  <c r="J102" i="2"/>
  <c r="L123" i="2"/>
  <c r="J123" i="2"/>
  <c r="O166" i="2"/>
  <c r="P166" i="2" s="1"/>
  <c r="M166" i="2"/>
  <c r="J48" i="2"/>
  <c r="L48" i="2"/>
  <c r="M48" i="2" s="1"/>
  <c r="L82" i="2"/>
  <c r="J82" i="2"/>
  <c r="J137" i="2"/>
  <c r="L137" i="2"/>
  <c r="O137" i="2" s="1"/>
  <c r="L179" i="2"/>
  <c r="M179" i="2" s="1"/>
  <c r="J179" i="2"/>
  <c r="O18" i="2"/>
  <c r="R18" i="2" s="1"/>
  <c r="M18" i="2"/>
  <c r="F24" i="2"/>
  <c r="G24" i="2" s="1"/>
  <c r="I27" i="2"/>
  <c r="L27" i="2" s="1"/>
  <c r="I125" i="2"/>
  <c r="J125" i="2" s="1"/>
  <c r="G178" i="2"/>
  <c r="L185" i="2"/>
  <c r="M185" i="2" s="1"/>
  <c r="L194" i="2"/>
  <c r="I275" i="2"/>
  <c r="M22" i="2"/>
  <c r="G142" i="2"/>
  <c r="G175" i="2"/>
  <c r="L75" i="2"/>
  <c r="M75" i="2" s="1"/>
  <c r="J109" i="2"/>
  <c r="G25" i="2"/>
  <c r="G38" i="2"/>
  <c r="G43" i="2"/>
  <c r="I58" i="2"/>
  <c r="L63" i="2"/>
  <c r="G67" i="2"/>
  <c r="G79" i="2"/>
  <c r="G83" i="2"/>
  <c r="G118" i="2"/>
  <c r="G121" i="2"/>
  <c r="G123" i="2"/>
  <c r="I126" i="2"/>
  <c r="J126" i="2" s="1"/>
  <c r="I139" i="2"/>
  <c r="L139" i="2" s="1"/>
  <c r="M139" i="2" s="1"/>
  <c r="G156" i="2"/>
  <c r="G187" i="2"/>
  <c r="G206" i="2"/>
  <c r="I229" i="2"/>
  <c r="L229" i="2" s="1"/>
  <c r="O229" i="2" s="1"/>
  <c r="R229" i="2" s="1"/>
  <c r="G190" i="2"/>
  <c r="I267" i="2"/>
  <c r="I266" i="2" s="1"/>
  <c r="I34" i="2"/>
  <c r="L34" i="2" s="1"/>
  <c r="M34" i="2" s="1"/>
  <c r="I38" i="2"/>
  <c r="L38" i="2" s="1"/>
  <c r="M38" i="2" s="1"/>
  <c r="G82" i="2"/>
  <c r="G164" i="2"/>
  <c r="G179" i="2"/>
  <c r="I184" i="2"/>
  <c r="G189" i="2"/>
  <c r="J200" i="2"/>
  <c r="I208" i="2"/>
  <c r="G232" i="2"/>
  <c r="G245" i="2"/>
  <c r="G30" i="2"/>
  <c r="I85" i="2"/>
  <c r="L85" i="2" s="1"/>
  <c r="G97" i="2"/>
  <c r="G236" i="2"/>
  <c r="I248" i="2"/>
  <c r="G265" i="2"/>
  <c r="I227" i="2"/>
  <c r="I225" i="2" s="1"/>
  <c r="I8" i="2"/>
  <c r="L8" i="2" s="1"/>
  <c r="M8" i="2" s="1"/>
  <c r="I15" i="2"/>
  <c r="L15" i="2" s="1"/>
  <c r="J21" i="2"/>
  <c r="G47" i="2"/>
  <c r="G102" i="2"/>
  <c r="I107" i="2"/>
  <c r="J107" i="2" s="1"/>
  <c r="I147" i="2"/>
  <c r="L147" i="2" s="1"/>
  <c r="G176" i="2"/>
  <c r="G193" i="2"/>
  <c r="G192" i="2" s="1"/>
  <c r="J232" i="2"/>
  <c r="G271" i="2"/>
  <c r="G144" i="2"/>
  <c r="J160" i="2"/>
  <c r="G217" i="2"/>
  <c r="I46" i="2"/>
  <c r="L46" i="2" s="1"/>
  <c r="G58" i="2"/>
  <c r="I113" i="2"/>
  <c r="I163" i="2"/>
  <c r="J163" i="2" s="1"/>
  <c r="O41" i="2"/>
  <c r="P41" i="2" s="1"/>
  <c r="I55" i="2"/>
  <c r="J55" i="2" s="1"/>
  <c r="F68" i="2"/>
  <c r="G68" i="2" s="1"/>
  <c r="L86" i="2"/>
  <c r="O86" i="2" s="1"/>
  <c r="I124" i="2"/>
  <c r="J124" i="2" s="1"/>
  <c r="G143" i="2"/>
  <c r="I195" i="2"/>
  <c r="G197" i="2"/>
  <c r="I218" i="2"/>
  <c r="F228" i="2"/>
  <c r="G228" i="2" s="1"/>
  <c r="G259" i="2"/>
  <c r="I261" i="2"/>
  <c r="I212" i="2"/>
  <c r="G127" i="2"/>
  <c r="J143" i="2"/>
  <c r="I237" i="2"/>
  <c r="I73" i="2"/>
  <c r="J73" i="2" s="1"/>
  <c r="I54" i="2"/>
  <c r="G26" i="2"/>
  <c r="G32" i="2"/>
  <c r="G84" i="2"/>
  <c r="J119" i="2"/>
  <c r="O143" i="2"/>
  <c r="R143" i="2" s="1"/>
  <c r="G174" i="2"/>
  <c r="G183" i="2"/>
  <c r="G188" i="2"/>
  <c r="I201" i="2"/>
  <c r="I246" i="2"/>
  <c r="L246" i="2" s="1"/>
  <c r="I256" i="2"/>
  <c r="F274" i="2"/>
  <c r="G274" i="2" s="1"/>
  <c r="L16" i="2"/>
  <c r="M16" i="2" s="1"/>
  <c r="J53" i="2"/>
  <c r="O65" i="2"/>
  <c r="R65" i="2" s="1"/>
  <c r="U65" i="2" s="1"/>
  <c r="V65" i="2" s="1"/>
  <c r="L80" i="2"/>
  <c r="O80" i="2" s="1"/>
  <c r="G87" i="2"/>
  <c r="I117" i="2"/>
  <c r="L117" i="2" s="1"/>
  <c r="L188" i="2"/>
  <c r="F214" i="2"/>
  <c r="I254" i="2"/>
  <c r="I269" i="2"/>
  <c r="G272" i="2"/>
  <c r="M42" i="2"/>
  <c r="O42" i="2"/>
  <c r="O30" i="2"/>
  <c r="M30" i="2"/>
  <c r="U53" i="2"/>
  <c r="S53" i="2"/>
  <c r="P53" i="2"/>
  <c r="L88" i="2"/>
  <c r="J88" i="2"/>
  <c r="P21" i="2"/>
  <c r="I12" i="2"/>
  <c r="G12" i="2"/>
  <c r="F11" i="2"/>
  <c r="L19" i="2"/>
  <c r="L17" i="2" s="1"/>
  <c r="J19" i="2"/>
  <c r="F39" i="2"/>
  <c r="G39" i="2" s="1"/>
  <c r="I40" i="2"/>
  <c r="G19" i="2"/>
  <c r="G40" i="2"/>
  <c r="J42" i="2"/>
  <c r="J140" i="2"/>
  <c r="L140" i="2"/>
  <c r="G80" i="2"/>
  <c r="G86" i="2"/>
  <c r="G140" i="2"/>
  <c r="I76" i="2"/>
  <c r="G76" i="2"/>
  <c r="S22" i="2"/>
  <c r="S65" i="2"/>
  <c r="R21" i="2"/>
  <c r="O48" i="2"/>
  <c r="M86" i="2"/>
  <c r="F95" i="2"/>
  <c r="I96" i="2"/>
  <c r="O13" i="2"/>
  <c r="M13" i="2"/>
  <c r="F17" i="2"/>
  <c r="G17" i="2" s="1"/>
  <c r="G96" i="2"/>
  <c r="M109" i="2"/>
  <c r="O109" i="2"/>
  <c r="G13" i="2"/>
  <c r="L43" i="2"/>
  <c r="J43" i="2"/>
  <c r="L64" i="2"/>
  <c r="J64" i="2"/>
  <c r="J13" i="2"/>
  <c r="L25" i="2"/>
  <c r="J41" i="2"/>
  <c r="L60" i="2"/>
  <c r="J60" i="2"/>
  <c r="G64" i="2"/>
  <c r="I104" i="2"/>
  <c r="G104" i="2"/>
  <c r="R115" i="2"/>
  <c r="P115" i="2"/>
  <c r="I162" i="2"/>
  <c r="G162" i="2"/>
  <c r="I33" i="2"/>
  <c r="G33" i="2"/>
  <c r="M53" i="2"/>
  <c r="G56" i="2"/>
  <c r="I56" i="2"/>
  <c r="I71" i="2"/>
  <c r="G71" i="2"/>
  <c r="I78" i="2"/>
  <c r="G78" i="2"/>
  <c r="L90" i="2"/>
  <c r="J90" i="2"/>
  <c r="I17" i="2"/>
  <c r="G31" i="2"/>
  <c r="J49" i="2"/>
  <c r="G49" i="2"/>
  <c r="J18" i="2"/>
  <c r="J65" i="2"/>
  <c r="G136" i="2"/>
  <c r="F135" i="2"/>
  <c r="M49" i="2"/>
  <c r="P49" i="2"/>
  <c r="I81" i="2"/>
  <c r="G81" i="2"/>
  <c r="L136" i="2"/>
  <c r="J136" i="2"/>
  <c r="O164" i="2"/>
  <c r="M164" i="2"/>
  <c r="O63" i="2"/>
  <c r="M63" i="2"/>
  <c r="F101" i="2"/>
  <c r="G101" i="2" s="1"/>
  <c r="I103" i="2"/>
  <c r="O108" i="2"/>
  <c r="M108" i="2"/>
  <c r="R127" i="2"/>
  <c r="P127" i="2"/>
  <c r="I181" i="2"/>
  <c r="G181" i="2"/>
  <c r="L31" i="2"/>
  <c r="J31" i="2"/>
  <c r="L32" i="2"/>
  <c r="J32" i="2"/>
  <c r="J30" i="2"/>
  <c r="L35" i="2"/>
  <c r="J35" i="2"/>
  <c r="I57" i="2"/>
  <c r="G57" i="2"/>
  <c r="G103" i="2"/>
  <c r="J108" i="2"/>
  <c r="M127" i="2"/>
  <c r="L151" i="2"/>
  <c r="J151" i="2"/>
  <c r="G15" i="2"/>
  <c r="M21" i="2"/>
  <c r="L26" i="2"/>
  <c r="J26" i="2"/>
  <c r="G35" i="2"/>
  <c r="L69" i="2"/>
  <c r="J69" i="2"/>
  <c r="M115" i="2"/>
  <c r="L142" i="2"/>
  <c r="F28" i="2"/>
  <c r="G28" i="2" s="1"/>
  <c r="G16" i="2"/>
  <c r="G21" i="2"/>
  <c r="G41" i="2"/>
  <c r="F52" i="2"/>
  <c r="G60" i="2"/>
  <c r="J79" i="2"/>
  <c r="I146" i="2"/>
  <c r="I59" i="2"/>
  <c r="G59" i="2"/>
  <c r="G63" i="2"/>
  <c r="I70" i="2"/>
  <c r="G70" i="2"/>
  <c r="O79" i="2"/>
  <c r="L84" i="2"/>
  <c r="J84" i="2"/>
  <c r="I92" i="2"/>
  <c r="G92" i="2"/>
  <c r="F91" i="2"/>
  <c r="G91" i="2" s="1"/>
  <c r="G158" i="2"/>
  <c r="I158" i="2"/>
  <c r="I202" i="2"/>
  <c r="G202" i="2"/>
  <c r="O83" i="2"/>
  <c r="M83" i="2"/>
  <c r="I112" i="2"/>
  <c r="G112" i="2"/>
  <c r="F111" i="2"/>
  <c r="G111" i="2" s="1"/>
  <c r="J115" i="2"/>
  <c r="O156" i="2"/>
  <c r="M156" i="2"/>
  <c r="J164" i="2"/>
  <c r="O172" i="2"/>
  <c r="L47" i="2"/>
  <c r="R49" i="2"/>
  <c r="V49" i="2" s="1"/>
  <c r="J62" i="2"/>
  <c r="J83" i="2"/>
  <c r="L87" i="2"/>
  <c r="J87" i="2"/>
  <c r="L97" i="2"/>
  <c r="J97" i="2"/>
  <c r="I106" i="2"/>
  <c r="L118" i="2"/>
  <c r="J118" i="2"/>
  <c r="M172" i="2"/>
  <c r="I72" i="2"/>
  <c r="G72" i="2"/>
  <c r="G116" i="2"/>
  <c r="O119" i="2"/>
  <c r="F159" i="2"/>
  <c r="J168" i="2"/>
  <c r="M168" i="2"/>
  <c r="L270" i="2"/>
  <c r="J270" i="2"/>
  <c r="I141" i="2"/>
  <c r="G141" i="2"/>
  <c r="J156" i="2"/>
  <c r="M160" i="2"/>
  <c r="O160" i="2"/>
  <c r="L176" i="2"/>
  <c r="J176" i="2"/>
  <c r="L144" i="2"/>
  <c r="J144" i="2"/>
  <c r="G145" i="2"/>
  <c r="I145" i="2"/>
  <c r="I150" i="2"/>
  <c r="G150" i="2"/>
  <c r="G149" i="2" s="1"/>
  <c r="F149" i="2"/>
  <c r="F148" i="2" s="1"/>
  <c r="G148" i="2" s="1"/>
  <c r="L219" i="2"/>
  <c r="J219" i="2"/>
  <c r="I93" i="2"/>
  <c r="I100" i="2"/>
  <c r="G100" i="2"/>
  <c r="G120" i="2"/>
  <c r="I120" i="2"/>
  <c r="L125" i="2"/>
  <c r="L152" i="2"/>
  <c r="J152" i="2"/>
  <c r="L175" i="2"/>
  <c r="J175" i="2"/>
  <c r="G219" i="2"/>
  <c r="L157" i="2"/>
  <c r="J157" i="2"/>
  <c r="J169" i="2"/>
  <c r="M169" i="2"/>
  <c r="F114" i="2"/>
  <c r="G114" i="2" s="1"/>
  <c r="J122" i="2"/>
  <c r="L122" i="2"/>
  <c r="I138" i="2"/>
  <c r="G138" i="2"/>
  <c r="L116" i="2"/>
  <c r="J116" i="2"/>
  <c r="J217" i="2"/>
  <c r="L217" i="2"/>
  <c r="P168" i="2"/>
  <c r="S168" i="2"/>
  <c r="L273" i="2"/>
  <c r="J273" i="2"/>
  <c r="G65" i="2"/>
  <c r="G69" i="2"/>
  <c r="G75" i="2"/>
  <c r="G88" i="2"/>
  <c r="G108" i="2"/>
  <c r="G119" i="2"/>
  <c r="I209" i="2"/>
  <c r="G209" i="2"/>
  <c r="G222" i="2"/>
  <c r="I222" i="2"/>
  <c r="I165" i="2"/>
  <c r="G165" i="2"/>
  <c r="J166" i="2"/>
  <c r="G185" i="2"/>
  <c r="J197" i="2"/>
  <c r="L197" i="2"/>
  <c r="I216" i="2"/>
  <c r="G216" i="2"/>
  <c r="F263" i="2"/>
  <c r="G263" i="2" s="1"/>
  <c r="I264" i="2"/>
  <c r="G264" i="2"/>
  <c r="O271" i="2"/>
  <c r="M271" i="2"/>
  <c r="I154" i="2"/>
  <c r="G154" i="2"/>
  <c r="L161" i="2"/>
  <c r="I173" i="2"/>
  <c r="G173" i="2"/>
  <c r="I220" i="2"/>
  <c r="G220" i="2"/>
  <c r="F211" i="2"/>
  <c r="G211" i="2" s="1"/>
  <c r="I213" i="2"/>
  <c r="G213" i="2"/>
  <c r="I224" i="2"/>
  <c r="G224" i="2"/>
  <c r="I210" i="2"/>
  <c r="G210" i="2"/>
  <c r="O179" i="2"/>
  <c r="L189" i="2"/>
  <c r="J189" i="2"/>
  <c r="I198" i="2"/>
  <c r="G198" i="2"/>
  <c r="L226" i="2"/>
  <c r="J226" i="2"/>
  <c r="J172" i="2"/>
  <c r="I178" i="2"/>
  <c r="L190" i="2"/>
  <c r="O200" i="2"/>
  <c r="M200" i="2"/>
  <c r="L251" i="2"/>
  <c r="J251" i="2"/>
  <c r="L174" i="2"/>
  <c r="J174" i="2"/>
  <c r="F205" i="2"/>
  <c r="G199" i="2"/>
  <c r="I199" i="2"/>
  <c r="L238" i="2"/>
  <c r="J238" i="2"/>
  <c r="L259" i="2"/>
  <c r="J259" i="2"/>
  <c r="L265" i="2"/>
  <c r="J265" i="2"/>
  <c r="S169" i="2"/>
  <c r="I203" i="2"/>
  <c r="G203" i="2"/>
  <c r="F239" i="2"/>
  <c r="G239" i="2" s="1"/>
  <c r="I240" i="2"/>
  <c r="G240" i="2"/>
  <c r="O241" i="2"/>
  <c r="M241" i="2"/>
  <c r="O272" i="2"/>
  <c r="M272" i="2"/>
  <c r="G221" i="2"/>
  <c r="I221" i="2"/>
  <c r="F243" i="2"/>
  <c r="G243" i="2" s="1"/>
  <c r="I244" i="2"/>
  <c r="G244" i="2"/>
  <c r="L253" i="2"/>
  <c r="J253" i="2"/>
  <c r="L258" i="2"/>
  <c r="J258" i="2"/>
  <c r="L268" i="2"/>
  <c r="J268" i="2"/>
  <c r="L187" i="2"/>
  <c r="J187" i="2"/>
  <c r="L193" i="2"/>
  <c r="J193" i="2"/>
  <c r="G200" i="2"/>
  <c r="G215" i="2"/>
  <c r="O246" i="2"/>
  <c r="M246" i="2"/>
  <c r="G160" i="2"/>
  <c r="L234" i="2"/>
  <c r="J234" i="2"/>
  <c r="I235" i="2"/>
  <c r="J246" i="2"/>
  <c r="O232" i="2"/>
  <c r="M232" i="2"/>
  <c r="L236" i="2"/>
  <c r="F252" i="2"/>
  <c r="G252" i="2" s="1"/>
  <c r="I257" i="2"/>
  <c r="G257" i="2"/>
  <c r="G161" i="2"/>
  <c r="F171" i="2"/>
  <c r="G171" i="2" s="1"/>
  <c r="L245" i="2"/>
  <c r="J245" i="2"/>
  <c r="O250" i="2"/>
  <c r="M250" i="2"/>
  <c r="L281" i="2"/>
  <c r="J281" i="2"/>
  <c r="L215" i="2"/>
  <c r="J215" i="2"/>
  <c r="L262" i="2"/>
  <c r="J262" i="2"/>
  <c r="I249" i="2"/>
  <c r="G249" i="2"/>
  <c r="L255" i="2"/>
  <c r="J255" i="2"/>
  <c r="I276" i="2"/>
  <c r="G276" i="2"/>
  <c r="L247" i="2"/>
  <c r="J247" i="2"/>
  <c r="G247" i="2"/>
  <c r="G253" i="2"/>
  <c r="G255" i="2"/>
  <c r="G268" i="2"/>
  <c r="G273" i="2"/>
  <c r="G281" i="2"/>
  <c r="F266" i="2"/>
  <c r="G266" i="2" s="1"/>
  <c r="F231" i="2"/>
  <c r="G231" i="2" s="1"/>
  <c r="F235" i="2"/>
  <c r="G235" i="2" s="1"/>
  <c r="G230" i="2"/>
  <c r="G234" i="2"/>
  <c r="G238" i="2"/>
  <c r="J241" i="2"/>
  <c r="J250" i="2"/>
  <c r="J271" i="2"/>
  <c r="I230" i="2"/>
  <c r="I228" i="2" s="1"/>
  <c r="J228" i="2" s="1"/>
  <c r="G258" i="2"/>
  <c r="G262" i="2"/>
  <c r="G260" i="2" s="1"/>
  <c r="F225" i="2"/>
  <c r="G225" i="2" s="1"/>
  <c r="J180" i="2" l="1"/>
  <c r="J139" i="2"/>
  <c r="J27" i="2"/>
  <c r="O207" i="2"/>
  <c r="I24" i="2"/>
  <c r="O139" i="2"/>
  <c r="P139" i="2" s="1"/>
  <c r="J229" i="2"/>
  <c r="M67" i="2"/>
  <c r="J266" i="2"/>
  <c r="L77" i="2"/>
  <c r="O77" i="2" s="1"/>
  <c r="J17" i="2"/>
  <c r="O8" i="2"/>
  <c r="R8" i="2" s="1"/>
  <c r="J117" i="2"/>
  <c r="L55" i="2"/>
  <c r="J147" i="2"/>
  <c r="L242" i="2"/>
  <c r="L124" i="2"/>
  <c r="M124" i="2" s="1"/>
  <c r="L73" i="2"/>
  <c r="M73" i="2" s="1"/>
  <c r="M229" i="2"/>
  <c r="O185" i="2"/>
  <c r="J46" i="2"/>
  <c r="J8" i="2"/>
  <c r="L7" i="2"/>
  <c r="M137" i="2"/>
  <c r="P22" i="2"/>
  <c r="O20" i="2"/>
  <c r="P229" i="2"/>
  <c r="L20" i="2"/>
  <c r="J15" i="2"/>
  <c r="J182" i="2"/>
  <c r="L182" i="2"/>
  <c r="I231" i="2"/>
  <c r="J231" i="2" s="1"/>
  <c r="O16" i="2"/>
  <c r="R16" i="2" s="1"/>
  <c r="I14" i="2"/>
  <c r="J14" i="2" s="1"/>
  <c r="L29" i="2"/>
  <c r="J29" i="2"/>
  <c r="M183" i="2"/>
  <c r="M121" i="2"/>
  <c r="L37" i="2"/>
  <c r="I20" i="2"/>
  <c r="J20" i="2" s="1"/>
  <c r="J267" i="2"/>
  <c r="J196" i="2"/>
  <c r="L196" i="2"/>
  <c r="L233" i="2"/>
  <c r="L267" i="2"/>
  <c r="O267" i="2" s="1"/>
  <c r="M102" i="2"/>
  <c r="J207" i="2"/>
  <c r="I7" i="2"/>
  <c r="M7" i="2" s="1"/>
  <c r="J22" i="2"/>
  <c r="L126" i="2"/>
  <c r="M126" i="2" s="1"/>
  <c r="O74" i="2"/>
  <c r="R74" i="2" s="1"/>
  <c r="J201" i="2"/>
  <c r="L201" i="2"/>
  <c r="J248" i="2"/>
  <c r="L248" i="2"/>
  <c r="L163" i="2"/>
  <c r="M163" i="2" s="1"/>
  <c r="P65" i="2"/>
  <c r="O188" i="2"/>
  <c r="M188" i="2"/>
  <c r="P143" i="2"/>
  <c r="I36" i="2"/>
  <c r="J36" i="2" s="1"/>
  <c r="J34" i="2"/>
  <c r="M80" i="2"/>
  <c r="R41" i="2"/>
  <c r="O34" i="2"/>
  <c r="P34" i="2" s="1"/>
  <c r="O206" i="2"/>
  <c r="R206" i="2" s="1"/>
  <c r="R166" i="2"/>
  <c r="U166" i="2" s="1"/>
  <c r="V166" i="2" s="1"/>
  <c r="L107" i="2"/>
  <c r="M107" i="2" s="1"/>
  <c r="O75" i="2"/>
  <c r="P75" i="2" s="1"/>
  <c r="O38" i="2"/>
  <c r="R38" i="2" s="1"/>
  <c r="J275" i="2"/>
  <c r="L275" i="2"/>
  <c r="O123" i="2"/>
  <c r="M123" i="2"/>
  <c r="G191" i="2"/>
  <c r="L36" i="2"/>
  <c r="J38" i="2"/>
  <c r="L195" i="2"/>
  <c r="J195" i="2"/>
  <c r="I192" i="2"/>
  <c r="J192" i="2" s="1"/>
  <c r="L208" i="2"/>
  <c r="J208" i="2"/>
  <c r="M194" i="2"/>
  <c r="O194" i="2"/>
  <c r="O117" i="2"/>
  <c r="M117" i="2"/>
  <c r="L212" i="2"/>
  <c r="J212" i="2"/>
  <c r="L261" i="2"/>
  <c r="I260" i="2"/>
  <c r="J260" i="2" s="1"/>
  <c r="J261" i="2"/>
  <c r="J113" i="2"/>
  <c r="L113" i="2"/>
  <c r="J218" i="2"/>
  <c r="L218" i="2"/>
  <c r="J85" i="2"/>
  <c r="P18" i="2"/>
  <c r="J54" i="2"/>
  <c r="I52" i="2"/>
  <c r="I45" i="2" s="1"/>
  <c r="L54" i="2"/>
  <c r="J269" i="2"/>
  <c r="L269" i="2"/>
  <c r="J256" i="2"/>
  <c r="L256" i="2"/>
  <c r="L227" i="2"/>
  <c r="L225" i="2" s="1"/>
  <c r="M225" i="2" s="1"/>
  <c r="J227" i="2"/>
  <c r="L58" i="2"/>
  <c r="J58" i="2"/>
  <c r="P62" i="2"/>
  <c r="R62" i="2"/>
  <c r="J254" i="2"/>
  <c r="L254" i="2"/>
  <c r="J237" i="2"/>
  <c r="L237" i="2"/>
  <c r="L184" i="2"/>
  <c r="J184" i="2"/>
  <c r="O82" i="2"/>
  <c r="M82" i="2"/>
  <c r="I243" i="2"/>
  <c r="J243" i="2" s="1"/>
  <c r="L244" i="2"/>
  <c r="J244" i="2"/>
  <c r="O251" i="2"/>
  <c r="M251" i="2"/>
  <c r="L210" i="2"/>
  <c r="J210" i="2"/>
  <c r="L120" i="2"/>
  <c r="J120" i="2"/>
  <c r="L181" i="2"/>
  <c r="J181" i="2"/>
  <c r="L162" i="2"/>
  <c r="J162" i="2"/>
  <c r="I159" i="2"/>
  <c r="J159" i="2" s="1"/>
  <c r="O187" i="2"/>
  <c r="M187" i="2"/>
  <c r="O259" i="2"/>
  <c r="M259" i="2"/>
  <c r="P119" i="2"/>
  <c r="R119" i="2"/>
  <c r="R63" i="2"/>
  <c r="P63" i="2"/>
  <c r="M64" i="2"/>
  <c r="O64" i="2"/>
  <c r="S18" i="2"/>
  <c r="U18" i="2"/>
  <c r="L150" i="2"/>
  <c r="J150" i="2"/>
  <c r="I149" i="2"/>
  <c r="J92" i="2"/>
  <c r="L92" i="2"/>
  <c r="I91" i="2"/>
  <c r="J91" i="2" s="1"/>
  <c r="M27" i="2"/>
  <c r="O27" i="2"/>
  <c r="O281" i="2"/>
  <c r="M281" i="2"/>
  <c r="P200" i="2"/>
  <c r="R200" i="2"/>
  <c r="L146" i="2"/>
  <c r="J146" i="2"/>
  <c r="M175" i="2"/>
  <c r="O175" i="2"/>
  <c r="M84" i="2"/>
  <c r="O84" i="2"/>
  <c r="O46" i="2"/>
  <c r="M46" i="2"/>
  <c r="P164" i="2"/>
  <c r="R164" i="2"/>
  <c r="S115" i="2"/>
  <c r="U115" i="2"/>
  <c r="O236" i="2"/>
  <c r="M236" i="2"/>
  <c r="I214" i="2"/>
  <c r="J214" i="2" s="1"/>
  <c r="J216" i="2"/>
  <c r="L216" i="2"/>
  <c r="L214" i="2" s="1"/>
  <c r="R79" i="2"/>
  <c r="P79" i="2"/>
  <c r="L103" i="2"/>
  <c r="J103" i="2"/>
  <c r="I101" i="2"/>
  <c r="J101" i="2" s="1"/>
  <c r="L33" i="2"/>
  <c r="J33" i="2"/>
  <c r="R207" i="2"/>
  <c r="P207" i="2"/>
  <c r="L141" i="2"/>
  <c r="J141" i="2"/>
  <c r="I28" i="2"/>
  <c r="J28" i="2" s="1"/>
  <c r="R48" i="2"/>
  <c r="P48" i="2"/>
  <c r="V53" i="2"/>
  <c r="O255" i="2"/>
  <c r="M255" i="2"/>
  <c r="R232" i="2"/>
  <c r="P232" i="2"/>
  <c r="J235" i="2"/>
  <c r="R246" i="2"/>
  <c r="P246" i="2"/>
  <c r="I239" i="2"/>
  <c r="J239" i="2" s="1"/>
  <c r="L240" i="2"/>
  <c r="J240" i="2"/>
  <c r="J199" i="2"/>
  <c r="L199" i="2"/>
  <c r="F204" i="2"/>
  <c r="S229" i="2"/>
  <c r="U229" i="2"/>
  <c r="O217" i="2"/>
  <c r="M217" i="2"/>
  <c r="O116" i="2"/>
  <c r="M116" i="2"/>
  <c r="O219" i="2"/>
  <c r="M219" i="2"/>
  <c r="F155" i="2"/>
  <c r="S49" i="2"/>
  <c r="L70" i="2"/>
  <c r="J70" i="2"/>
  <c r="O25" i="2"/>
  <c r="M25" i="2"/>
  <c r="L24" i="2"/>
  <c r="F23" i="2"/>
  <c r="G23" i="2" s="1"/>
  <c r="U41" i="2"/>
  <c r="V41" i="2" s="1"/>
  <c r="O197" i="2"/>
  <c r="M197" i="2"/>
  <c r="L81" i="2"/>
  <c r="J81" i="2"/>
  <c r="J56" i="2"/>
  <c r="L56" i="2"/>
  <c r="G159" i="2"/>
  <c r="G155" i="2" s="1"/>
  <c r="O180" i="2"/>
  <c r="M180" i="2"/>
  <c r="O270" i="2"/>
  <c r="M270" i="2"/>
  <c r="O69" i="2"/>
  <c r="M69" i="2"/>
  <c r="M17" i="2"/>
  <c r="R86" i="2"/>
  <c r="P86" i="2"/>
  <c r="R20" i="2"/>
  <c r="U21" i="2"/>
  <c r="S21" i="2"/>
  <c r="I263" i="2"/>
  <c r="J263" i="2" s="1"/>
  <c r="L264" i="2"/>
  <c r="J264" i="2"/>
  <c r="J138" i="2"/>
  <c r="L138" i="2"/>
  <c r="I135" i="2"/>
  <c r="R160" i="2"/>
  <c r="P160" i="2"/>
  <c r="O87" i="2"/>
  <c r="M87" i="2"/>
  <c r="R156" i="2"/>
  <c r="P156" i="2"/>
  <c r="G52" i="2"/>
  <c r="F45" i="2"/>
  <c r="U127" i="2"/>
  <c r="V127" i="2" s="1"/>
  <c r="S127" i="2"/>
  <c r="P67" i="2"/>
  <c r="R67" i="2"/>
  <c r="R121" i="2"/>
  <c r="P121" i="2"/>
  <c r="O60" i="2"/>
  <c r="M60" i="2"/>
  <c r="L145" i="2"/>
  <c r="J145" i="2"/>
  <c r="O107" i="2"/>
  <c r="R80" i="2"/>
  <c r="P80" i="2"/>
  <c r="S143" i="2"/>
  <c r="V143" i="2"/>
  <c r="M122" i="2"/>
  <c r="O122" i="2"/>
  <c r="L93" i="2"/>
  <c r="J93" i="2"/>
  <c r="O151" i="2"/>
  <c r="M151" i="2"/>
  <c r="P108" i="2"/>
  <c r="R108" i="2"/>
  <c r="M43" i="2"/>
  <c r="O43" i="2"/>
  <c r="I68" i="2"/>
  <c r="J68" i="2" s="1"/>
  <c r="L76" i="2"/>
  <c r="J76" i="2"/>
  <c r="O190" i="2"/>
  <c r="M190" i="2"/>
  <c r="O161" i="2"/>
  <c r="M161" i="2"/>
  <c r="J72" i="2"/>
  <c r="L72" i="2"/>
  <c r="I114" i="2"/>
  <c r="J114" i="2" s="1"/>
  <c r="R102" i="2"/>
  <c r="P102" i="2"/>
  <c r="L57" i="2"/>
  <c r="J57" i="2"/>
  <c r="R13" i="2"/>
  <c r="P13" i="2"/>
  <c r="I177" i="2"/>
  <c r="J177" i="2" s="1"/>
  <c r="L178" i="2"/>
  <c r="J178" i="2"/>
  <c r="J198" i="2"/>
  <c r="L198" i="2"/>
  <c r="L220" i="2"/>
  <c r="J220" i="2"/>
  <c r="J222" i="2"/>
  <c r="L222" i="2"/>
  <c r="M144" i="2"/>
  <c r="O144" i="2"/>
  <c r="O136" i="2"/>
  <c r="M136" i="2"/>
  <c r="O90" i="2"/>
  <c r="M90" i="2"/>
  <c r="M19" i="2"/>
  <c r="O19" i="2"/>
  <c r="P250" i="2"/>
  <c r="R250" i="2"/>
  <c r="G214" i="2"/>
  <c r="J225" i="2"/>
  <c r="R179" i="2"/>
  <c r="P179" i="2"/>
  <c r="I153" i="2"/>
  <c r="J153" i="2" s="1"/>
  <c r="L154" i="2"/>
  <c r="J154" i="2"/>
  <c r="R185" i="2"/>
  <c r="P185" i="2"/>
  <c r="G205" i="2"/>
  <c r="O118" i="2"/>
  <c r="M118" i="2"/>
  <c r="O47" i="2"/>
  <c r="M47" i="2"/>
  <c r="L112" i="2"/>
  <c r="J112" i="2"/>
  <c r="I111" i="2"/>
  <c r="J111" i="2" s="1"/>
  <c r="J202" i="2"/>
  <c r="L202" i="2"/>
  <c r="O26" i="2"/>
  <c r="M26" i="2"/>
  <c r="O32" i="2"/>
  <c r="M32" i="2"/>
  <c r="M85" i="2"/>
  <c r="O85" i="2"/>
  <c r="G135" i="2"/>
  <c r="J104" i="2"/>
  <c r="L104" i="2"/>
  <c r="J24" i="2"/>
  <c r="R34" i="2"/>
  <c r="P241" i="2"/>
  <c r="R241" i="2"/>
  <c r="O176" i="2"/>
  <c r="M176" i="2"/>
  <c r="J12" i="2"/>
  <c r="I11" i="2"/>
  <c r="L12" i="2"/>
  <c r="L276" i="2"/>
  <c r="J276" i="2"/>
  <c r="L203" i="2"/>
  <c r="J203" i="2"/>
  <c r="J100" i="2"/>
  <c r="I98" i="2"/>
  <c r="J98" i="2" s="1"/>
  <c r="L100" i="2"/>
  <c r="J221" i="2"/>
  <c r="L221" i="2"/>
  <c r="O262" i="2"/>
  <c r="M262" i="2"/>
  <c r="L230" i="2"/>
  <c r="J230" i="2"/>
  <c r="L249" i="2"/>
  <c r="J249" i="2"/>
  <c r="M234" i="2"/>
  <c r="O234" i="2"/>
  <c r="O268" i="2"/>
  <c r="M268" i="2"/>
  <c r="R272" i="2"/>
  <c r="P272" i="2"/>
  <c r="O265" i="2"/>
  <c r="M265" i="2"/>
  <c r="M189" i="2"/>
  <c r="O189" i="2"/>
  <c r="G223" i="2"/>
  <c r="L165" i="2"/>
  <c r="J165" i="2"/>
  <c r="J209" i="2"/>
  <c r="I205" i="2"/>
  <c r="L209" i="2"/>
  <c r="O152" i="2"/>
  <c r="M152" i="2"/>
  <c r="I105" i="2"/>
  <c r="J105" i="2" s="1"/>
  <c r="L106" i="2"/>
  <c r="J106" i="2"/>
  <c r="L158" i="2"/>
  <c r="J158" i="2"/>
  <c r="J78" i="2"/>
  <c r="L78" i="2"/>
  <c r="F6" i="2"/>
  <c r="G6" i="2" s="1"/>
  <c r="O140" i="2"/>
  <c r="M140" i="2"/>
  <c r="O15" i="2"/>
  <c r="M15" i="2"/>
  <c r="L14" i="2"/>
  <c r="M14" i="2" s="1"/>
  <c r="O88" i="2"/>
  <c r="M88" i="2"/>
  <c r="P271" i="2"/>
  <c r="R271" i="2"/>
  <c r="O147" i="2"/>
  <c r="M147" i="2"/>
  <c r="I211" i="2"/>
  <c r="J211" i="2" s="1"/>
  <c r="L213" i="2"/>
  <c r="J213" i="2"/>
  <c r="L40" i="2"/>
  <c r="J40" i="2"/>
  <c r="I39" i="2"/>
  <c r="J39" i="2" s="1"/>
  <c r="L257" i="2"/>
  <c r="J257" i="2"/>
  <c r="L173" i="2"/>
  <c r="J173" i="2"/>
  <c r="R183" i="2"/>
  <c r="P183" i="2"/>
  <c r="O253" i="2"/>
  <c r="M253" i="2"/>
  <c r="O245" i="2"/>
  <c r="M245" i="2"/>
  <c r="O174" i="2"/>
  <c r="M174" i="2"/>
  <c r="O226" i="2"/>
  <c r="M226" i="2"/>
  <c r="J224" i="2"/>
  <c r="L224" i="2"/>
  <c r="O273" i="2"/>
  <c r="M273" i="2"/>
  <c r="R83" i="2"/>
  <c r="P83" i="2"/>
  <c r="O142" i="2"/>
  <c r="M142" i="2"/>
  <c r="O31" i="2"/>
  <c r="M31" i="2"/>
  <c r="M77" i="2"/>
  <c r="R109" i="2"/>
  <c r="P109" i="2"/>
  <c r="J96" i="2"/>
  <c r="I95" i="2"/>
  <c r="L96" i="2"/>
  <c r="G11" i="2"/>
  <c r="F10" i="2"/>
  <c r="G10" i="2" s="1"/>
  <c r="P30" i="2"/>
  <c r="R30" i="2"/>
  <c r="R42" i="2"/>
  <c r="P42" i="2"/>
  <c r="O97" i="2"/>
  <c r="M97" i="2"/>
  <c r="R137" i="2"/>
  <c r="P137" i="2"/>
  <c r="I274" i="2"/>
  <c r="J274" i="2" s="1"/>
  <c r="M238" i="2"/>
  <c r="O238" i="2"/>
  <c r="O247" i="2"/>
  <c r="M247" i="2"/>
  <c r="M215" i="2"/>
  <c r="O215" i="2"/>
  <c r="O193" i="2"/>
  <c r="M193" i="2"/>
  <c r="O258" i="2"/>
  <c r="M258" i="2"/>
  <c r="F223" i="2"/>
  <c r="O163" i="2"/>
  <c r="M157" i="2"/>
  <c r="O157" i="2"/>
  <c r="M125" i="2"/>
  <c r="O125" i="2"/>
  <c r="R172" i="2"/>
  <c r="P172" i="2"/>
  <c r="L59" i="2"/>
  <c r="J59" i="2"/>
  <c r="O35" i="2"/>
  <c r="M35" i="2"/>
  <c r="O55" i="2"/>
  <c r="M55" i="2"/>
  <c r="L71" i="2"/>
  <c r="J71" i="2"/>
  <c r="G95" i="2"/>
  <c r="F94" i="2"/>
  <c r="G94" i="2" s="1"/>
  <c r="J52" i="2"/>
  <c r="P74" i="2"/>
  <c r="R139" i="2" l="1"/>
  <c r="U139" i="2" s="1"/>
  <c r="V139" i="2" s="1"/>
  <c r="P206" i="2"/>
  <c r="P8" i="2"/>
  <c r="P38" i="2"/>
  <c r="O124" i="2"/>
  <c r="R124" i="2" s="1"/>
  <c r="O73" i="2"/>
  <c r="R73" i="2" s="1"/>
  <c r="P16" i="2"/>
  <c r="M20" i="2"/>
  <c r="O242" i="2"/>
  <c r="M242" i="2"/>
  <c r="L266" i="2"/>
  <c r="M266" i="2" s="1"/>
  <c r="L159" i="2"/>
  <c r="M159" i="2" s="1"/>
  <c r="M267" i="2"/>
  <c r="O7" i="2"/>
  <c r="S41" i="2"/>
  <c r="L114" i="2"/>
  <c r="M114" i="2" s="1"/>
  <c r="R75" i="2"/>
  <c r="U75" i="2" s="1"/>
  <c r="V75" i="2" s="1"/>
  <c r="O37" i="2"/>
  <c r="M37" i="2"/>
  <c r="M29" i="2"/>
  <c r="O29" i="2"/>
  <c r="P20" i="2"/>
  <c r="O126" i="2"/>
  <c r="I6" i="2"/>
  <c r="J6" i="2" s="1"/>
  <c r="L68" i="2"/>
  <c r="M68" i="2" s="1"/>
  <c r="I23" i="2"/>
  <c r="J23" i="2" s="1"/>
  <c r="F280" i="2"/>
  <c r="G280" i="2" s="1"/>
  <c r="O233" i="2"/>
  <c r="M233" i="2"/>
  <c r="L231" i="2"/>
  <c r="M231" i="2" s="1"/>
  <c r="M36" i="2"/>
  <c r="M196" i="2"/>
  <c r="O196" i="2"/>
  <c r="J7" i="2"/>
  <c r="O182" i="2"/>
  <c r="M182" i="2"/>
  <c r="L52" i="2"/>
  <c r="M52" i="2" s="1"/>
  <c r="O54" i="2"/>
  <c r="O52" i="2" s="1"/>
  <c r="M54" i="2"/>
  <c r="M58" i="2"/>
  <c r="O58" i="2"/>
  <c r="P82" i="2"/>
  <c r="R82" i="2"/>
  <c r="O227" i="2"/>
  <c r="M227" i="2"/>
  <c r="O256" i="2"/>
  <c r="M256" i="2"/>
  <c r="M113" i="2"/>
  <c r="O113" i="2"/>
  <c r="M208" i="2"/>
  <c r="O208" i="2"/>
  <c r="O184" i="2"/>
  <c r="M184" i="2"/>
  <c r="O237" i="2"/>
  <c r="O235" i="2" s="1"/>
  <c r="M237" i="2"/>
  <c r="O254" i="2"/>
  <c r="M254" i="2"/>
  <c r="S166" i="2"/>
  <c r="I171" i="2"/>
  <c r="J171" i="2" s="1"/>
  <c r="S62" i="2"/>
  <c r="U62" i="2"/>
  <c r="V62" i="2" s="1"/>
  <c r="M212" i="2"/>
  <c r="O212" i="2"/>
  <c r="L135" i="2"/>
  <c r="M135" i="2" s="1"/>
  <c r="L235" i="2"/>
  <c r="M235" i="2" s="1"/>
  <c r="M201" i="2"/>
  <c r="O201" i="2"/>
  <c r="R188" i="2"/>
  <c r="P188" i="2"/>
  <c r="O195" i="2"/>
  <c r="O192" i="2" s="1"/>
  <c r="M195" i="2"/>
  <c r="L192" i="2"/>
  <c r="M192" i="2" s="1"/>
  <c r="I252" i="2"/>
  <c r="J252" i="2" s="1"/>
  <c r="M248" i="2"/>
  <c r="O248" i="2"/>
  <c r="R117" i="2"/>
  <c r="P117" i="2"/>
  <c r="I191" i="2"/>
  <c r="J191" i="2" s="1"/>
  <c r="P123" i="2"/>
  <c r="R123" i="2"/>
  <c r="M269" i="2"/>
  <c r="O269" i="2"/>
  <c r="O261" i="2"/>
  <c r="M261" i="2"/>
  <c r="L260" i="2"/>
  <c r="M260" i="2" s="1"/>
  <c r="P194" i="2"/>
  <c r="R194" i="2"/>
  <c r="O260" i="2"/>
  <c r="O218" i="2"/>
  <c r="M218" i="2"/>
  <c r="O275" i="2"/>
  <c r="M275" i="2"/>
  <c r="R47" i="2"/>
  <c r="P47" i="2"/>
  <c r="O145" i="2"/>
  <c r="M145" i="2"/>
  <c r="R64" i="2"/>
  <c r="P64" i="2"/>
  <c r="R259" i="2"/>
  <c r="P259" i="2"/>
  <c r="L211" i="2"/>
  <c r="M211" i="2" s="1"/>
  <c r="O213" i="2"/>
  <c r="M213" i="2"/>
  <c r="P27" i="2"/>
  <c r="R27" i="2"/>
  <c r="S86" i="2"/>
  <c r="U86" i="2"/>
  <c r="V86" i="2" s="1"/>
  <c r="U34" i="2"/>
  <c r="V34" i="2" s="1"/>
  <c r="S34" i="2"/>
  <c r="R215" i="2"/>
  <c r="P215" i="2"/>
  <c r="O203" i="2"/>
  <c r="M203" i="2"/>
  <c r="R46" i="2"/>
  <c r="P46" i="2"/>
  <c r="U271" i="2"/>
  <c r="V271" i="2" s="1"/>
  <c r="S271" i="2"/>
  <c r="I204" i="2"/>
  <c r="J204" i="2" s="1"/>
  <c r="J205" i="2"/>
  <c r="O221" i="2"/>
  <c r="M221" i="2"/>
  <c r="G45" i="2"/>
  <c r="F44" i="2"/>
  <c r="R69" i="2"/>
  <c r="P69" i="2"/>
  <c r="O199" i="2"/>
  <c r="M199" i="2"/>
  <c r="O33" i="2"/>
  <c r="M33" i="2"/>
  <c r="L28" i="2"/>
  <c r="M28" i="2" s="1"/>
  <c r="R84" i="2"/>
  <c r="P84" i="2"/>
  <c r="S63" i="2"/>
  <c r="U63" i="2"/>
  <c r="V63" i="2" s="1"/>
  <c r="R251" i="2"/>
  <c r="P251" i="2"/>
  <c r="S172" i="2"/>
  <c r="U172" i="2"/>
  <c r="S42" i="2"/>
  <c r="U42" i="2"/>
  <c r="V42" i="2" s="1"/>
  <c r="V241" i="2"/>
  <c r="S241" i="2"/>
  <c r="S179" i="2"/>
  <c r="V179" i="2"/>
  <c r="R197" i="2"/>
  <c r="P197" i="2"/>
  <c r="U30" i="2"/>
  <c r="V30" i="2" s="1"/>
  <c r="S30" i="2"/>
  <c r="M230" i="2"/>
  <c r="L228" i="2"/>
  <c r="M228" i="2" s="1"/>
  <c r="O230" i="2"/>
  <c r="O173" i="2"/>
  <c r="M173" i="2"/>
  <c r="R32" i="2"/>
  <c r="P32" i="2"/>
  <c r="J135" i="2"/>
  <c r="O210" i="2"/>
  <c r="M210" i="2"/>
  <c r="R147" i="2"/>
  <c r="P147" i="2"/>
  <c r="R265" i="2"/>
  <c r="P265" i="2"/>
  <c r="U250" i="2"/>
  <c r="V250" i="2" s="1"/>
  <c r="S250" i="2"/>
  <c r="R161" i="2"/>
  <c r="P161" i="2"/>
  <c r="R187" i="2"/>
  <c r="P187" i="2"/>
  <c r="M214" i="2"/>
  <c r="R273" i="2"/>
  <c r="P273" i="2"/>
  <c r="R125" i="2"/>
  <c r="P125" i="2"/>
  <c r="P77" i="2"/>
  <c r="R77" i="2"/>
  <c r="M224" i="2"/>
  <c r="O224" i="2"/>
  <c r="O158" i="2"/>
  <c r="M158" i="2"/>
  <c r="U272" i="2"/>
  <c r="V272" i="2" s="1"/>
  <c r="S272" i="2"/>
  <c r="O276" i="2"/>
  <c r="M276" i="2"/>
  <c r="L274" i="2"/>
  <c r="M274" i="2" s="1"/>
  <c r="P26" i="2"/>
  <c r="R26" i="2"/>
  <c r="G204" i="2"/>
  <c r="P90" i="2"/>
  <c r="R90" i="2"/>
  <c r="P151" i="2"/>
  <c r="R151" i="2"/>
  <c r="O56" i="2"/>
  <c r="M56" i="2"/>
  <c r="J149" i="2"/>
  <c r="I148" i="2"/>
  <c r="J148" i="2" s="1"/>
  <c r="U8" i="2"/>
  <c r="S8" i="2"/>
  <c r="R7" i="2"/>
  <c r="M57" i="2"/>
  <c r="O57" i="2"/>
  <c r="R43" i="2"/>
  <c r="P43" i="2"/>
  <c r="R180" i="2"/>
  <c r="P180" i="2"/>
  <c r="S109" i="2"/>
  <c r="U109" i="2"/>
  <c r="V109" i="2" s="1"/>
  <c r="P152" i="2"/>
  <c r="R152" i="2"/>
  <c r="O141" i="2"/>
  <c r="M141" i="2"/>
  <c r="R236" i="2"/>
  <c r="P236" i="2"/>
  <c r="R140" i="2"/>
  <c r="P140" i="2"/>
  <c r="R118" i="2"/>
  <c r="P118" i="2"/>
  <c r="U232" i="2"/>
  <c r="S232" i="2"/>
  <c r="M220" i="2"/>
  <c r="O220" i="2"/>
  <c r="R190" i="2"/>
  <c r="P190" i="2"/>
  <c r="L263" i="2"/>
  <c r="M263" i="2" s="1"/>
  <c r="O264" i="2"/>
  <c r="M264" i="2"/>
  <c r="P219" i="2"/>
  <c r="R219" i="2"/>
  <c r="P175" i="2"/>
  <c r="R175" i="2"/>
  <c r="O146" i="2"/>
  <c r="M146" i="2"/>
  <c r="M162" i="2"/>
  <c r="O162" i="2"/>
  <c r="L243" i="2"/>
  <c r="M243" i="2" s="1"/>
  <c r="O244" i="2"/>
  <c r="M244" i="2"/>
  <c r="U183" i="2"/>
  <c r="V183" i="2" s="1"/>
  <c r="S183" i="2"/>
  <c r="U164" i="2"/>
  <c r="V164" i="2" s="1"/>
  <c r="S164" i="2"/>
  <c r="M70" i="2"/>
  <c r="O70" i="2"/>
  <c r="R19" i="2"/>
  <c r="P19" i="2"/>
  <c r="O17" i="2"/>
  <c r="P17" i="2" s="1"/>
  <c r="R281" i="2"/>
  <c r="P281" i="2"/>
  <c r="P226" i="2"/>
  <c r="R226" i="2"/>
  <c r="P35" i="2"/>
  <c r="R35" i="2"/>
  <c r="R238" i="2"/>
  <c r="P238" i="2"/>
  <c r="P144" i="2"/>
  <c r="R144" i="2"/>
  <c r="U246" i="2"/>
  <c r="V246" i="2" s="1"/>
  <c r="S246" i="2"/>
  <c r="O14" i="2"/>
  <c r="P14" i="2" s="1"/>
  <c r="R15" i="2"/>
  <c r="P15" i="2"/>
  <c r="U74" i="2"/>
  <c r="V74" i="2" s="1"/>
  <c r="S74" i="2"/>
  <c r="O222" i="2"/>
  <c r="M222" i="2"/>
  <c r="U108" i="2"/>
  <c r="V108" i="2" s="1"/>
  <c r="S108" i="2"/>
  <c r="L205" i="2"/>
  <c r="M209" i="2"/>
  <c r="O209" i="2"/>
  <c r="M59" i="2"/>
  <c r="O59" i="2"/>
  <c r="R126" i="2"/>
  <c r="P126" i="2"/>
  <c r="M100" i="2"/>
  <c r="L98" i="2"/>
  <c r="M98" i="2" s="1"/>
  <c r="O100" i="2"/>
  <c r="M104" i="2"/>
  <c r="O104" i="2"/>
  <c r="O202" i="2"/>
  <c r="M202" i="2"/>
  <c r="R255" i="2"/>
  <c r="P255" i="2"/>
  <c r="P31" i="2"/>
  <c r="R31" i="2"/>
  <c r="I223" i="2"/>
  <c r="J223" i="2" s="1"/>
  <c r="R245" i="2"/>
  <c r="P245" i="2"/>
  <c r="O257" i="2"/>
  <c r="M257" i="2"/>
  <c r="U206" i="2"/>
  <c r="S206" i="2"/>
  <c r="L105" i="2"/>
  <c r="M105" i="2" s="1"/>
  <c r="M106" i="2"/>
  <c r="O106" i="2"/>
  <c r="O165" i="2"/>
  <c r="M165" i="2"/>
  <c r="R268" i="2"/>
  <c r="P268" i="2"/>
  <c r="O12" i="2"/>
  <c r="M12" i="2"/>
  <c r="L11" i="2"/>
  <c r="S185" i="2"/>
  <c r="U185" i="2"/>
  <c r="V185" i="2" s="1"/>
  <c r="R136" i="2"/>
  <c r="P136" i="2"/>
  <c r="O198" i="2"/>
  <c r="M198" i="2"/>
  <c r="S102" i="2"/>
  <c r="R60" i="2"/>
  <c r="P60" i="2"/>
  <c r="L239" i="2"/>
  <c r="M239" i="2" s="1"/>
  <c r="O240" i="2"/>
  <c r="M240" i="2"/>
  <c r="U207" i="2"/>
  <c r="V207" i="2" s="1"/>
  <c r="S207" i="2"/>
  <c r="O103" i="2"/>
  <c r="M103" i="2"/>
  <c r="L101" i="2"/>
  <c r="M101" i="2" s="1"/>
  <c r="P124" i="2"/>
  <c r="M150" i="2"/>
  <c r="L149" i="2"/>
  <c r="O150" i="2"/>
  <c r="O71" i="2"/>
  <c r="M71" i="2"/>
  <c r="R157" i="2"/>
  <c r="P157" i="2"/>
  <c r="U137" i="2"/>
  <c r="V137" i="2" s="1"/>
  <c r="S137" i="2"/>
  <c r="J45" i="2"/>
  <c r="J44" i="2" s="1"/>
  <c r="I44" i="2"/>
  <c r="L252" i="2"/>
  <c r="M252" i="2" s="1"/>
  <c r="R234" i="2"/>
  <c r="P234" i="2"/>
  <c r="I10" i="2"/>
  <c r="J10" i="2" s="1"/>
  <c r="J11" i="2"/>
  <c r="U80" i="2"/>
  <c r="V80" i="2" s="1"/>
  <c r="S80" i="2"/>
  <c r="S156" i="2"/>
  <c r="U156" i="2"/>
  <c r="M81" i="2"/>
  <c r="O81" i="2"/>
  <c r="S16" i="2"/>
  <c r="U16" i="2"/>
  <c r="V16" i="2" s="1"/>
  <c r="R116" i="2"/>
  <c r="P116" i="2"/>
  <c r="O181" i="2"/>
  <c r="M181" i="2"/>
  <c r="R258" i="2"/>
  <c r="P258" i="2"/>
  <c r="R247" i="2"/>
  <c r="P247" i="2"/>
  <c r="O96" i="2"/>
  <c r="L95" i="2"/>
  <c r="M96" i="2"/>
  <c r="P142" i="2"/>
  <c r="R142" i="2"/>
  <c r="M154" i="2"/>
  <c r="O154" i="2"/>
  <c r="L153" i="2"/>
  <c r="M153" i="2" s="1"/>
  <c r="U13" i="2"/>
  <c r="V13" i="2" s="1"/>
  <c r="S13" i="2"/>
  <c r="O72" i="2"/>
  <c r="M72" i="2"/>
  <c r="O93" i="2"/>
  <c r="M93" i="2"/>
  <c r="U121" i="2"/>
  <c r="V121" i="2" s="1"/>
  <c r="S121" i="2"/>
  <c r="M24" i="2"/>
  <c r="U79" i="2"/>
  <c r="V79" i="2" s="1"/>
  <c r="S79" i="2"/>
  <c r="V115" i="2"/>
  <c r="S200" i="2"/>
  <c r="U200" i="2"/>
  <c r="V200" i="2" s="1"/>
  <c r="S119" i="2"/>
  <c r="U119" i="2"/>
  <c r="V119" i="2" s="1"/>
  <c r="I155" i="2"/>
  <c r="J155" i="2" s="1"/>
  <c r="R189" i="2"/>
  <c r="P189" i="2"/>
  <c r="S160" i="2"/>
  <c r="U160" i="2"/>
  <c r="R55" i="2"/>
  <c r="P55" i="2"/>
  <c r="P97" i="2"/>
  <c r="R97" i="2"/>
  <c r="J95" i="2"/>
  <c r="I94" i="2"/>
  <c r="J94" i="2" s="1"/>
  <c r="R253" i="2"/>
  <c r="P253" i="2"/>
  <c r="O40" i="2"/>
  <c r="M40" i="2"/>
  <c r="L39" i="2"/>
  <c r="M39" i="2" s="1"/>
  <c r="R88" i="2"/>
  <c r="P88" i="2"/>
  <c r="O266" i="2"/>
  <c r="P266" i="2" s="1"/>
  <c r="R267" i="2"/>
  <c r="P267" i="2"/>
  <c r="L177" i="2"/>
  <c r="M177" i="2" s="1"/>
  <c r="O178" i="2"/>
  <c r="M178" i="2"/>
  <c r="M76" i="2"/>
  <c r="O76" i="2"/>
  <c r="P122" i="2"/>
  <c r="R122" i="2"/>
  <c r="R107" i="2"/>
  <c r="P107" i="2"/>
  <c r="R87" i="2"/>
  <c r="P87" i="2"/>
  <c r="V21" i="2"/>
  <c r="U20" i="2"/>
  <c r="V20" i="2" s="1"/>
  <c r="R270" i="2"/>
  <c r="P270" i="2"/>
  <c r="R217" i="2"/>
  <c r="P217" i="2"/>
  <c r="U48" i="2"/>
  <c r="V48" i="2" s="1"/>
  <c r="S48" i="2"/>
  <c r="O216" i="2"/>
  <c r="O214" i="2" s="1"/>
  <c r="P214" i="2" s="1"/>
  <c r="M216" i="2"/>
  <c r="V18" i="2"/>
  <c r="M120" i="2"/>
  <c r="O120" i="2"/>
  <c r="O114" i="2" s="1"/>
  <c r="P114" i="2" s="1"/>
  <c r="R174" i="2"/>
  <c r="P174" i="2"/>
  <c r="R262" i="2"/>
  <c r="P262" i="2"/>
  <c r="M138" i="2"/>
  <c r="O138" i="2"/>
  <c r="M92" i="2"/>
  <c r="L91" i="2"/>
  <c r="M91" i="2" s="1"/>
  <c r="O92" i="2"/>
  <c r="R163" i="2"/>
  <c r="P163" i="2"/>
  <c r="R193" i="2"/>
  <c r="P193" i="2"/>
  <c r="S38" i="2"/>
  <c r="U38" i="2"/>
  <c r="V38" i="2" s="1"/>
  <c r="U83" i="2"/>
  <c r="V83" i="2" s="1"/>
  <c r="S83" i="2"/>
  <c r="O78" i="2"/>
  <c r="M78" i="2"/>
  <c r="O249" i="2"/>
  <c r="M249" i="2"/>
  <c r="P176" i="2"/>
  <c r="R176" i="2"/>
  <c r="P85" i="2"/>
  <c r="R85" i="2"/>
  <c r="O112" i="2"/>
  <c r="M112" i="2"/>
  <c r="L111" i="2"/>
  <c r="M111" i="2" s="1"/>
  <c r="P7" i="2"/>
  <c r="U67" i="2"/>
  <c r="V67" i="2" s="1"/>
  <c r="S67" i="2"/>
  <c r="S20" i="2"/>
  <c r="P25" i="2"/>
  <c r="O24" i="2"/>
  <c r="R25" i="2"/>
  <c r="V229" i="2"/>
  <c r="P73" i="2" l="1"/>
  <c r="L45" i="2"/>
  <c r="S139" i="2"/>
  <c r="L191" i="2"/>
  <c r="M191" i="2" s="1"/>
  <c r="S75" i="2"/>
  <c r="F282" i="2"/>
  <c r="G282" i="2" s="1"/>
  <c r="R242" i="2"/>
  <c r="P242" i="2"/>
  <c r="P260" i="2"/>
  <c r="O28" i="2"/>
  <c r="O23" i="2" s="1"/>
  <c r="P235" i="2"/>
  <c r="I110" i="2"/>
  <c r="I129" i="2" s="1"/>
  <c r="P29" i="2"/>
  <c r="R29" i="2"/>
  <c r="O68" i="2"/>
  <c r="P68" i="2" s="1"/>
  <c r="R196" i="2"/>
  <c r="P196" i="2"/>
  <c r="R37" i="2"/>
  <c r="P37" i="2"/>
  <c r="P233" i="2"/>
  <c r="R233" i="2"/>
  <c r="R231" i="2" s="1"/>
  <c r="O231" i="2"/>
  <c r="P231" i="2" s="1"/>
  <c r="R182" i="2"/>
  <c r="P182" i="2"/>
  <c r="I280" i="2"/>
  <c r="I282" i="2" s="1"/>
  <c r="J282" i="2" s="1"/>
  <c r="O36" i="2"/>
  <c r="P36" i="2" s="1"/>
  <c r="P275" i="2"/>
  <c r="R275" i="2"/>
  <c r="U188" i="2"/>
  <c r="V188" i="2" s="1"/>
  <c r="S188" i="2"/>
  <c r="P201" i="2"/>
  <c r="R201" i="2"/>
  <c r="P218" i="2"/>
  <c r="R218" i="2"/>
  <c r="U117" i="2"/>
  <c r="V117" i="2" s="1"/>
  <c r="S117" i="2"/>
  <c r="L23" i="2"/>
  <c r="M23" i="2" s="1"/>
  <c r="P52" i="2"/>
  <c r="R237" i="2"/>
  <c r="R235" i="2" s="1"/>
  <c r="P237" i="2"/>
  <c r="P227" i="2"/>
  <c r="R227" i="2"/>
  <c r="O225" i="2"/>
  <c r="P225" i="2" s="1"/>
  <c r="L171" i="2"/>
  <c r="M171" i="2" s="1"/>
  <c r="P58" i="2"/>
  <c r="R58" i="2"/>
  <c r="R256" i="2"/>
  <c r="P256" i="2"/>
  <c r="P254" i="2"/>
  <c r="R254" i="2"/>
  <c r="U82" i="2"/>
  <c r="V82" i="2" s="1"/>
  <c r="S82" i="2"/>
  <c r="O45" i="2"/>
  <c r="P261" i="2"/>
  <c r="R261" i="2"/>
  <c r="R260" i="2" s="1"/>
  <c r="R212" i="2"/>
  <c r="P212" i="2"/>
  <c r="P184" i="2"/>
  <c r="R184" i="2"/>
  <c r="O252" i="2"/>
  <c r="P252" i="2" s="1"/>
  <c r="U194" i="2"/>
  <c r="V194" i="2" s="1"/>
  <c r="S194" i="2"/>
  <c r="R269" i="2"/>
  <c r="P269" i="2"/>
  <c r="R208" i="2"/>
  <c r="P208" i="2"/>
  <c r="R248" i="2"/>
  <c r="P248" i="2"/>
  <c r="R195" i="2"/>
  <c r="P195" i="2"/>
  <c r="P54" i="2"/>
  <c r="R54" i="2"/>
  <c r="R52" i="2" s="1"/>
  <c r="U123" i="2"/>
  <c r="V123" i="2" s="1"/>
  <c r="S123" i="2"/>
  <c r="R113" i="2"/>
  <c r="P113" i="2"/>
  <c r="P24" i="2"/>
  <c r="U85" i="2"/>
  <c r="V85" i="2" s="1"/>
  <c r="S85" i="2"/>
  <c r="U136" i="2"/>
  <c r="S136" i="2"/>
  <c r="V180" i="2"/>
  <c r="S180" i="2"/>
  <c r="U251" i="2"/>
  <c r="V251" i="2" s="1"/>
  <c r="S251" i="2"/>
  <c r="R213" i="2"/>
  <c r="P213" i="2"/>
  <c r="O211" i="2"/>
  <c r="P211" i="2" s="1"/>
  <c r="U47" i="2"/>
  <c r="V47" i="2" s="1"/>
  <c r="S47" i="2"/>
  <c r="U262" i="2"/>
  <c r="V262" i="2" s="1"/>
  <c r="S262" i="2"/>
  <c r="U73" i="2"/>
  <c r="V73" i="2" s="1"/>
  <c r="S73" i="2"/>
  <c r="P222" i="2"/>
  <c r="R222" i="2"/>
  <c r="R225" i="2"/>
  <c r="U226" i="2"/>
  <c r="S226" i="2"/>
  <c r="P173" i="2"/>
  <c r="R173" i="2"/>
  <c r="U69" i="2"/>
  <c r="S69" i="2"/>
  <c r="R112" i="2"/>
  <c r="P112" i="2"/>
  <c r="O111" i="2"/>
  <c r="P111" i="2" s="1"/>
  <c r="R96" i="2"/>
  <c r="P96" i="2"/>
  <c r="O95" i="2"/>
  <c r="U176" i="2"/>
  <c r="V176" i="2" s="1"/>
  <c r="S176" i="2"/>
  <c r="U55" i="2"/>
  <c r="V55" i="2" s="1"/>
  <c r="S55" i="2"/>
  <c r="V156" i="2"/>
  <c r="S60" i="2"/>
  <c r="U60" i="2"/>
  <c r="V60" i="2" s="1"/>
  <c r="P146" i="2"/>
  <c r="R146" i="2"/>
  <c r="U125" i="2"/>
  <c r="V125" i="2" s="1"/>
  <c r="S125" i="2"/>
  <c r="U265" i="2"/>
  <c r="V265" i="2" s="1"/>
  <c r="S265" i="2"/>
  <c r="R202" i="2"/>
  <c r="P202" i="2"/>
  <c r="U175" i="2"/>
  <c r="V175" i="2" s="1"/>
  <c r="S175" i="2"/>
  <c r="G44" i="2"/>
  <c r="F110" i="2"/>
  <c r="U193" i="2"/>
  <c r="S193" i="2"/>
  <c r="P120" i="2"/>
  <c r="R120" i="2"/>
  <c r="R114" i="2" s="1"/>
  <c r="U258" i="2"/>
  <c r="V258" i="2" s="1"/>
  <c r="S258" i="2"/>
  <c r="L10" i="2"/>
  <c r="M10" i="2" s="1"/>
  <c r="M11" i="2"/>
  <c r="L6" i="2"/>
  <c r="M6" i="2" s="1"/>
  <c r="V206" i="2"/>
  <c r="R104" i="2"/>
  <c r="P104" i="2"/>
  <c r="S144" i="2"/>
  <c r="U144" i="2"/>
  <c r="V144" i="2" s="1"/>
  <c r="V232" i="2"/>
  <c r="S273" i="2"/>
  <c r="U273" i="2"/>
  <c r="V273" i="2" s="1"/>
  <c r="S147" i="2"/>
  <c r="U147" i="2"/>
  <c r="V147" i="2" s="1"/>
  <c r="U259" i="2"/>
  <c r="V259" i="2" s="1"/>
  <c r="S259" i="2"/>
  <c r="U88" i="2"/>
  <c r="V88" i="2" s="1"/>
  <c r="S88" i="2"/>
  <c r="S247" i="2"/>
  <c r="U247" i="2"/>
  <c r="V247" i="2" s="1"/>
  <c r="U124" i="2"/>
  <c r="V124" i="2" s="1"/>
  <c r="S124" i="2"/>
  <c r="R59" i="2"/>
  <c r="P59" i="2"/>
  <c r="U43" i="2"/>
  <c r="V43" i="2" s="1"/>
  <c r="S43" i="2"/>
  <c r="S215" i="2"/>
  <c r="U215" i="2"/>
  <c r="U217" i="2"/>
  <c r="V217" i="2" s="1"/>
  <c r="S217" i="2"/>
  <c r="R249" i="2"/>
  <c r="P249" i="2"/>
  <c r="R76" i="2"/>
  <c r="P76" i="2"/>
  <c r="R40" i="2"/>
  <c r="O39" i="2"/>
  <c r="P39" i="2" s="1"/>
  <c r="P40" i="2"/>
  <c r="V160" i="2"/>
  <c r="P93" i="2"/>
  <c r="R93" i="2"/>
  <c r="U116" i="2"/>
  <c r="S116" i="2"/>
  <c r="P103" i="2"/>
  <c r="R103" i="2"/>
  <c r="O101" i="2"/>
  <c r="P101" i="2" s="1"/>
  <c r="S255" i="2"/>
  <c r="U255" i="2"/>
  <c r="V255" i="2" s="1"/>
  <c r="S281" i="2"/>
  <c r="U281" i="2"/>
  <c r="V281" i="2" s="1"/>
  <c r="S219" i="2"/>
  <c r="U219" i="2"/>
  <c r="V219" i="2" s="1"/>
  <c r="S7" i="2"/>
  <c r="U26" i="2"/>
  <c r="V26" i="2" s="1"/>
  <c r="S26" i="2"/>
  <c r="S87" i="2"/>
  <c r="U87" i="2"/>
  <c r="V87" i="2" s="1"/>
  <c r="P192" i="2"/>
  <c r="O191" i="2"/>
  <c r="M45" i="2"/>
  <c r="M44" i="2" s="1"/>
  <c r="L44" i="2"/>
  <c r="S90" i="2"/>
  <c r="U90" i="2"/>
  <c r="V90" i="2" s="1"/>
  <c r="P221" i="2"/>
  <c r="R221" i="2"/>
  <c r="U174" i="2"/>
  <c r="V174" i="2" s="1"/>
  <c r="S174" i="2"/>
  <c r="P57" i="2"/>
  <c r="R57" i="2"/>
  <c r="S163" i="2"/>
  <c r="U163" i="2"/>
  <c r="V163" i="2" s="1"/>
  <c r="V102" i="2"/>
  <c r="R12" i="2"/>
  <c r="P12" i="2"/>
  <c r="O11" i="2"/>
  <c r="R100" i="2"/>
  <c r="P100" i="2"/>
  <c r="O98" i="2"/>
  <c r="P98" i="2" s="1"/>
  <c r="R209" i="2"/>
  <c r="P209" i="2"/>
  <c r="O205" i="2"/>
  <c r="R244" i="2"/>
  <c r="P244" i="2"/>
  <c r="O243" i="2"/>
  <c r="P243" i="2" s="1"/>
  <c r="P210" i="2"/>
  <c r="R210" i="2"/>
  <c r="U84" i="2"/>
  <c r="V84" i="2" s="1"/>
  <c r="S84" i="2"/>
  <c r="S64" i="2"/>
  <c r="U64" i="2"/>
  <c r="V64" i="2" s="1"/>
  <c r="U107" i="2"/>
  <c r="V107" i="2" s="1"/>
  <c r="S107" i="2"/>
  <c r="R141" i="2"/>
  <c r="P141" i="2"/>
  <c r="R158" i="2"/>
  <c r="P158" i="2"/>
  <c r="S122" i="2"/>
  <c r="U122" i="2"/>
  <c r="V122" i="2" s="1"/>
  <c r="R154" i="2"/>
  <c r="P154" i="2"/>
  <c r="O153" i="2"/>
  <c r="P153" i="2" s="1"/>
  <c r="S152" i="2"/>
  <c r="U152" i="2"/>
  <c r="V152" i="2" s="1"/>
  <c r="P78" i="2"/>
  <c r="R78" i="2"/>
  <c r="O91" i="2"/>
  <c r="P91" i="2" s="1"/>
  <c r="R92" i="2"/>
  <c r="P92" i="2"/>
  <c r="R72" i="2"/>
  <c r="P72" i="2"/>
  <c r="R181" i="2"/>
  <c r="P181" i="2"/>
  <c r="U157" i="2"/>
  <c r="V157" i="2" s="1"/>
  <c r="S157" i="2"/>
  <c r="R257" i="2"/>
  <c r="P257" i="2"/>
  <c r="U238" i="2"/>
  <c r="V238" i="2" s="1"/>
  <c r="S238" i="2"/>
  <c r="U118" i="2"/>
  <c r="V118" i="2" s="1"/>
  <c r="S118" i="2"/>
  <c r="U7" i="2"/>
  <c r="V8" i="2"/>
  <c r="R56" i="2"/>
  <c r="P56" i="2"/>
  <c r="R224" i="2"/>
  <c r="P224" i="2"/>
  <c r="U187" i="2"/>
  <c r="V187" i="2" s="1"/>
  <c r="S187" i="2"/>
  <c r="U197" i="2"/>
  <c r="V197" i="2" s="1"/>
  <c r="S197" i="2"/>
  <c r="R220" i="2"/>
  <c r="P220" i="2"/>
  <c r="S253" i="2"/>
  <c r="P178" i="2"/>
  <c r="O177" i="2"/>
  <c r="P177" i="2" s="1"/>
  <c r="R178" i="2"/>
  <c r="U142" i="2"/>
  <c r="V142" i="2" s="1"/>
  <c r="S142" i="2"/>
  <c r="S268" i="2"/>
  <c r="U268" i="2"/>
  <c r="V268" i="2" s="1"/>
  <c r="M205" i="2"/>
  <c r="L204" i="2"/>
  <c r="M204" i="2" s="1"/>
  <c r="U35" i="2"/>
  <c r="V35" i="2" s="1"/>
  <c r="S35" i="2"/>
  <c r="R162" i="2"/>
  <c r="P162" i="2"/>
  <c r="O159" i="2"/>
  <c r="P159" i="2" s="1"/>
  <c r="U151" i="2"/>
  <c r="V151" i="2" s="1"/>
  <c r="S151" i="2"/>
  <c r="J280" i="2"/>
  <c r="R216" i="2"/>
  <c r="R214" i="2" s="1"/>
  <c r="P216" i="2"/>
  <c r="U189" i="2"/>
  <c r="V189" i="2" s="1"/>
  <c r="S189" i="2"/>
  <c r="R81" i="2"/>
  <c r="P81" i="2"/>
  <c r="P71" i="2"/>
  <c r="R71" i="2"/>
  <c r="P198" i="2"/>
  <c r="R198" i="2"/>
  <c r="U245" i="2"/>
  <c r="V245" i="2" s="1"/>
  <c r="S245" i="2"/>
  <c r="R70" i="2"/>
  <c r="P70" i="2"/>
  <c r="U140" i="2"/>
  <c r="V140" i="2" s="1"/>
  <c r="S140" i="2"/>
  <c r="R276" i="2"/>
  <c r="P276" i="2"/>
  <c r="O274" i="2"/>
  <c r="P274" i="2" s="1"/>
  <c r="L223" i="2"/>
  <c r="M223" i="2" s="1"/>
  <c r="S161" i="2"/>
  <c r="U161" i="2"/>
  <c r="R230" i="2"/>
  <c r="P230" i="2"/>
  <c r="O228" i="2"/>
  <c r="P228" i="2" s="1"/>
  <c r="V172" i="2"/>
  <c r="R33" i="2"/>
  <c r="R28" i="2" s="1"/>
  <c r="P33" i="2"/>
  <c r="U46" i="2"/>
  <c r="V46" i="2" s="1"/>
  <c r="S46" i="2"/>
  <c r="U27" i="2"/>
  <c r="V27" i="2" s="1"/>
  <c r="S27" i="2"/>
  <c r="U267" i="2"/>
  <c r="S267" i="2"/>
  <c r="R266" i="2"/>
  <c r="U270" i="2"/>
  <c r="V270" i="2" s="1"/>
  <c r="S270" i="2"/>
  <c r="U19" i="2"/>
  <c r="S19" i="2"/>
  <c r="R17" i="2"/>
  <c r="R264" i="2"/>
  <c r="P264" i="2"/>
  <c r="O263" i="2"/>
  <c r="P263" i="2" s="1"/>
  <c r="U25" i="2"/>
  <c r="S25" i="2"/>
  <c r="R24" i="2"/>
  <c r="R138" i="2"/>
  <c r="P138" i="2"/>
  <c r="P150" i="2"/>
  <c r="O149" i="2"/>
  <c r="R150" i="2"/>
  <c r="O239" i="2"/>
  <c r="P239" i="2" s="1"/>
  <c r="R240" i="2"/>
  <c r="P240" i="2"/>
  <c r="O135" i="2"/>
  <c r="R165" i="2"/>
  <c r="P165" i="2"/>
  <c r="U126" i="2"/>
  <c r="V126" i="2" s="1"/>
  <c r="S126" i="2"/>
  <c r="U77" i="2"/>
  <c r="V77" i="2" s="1"/>
  <c r="S77" i="2"/>
  <c r="U32" i="2"/>
  <c r="V32" i="2" s="1"/>
  <c r="S32" i="2"/>
  <c r="P145" i="2"/>
  <c r="R145" i="2"/>
  <c r="U97" i="2"/>
  <c r="V97" i="2" s="1"/>
  <c r="S97" i="2"/>
  <c r="M95" i="2"/>
  <c r="L94" i="2"/>
  <c r="M94" i="2" s="1"/>
  <c r="U234" i="2"/>
  <c r="V234" i="2" s="1"/>
  <c r="S234" i="2"/>
  <c r="M149" i="2"/>
  <c r="L148" i="2"/>
  <c r="O105" i="2"/>
  <c r="P105" i="2" s="1"/>
  <c r="R106" i="2"/>
  <c r="P106" i="2"/>
  <c r="U31" i="2"/>
  <c r="V31" i="2" s="1"/>
  <c r="S31" i="2"/>
  <c r="S15" i="2"/>
  <c r="R14" i="2"/>
  <c r="U15" i="2"/>
  <c r="S190" i="2"/>
  <c r="U190" i="2"/>
  <c r="V190" i="2" s="1"/>
  <c r="U236" i="2"/>
  <c r="S236" i="2"/>
  <c r="P199" i="2"/>
  <c r="R199" i="2"/>
  <c r="R203" i="2"/>
  <c r="P203" i="2"/>
  <c r="P191" i="2" l="1"/>
  <c r="P28" i="2"/>
  <c r="L155" i="2"/>
  <c r="M155" i="2" s="1"/>
  <c r="O44" i="2"/>
  <c r="J110" i="2"/>
  <c r="U242" i="2"/>
  <c r="V242" i="2" s="1"/>
  <c r="S242" i="2"/>
  <c r="U233" i="2"/>
  <c r="V233" i="2" s="1"/>
  <c r="S233" i="2"/>
  <c r="U37" i="2"/>
  <c r="S37" i="2"/>
  <c r="R36" i="2"/>
  <c r="S196" i="2"/>
  <c r="U196" i="2"/>
  <c r="V196" i="2" s="1"/>
  <c r="P23" i="2"/>
  <c r="S29" i="2"/>
  <c r="U29" i="2"/>
  <c r="V29" i="2" s="1"/>
  <c r="P45" i="2"/>
  <c r="P44" i="2" s="1"/>
  <c r="S231" i="2"/>
  <c r="S182" i="2"/>
  <c r="U182" i="2"/>
  <c r="V182" i="2" s="1"/>
  <c r="S184" i="2"/>
  <c r="U184" i="2"/>
  <c r="V184" i="2" s="1"/>
  <c r="U195" i="2"/>
  <c r="V195" i="2" s="1"/>
  <c r="S195" i="2"/>
  <c r="R192" i="2"/>
  <c r="R191" i="2" s="1"/>
  <c r="U218" i="2"/>
  <c r="V218" i="2" s="1"/>
  <c r="S218" i="2"/>
  <c r="S248" i="2"/>
  <c r="U248" i="2"/>
  <c r="V248" i="2" s="1"/>
  <c r="U212" i="2"/>
  <c r="V212" i="2" s="1"/>
  <c r="S212" i="2"/>
  <c r="U256" i="2"/>
  <c r="V256" i="2" s="1"/>
  <c r="S256" i="2"/>
  <c r="R252" i="2"/>
  <c r="S252" i="2" s="1"/>
  <c r="S261" i="2"/>
  <c r="U261" i="2"/>
  <c r="S201" i="2"/>
  <c r="U201" i="2"/>
  <c r="V201" i="2" s="1"/>
  <c r="S58" i="2"/>
  <c r="U58" i="2"/>
  <c r="V58" i="2" s="1"/>
  <c r="O171" i="2"/>
  <c r="P171" i="2" s="1"/>
  <c r="U208" i="2"/>
  <c r="V208" i="2" s="1"/>
  <c r="S208" i="2"/>
  <c r="U227" i="2"/>
  <c r="V227" i="2" s="1"/>
  <c r="S227" i="2"/>
  <c r="S113" i="2"/>
  <c r="U113" i="2"/>
  <c r="V113" i="2" s="1"/>
  <c r="U269" i="2"/>
  <c r="V269" i="2" s="1"/>
  <c r="S269" i="2"/>
  <c r="U237" i="2"/>
  <c r="V237" i="2" s="1"/>
  <c r="S237" i="2"/>
  <c r="S254" i="2"/>
  <c r="U254" i="2"/>
  <c r="V254" i="2" s="1"/>
  <c r="U275" i="2"/>
  <c r="V275" i="2" s="1"/>
  <c r="S275" i="2"/>
  <c r="L110" i="2"/>
  <c r="L129" i="2" s="1"/>
  <c r="U54" i="2"/>
  <c r="S54" i="2"/>
  <c r="S214" i="2"/>
  <c r="U141" i="2"/>
  <c r="V141" i="2" s="1"/>
  <c r="S141" i="2"/>
  <c r="V7" i="2"/>
  <c r="S210" i="2"/>
  <c r="U210" i="2"/>
  <c r="V210" i="2" s="1"/>
  <c r="P11" i="2"/>
  <c r="O10" i="2"/>
  <c r="P10" i="2" s="1"/>
  <c r="O6" i="2"/>
  <c r="P6" i="2" s="1"/>
  <c r="S103" i="2"/>
  <c r="U103" i="2"/>
  <c r="R101" i="2"/>
  <c r="U230" i="2"/>
  <c r="S230" i="2"/>
  <c r="R228" i="2"/>
  <c r="U173" i="2"/>
  <c r="S173" i="2"/>
  <c r="S28" i="2"/>
  <c r="V161" i="2"/>
  <c r="U70" i="2"/>
  <c r="V70" i="2" s="1"/>
  <c r="S70" i="2"/>
  <c r="S178" i="2"/>
  <c r="R177" i="2"/>
  <c r="R171" i="2" s="1"/>
  <c r="R11" i="2"/>
  <c r="U12" i="2"/>
  <c r="S12" i="2"/>
  <c r="U221" i="2"/>
  <c r="V221" i="2" s="1"/>
  <c r="S221" i="2"/>
  <c r="S114" i="2"/>
  <c r="S76" i="2"/>
  <c r="U76" i="2"/>
  <c r="V76" i="2" s="1"/>
  <c r="U120" i="2"/>
  <c r="V120" i="2" s="1"/>
  <c r="S120" i="2"/>
  <c r="U264" i="2"/>
  <c r="S264" i="2"/>
  <c r="R263" i="2"/>
  <c r="U81" i="2"/>
  <c r="V81" i="2" s="1"/>
  <c r="S81" i="2"/>
  <c r="V136" i="2"/>
  <c r="U203" i="2"/>
  <c r="V203" i="2" s="1"/>
  <c r="S203" i="2"/>
  <c r="U14" i="2"/>
  <c r="V14" i="2" s="1"/>
  <c r="V15" i="2"/>
  <c r="S17" i="2"/>
  <c r="S162" i="2"/>
  <c r="U162" i="2"/>
  <c r="V162" i="2" s="1"/>
  <c r="R159" i="2"/>
  <c r="S40" i="2"/>
  <c r="R39" i="2"/>
  <c r="U40" i="2"/>
  <c r="R45" i="2"/>
  <c r="S52" i="2"/>
  <c r="I283" i="2"/>
  <c r="U199" i="2"/>
  <c r="V199" i="2" s="1"/>
  <c r="S199" i="2"/>
  <c r="S14" i="2"/>
  <c r="O148" i="2"/>
  <c r="P148" i="2" s="1"/>
  <c r="P149" i="2"/>
  <c r="S181" i="2"/>
  <c r="U181" i="2"/>
  <c r="V181" i="2" s="1"/>
  <c r="U146" i="2"/>
  <c r="V146" i="2" s="1"/>
  <c r="S146" i="2"/>
  <c r="P95" i="2"/>
  <c r="O94" i="2"/>
  <c r="P94" i="2" s="1"/>
  <c r="V19" i="2"/>
  <c r="U17" i="2"/>
  <c r="V17" i="2" s="1"/>
  <c r="U72" i="2"/>
  <c r="V72" i="2" s="1"/>
  <c r="S72" i="2"/>
  <c r="U96" i="2"/>
  <c r="R95" i="2"/>
  <c r="S96" i="2"/>
  <c r="S260" i="2"/>
  <c r="U138" i="2"/>
  <c r="V138" i="2" s="1"/>
  <c r="S138" i="2"/>
  <c r="S216" i="2"/>
  <c r="U216" i="2"/>
  <c r="V216" i="2" s="1"/>
  <c r="S59" i="2"/>
  <c r="U59" i="2"/>
  <c r="V59" i="2" s="1"/>
  <c r="S235" i="2"/>
  <c r="U244" i="2"/>
  <c r="S244" i="2"/>
  <c r="R243" i="2"/>
  <c r="V116" i="2"/>
  <c r="U202" i="2"/>
  <c r="V202" i="2" s="1"/>
  <c r="S202" i="2"/>
  <c r="V226" i="2"/>
  <c r="U198" i="2"/>
  <c r="V198" i="2" s="1"/>
  <c r="S198" i="2"/>
  <c r="V253" i="2"/>
  <c r="V193" i="2"/>
  <c r="R111" i="2"/>
  <c r="S112" i="2"/>
  <c r="U112" i="2"/>
  <c r="U165" i="2"/>
  <c r="V165" i="2" s="1"/>
  <c r="S165" i="2"/>
  <c r="S225" i="2"/>
  <c r="S106" i="2"/>
  <c r="R105" i="2"/>
  <c r="U145" i="2"/>
  <c r="V145" i="2" s="1"/>
  <c r="S145" i="2"/>
  <c r="P135" i="2"/>
  <c r="U24" i="2"/>
  <c r="V25" i="2"/>
  <c r="U33" i="2"/>
  <c r="V33" i="2" s="1"/>
  <c r="S33" i="2"/>
  <c r="S71" i="2"/>
  <c r="U71" i="2"/>
  <c r="V71" i="2" s="1"/>
  <c r="S224" i="2"/>
  <c r="U257" i="2"/>
  <c r="V257" i="2" s="1"/>
  <c r="S257" i="2"/>
  <c r="U209" i="2"/>
  <c r="S209" i="2"/>
  <c r="R205" i="2"/>
  <c r="F129" i="2"/>
  <c r="J129" i="2" s="1"/>
  <c r="G110" i="2"/>
  <c r="S222" i="2"/>
  <c r="U222" i="2"/>
  <c r="V222" i="2" s="1"/>
  <c r="R153" i="2"/>
  <c r="U154" i="2"/>
  <c r="S154" i="2"/>
  <c r="U249" i="2"/>
  <c r="V249" i="2" s="1"/>
  <c r="S249" i="2"/>
  <c r="U104" i="2"/>
  <c r="V104" i="2" s="1"/>
  <c r="S104" i="2"/>
  <c r="R91" i="2"/>
  <c r="S92" i="2"/>
  <c r="U92" i="2"/>
  <c r="S24" i="2"/>
  <c r="R23" i="2"/>
  <c r="O223" i="2"/>
  <c r="P223" i="2" s="1"/>
  <c r="P205" i="2"/>
  <c r="O204" i="2"/>
  <c r="P204" i="2" s="1"/>
  <c r="U93" i="2"/>
  <c r="V93" i="2" s="1"/>
  <c r="S93" i="2"/>
  <c r="V236" i="2"/>
  <c r="U78" i="2"/>
  <c r="V78" i="2" s="1"/>
  <c r="S78" i="2"/>
  <c r="O155" i="2"/>
  <c r="P155" i="2" s="1"/>
  <c r="S266" i="2"/>
  <c r="U276" i="2"/>
  <c r="S276" i="2"/>
  <c r="R274" i="2"/>
  <c r="U158" i="2"/>
  <c r="V158" i="2" s="1"/>
  <c r="S158" i="2"/>
  <c r="S57" i="2"/>
  <c r="U57" i="2"/>
  <c r="V57" i="2" s="1"/>
  <c r="V215" i="2"/>
  <c r="R68" i="2"/>
  <c r="R135" i="2"/>
  <c r="M148" i="2"/>
  <c r="U240" i="2"/>
  <c r="S240" i="2"/>
  <c r="R239" i="2"/>
  <c r="U220" i="2"/>
  <c r="V220" i="2" s="1"/>
  <c r="S220" i="2"/>
  <c r="S56" i="2"/>
  <c r="U56" i="2"/>
  <c r="V56" i="2" s="1"/>
  <c r="V69" i="2"/>
  <c r="S213" i="2"/>
  <c r="U213" i="2"/>
  <c r="R211" i="2"/>
  <c r="S100" i="2"/>
  <c r="U100" i="2"/>
  <c r="R98" i="2"/>
  <c r="S98" i="2" s="1"/>
  <c r="V267" i="2"/>
  <c r="U266" i="2"/>
  <c r="V266" i="2" s="1"/>
  <c r="R149" i="2"/>
  <c r="U150" i="2"/>
  <c r="S150" i="2"/>
  <c r="R155" i="2" l="1"/>
  <c r="L280" i="2"/>
  <c r="L282" i="2" s="1"/>
  <c r="M282" i="2" s="1"/>
  <c r="S192" i="2"/>
  <c r="S36" i="2"/>
  <c r="U235" i="2"/>
  <c r="V235" i="2" s="1"/>
  <c r="U225" i="2"/>
  <c r="V225" i="2" s="1"/>
  <c r="U231" i="2"/>
  <c r="V231" i="2" s="1"/>
  <c r="V37" i="2"/>
  <c r="U36" i="2"/>
  <c r="V36" i="2" s="1"/>
  <c r="U52" i="2"/>
  <c r="V54" i="2"/>
  <c r="U192" i="2"/>
  <c r="U191" i="2" s="1"/>
  <c r="V191" i="2" s="1"/>
  <c r="V261" i="2"/>
  <c r="U260" i="2"/>
  <c r="V260" i="2" s="1"/>
  <c r="M110" i="2"/>
  <c r="U159" i="2"/>
  <c r="V159" i="2" s="1"/>
  <c r="U114" i="2"/>
  <c r="V114" i="2" s="1"/>
  <c r="S239" i="2"/>
  <c r="U91" i="2"/>
  <c r="V91" i="2" s="1"/>
  <c r="V92" i="2"/>
  <c r="V154" i="2"/>
  <c r="U153" i="2"/>
  <c r="V153" i="2" s="1"/>
  <c r="V209" i="2"/>
  <c r="U205" i="2"/>
  <c r="S95" i="2"/>
  <c r="R94" i="2"/>
  <c r="S263" i="2"/>
  <c r="S211" i="2"/>
  <c r="S153" i="2"/>
  <c r="S155" i="2"/>
  <c r="V264" i="2"/>
  <c r="U263" i="2"/>
  <c r="V263" i="2" s="1"/>
  <c r="U11" i="2"/>
  <c r="V12" i="2"/>
  <c r="O280" i="2"/>
  <c r="S243" i="2"/>
  <c r="S39" i="2"/>
  <c r="S11" i="2"/>
  <c r="R10" i="2"/>
  <c r="R6" i="2"/>
  <c r="S171" i="2"/>
  <c r="S101" i="2"/>
  <c r="V150" i="2"/>
  <c r="U149" i="2"/>
  <c r="S149" i="2"/>
  <c r="R148" i="2"/>
  <c r="S135" i="2"/>
  <c r="S274" i="2"/>
  <c r="R223" i="2"/>
  <c r="U135" i="2"/>
  <c r="S45" i="2"/>
  <c r="R44" i="2"/>
  <c r="V240" i="2"/>
  <c r="U239" i="2"/>
  <c r="V239" i="2" s="1"/>
  <c r="V24" i="2"/>
  <c r="U68" i="2"/>
  <c r="V68" i="2" s="1"/>
  <c r="V224" i="2"/>
  <c r="S68" i="2"/>
  <c r="U28" i="2"/>
  <c r="V28" i="2" s="1"/>
  <c r="U243" i="2"/>
  <c r="V243" i="2" s="1"/>
  <c r="V244" i="2"/>
  <c r="S159" i="2"/>
  <c r="S177" i="2"/>
  <c r="O110" i="2"/>
  <c r="S91" i="2"/>
  <c r="M280" i="2"/>
  <c r="F283" i="2"/>
  <c r="G283" i="2" s="1"/>
  <c r="G129" i="2"/>
  <c r="U111" i="2"/>
  <c r="V111" i="2" s="1"/>
  <c r="V112" i="2"/>
  <c r="V173" i="2"/>
  <c r="V213" i="2"/>
  <c r="U211" i="2"/>
  <c r="V211" i="2" s="1"/>
  <c r="S191" i="2"/>
  <c r="U39" i="2"/>
  <c r="V39" i="2" s="1"/>
  <c r="V40" i="2"/>
  <c r="V103" i="2"/>
  <c r="U101" i="2"/>
  <c r="V101" i="2" s="1"/>
  <c r="U214" i="2"/>
  <c r="V214" i="2" s="1"/>
  <c r="V276" i="2"/>
  <c r="U274" i="2"/>
  <c r="V274" i="2" s="1"/>
  <c r="S23" i="2"/>
  <c r="S205" i="2"/>
  <c r="R204" i="2"/>
  <c r="S105" i="2"/>
  <c r="V178" i="2"/>
  <c r="U177" i="2"/>
  <c r="V177" i="2" s="1"/>
  <c r="S228" i="2"/>
  <c r="M129" i="2"/>
  <c r="V96" i="2"/>
  <c r="U95" i="2"/>
  <c r="V100" i="2"/>
  <c r="U98" i="2"/>
  <c r="V98" i="2" s="1"/>
  <c r="V106" i="2"/>
  <c r="U105" i="2"/>
  <c r="V105" i="2" s="1"/>
  <c r="S111" i="2"/>
  <c r="V230" i="2"/>
  <c r="U228" i="2"/>
  <c r="V228" i="2" s="1"/>
  <c r="V192" i="2" l="1"/>
  <c r="U252" i="2"/>
  <c r="V252" i="2" s="1"/>
  <c r="V52" i="2"/>
  <c r="U45" i="2"/>
  <c r="V45" i="2" s="1"/>
  <c r="U171" i="2"/>
  <c r="V171" i="2" s="1"/>
  <c r="R110" i="2"/>
  <c r="S110" i="2" s="1"/>
  <c r="R280" i="2"/>
  <c r="R282" i="2" s="1"/>
  <c r="U10" i="2"/>
  <c r="V10" i="2" s="1"/>
  <c r="V11" i="2"/>
  <c r="U6" i="2"/>
  <c r="V6" i="2" s="1"/>
  <c r="S6" i="2"/>
  <c r="S148" i="2"/>
  <c r="U148" i="2"/>
  <c r="V148" i="2" s="1"/>
  <c r="V149" i="2"/>
  <c r="S10" i="2"/>
  <c r="V205" i="2"/>
  <c r="U204" i="2"/>
  <c r="V204" i="2" s="1"/>
  <c r="S44" i="2"/>
  <c r="J283" i="2"/>
  <c r="S204" i="2"/>
  <c r="V135" i="2"/>
  <c r="S94" i="2"/>
  <c r="V95" i="2"/>
  <c r="U94" i="2"/>
  <c r="V94" i="2" s="1"/>
  <c r="S223" i="2"/>
  <c r="O129" i="2"/>
  <c r="P110" i="2"/>
  <c r="L283" i="2"/>
  <c r="U23" i="2"/>
  <c r="V23" i="2" s="1"/>
  <c r="U44" i="2"/>
  <c r="V44" i="2" s="1"/>
  <c r="O282" i="2"/>
  <c r="P280" i="2"/>
  <c r="U223" i="2" l="1"/>
  <c r="V223" i="2" s="1"/>
  <c r="S280" i="2"/>
  <c r="U155" i="2"/>
  <c r="V155" i="2" s="1"/>
  <c r="R129" i="2"/>
  <c r="S129" i="2" s="1"/>
  <c r="R283" i="2"/>
  <c r="P282" i="2"/>
  <c r="U110" i="2"/>
  <c r="M283" i="2"/>
  <c r="O283" i="2"/>
  <c r="P129" i="2"/>
  <c r="S282" i="2"/>
  <c r="U280" i="2" l="1"/>
  <c r="U282" i="2" s="1"/>
  <c r="P283" i="2"/>
  <c r="V110" i="2"/>
  <c r="U129" i="2"/>
  <c r="V280" i="2"/>
  <c r="S283" i="2"/>
  <c r="V282" i="2" l="1"/>
  <c r="U283" i="2"/>
  <c r="V129" i="2"/>
  <c r="V283"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Sarmīte Mūze</author>
    <author>Baiba Kanča</author>
  </authors>
  <commentList>
    <comment ref="F43" authorId="0" shapeId="0" xr:uid="{036F22FE-9414-4831-B60B-AB291AA8584E}">
      <text>
        <r>
          <rPr>
            <b/>
            <sz val="9"/>
            <color indexed="81"/>
            <rFont val="Tahoma"/>
            <family val="2"/>
            <charset val="186"/>
          </rPr>
          <t>Sarmīte Mūze:</t>
        </r>
        <r>
          <rPr>
            <sz val="9"/>
            <color indexed="81"/>
            <rFont val="Tahoma"/>
            <family val="2"/>
            <charset val="186"/>
          </rPr>
          <t xml:space="preserve">
76'000 mežaudze vai koki; 46'000+73'000 Kadaga.</t>
        </r>
      </text>
    </comment>
    <comment ref="I43" authorId="0" shapeId="0" xr:uid="{A634594E-9754-4246-AD3B-5FF28332028D}">
      <text>
        <r>
          <rPr>
            <b/>
            <sz val="9"/>
            <color indexed="81"/>
            <rFont val="Tahoma"/>
            <family val="2"/>
            <charset val="186"/>
          </rPr>
          <t>Sarmīte Mūze:</t>
        </r>
        <r>
          <rPr>
            <sz val="9"/>
            <color indexed="81"/>
            <rFont val="Tahoma"/>
            <family val="2"/>
            <charset val="186"/>
          </rPr>
          <t xml:space="preserve">
76'000 mežaudze vai koki; 46'000+73'000 Kadaga.</t>
        </r>
      </text>
    </comment>
    <comment ref="L43" authorId="0" shapeId="0" xr:uid="{65B8494F-CB5B-429E-BF27-FDD91FE1266B}">
      <text>
        <r>
          <rPr>
            <b/>
            <sz val="9"/>
            <color indexed="81"/>
            <rFont val="Tahoma"/>
            <family val="2"/>
            <charset val="186"/>
          </rPr>
          <t>Sarmīte Mūze:</t>
        </r>
        <r>
          <rPr>
            <sz val="9"/>
            <color indexed="81"/>
            <rFont val="Tahoma"/>
            <family val="2"/>
            <charset val="186"/>
          </rPr>
          <t xml:space="preserve">
76'000 mežaudze vai koki; 46'000+73'000 Kadaga.</t>
        </r>
      </text>
    </comment>
    <comment ref="O43" authorId="0" shapeId="0" xr:uid="{3F7A7E94-09AD-4FCE-AC09-8B77F3DA536E}">
      <text>
        <r>
          <rPr>
            <b/>
            <sz val="9"/>
            <color indexed="81"/>
            <rFont val="Tahoma"/>
            <family val="2"/>
            <charset val="186"/>
          </rPr>
          <t>Sarmīte Mūze:</t>
        </r>
        <r>
          <rPr>
            <sz val="9"/>
            <color indexed="81"/>
            <rFont val="Tahoma"/>
            <family val="2"/>
            <charset val="186"/>
          </rPr>
          <t xml:space="preserve">
76'000 mežaudze vai koki; 46'000+73'000 Kadaga.</t>
        </r>
      </text>
    </comment>
    <comment ref="R43" authorId="0" shapeId="0" xr:uid="{89AFD42D-D819-4E45-B323-B761EA26F0CF}">
      <text>
        <r>
          <rPr>
            <b/>
            <sz val="9"/>
            <color indexed="81"/>
            <rFont val="Tahoma"/>
            <family val="2"/>
            <charset val="186"/>
          </rPr>
          <t>Sarmīte Mūze:</t>
        </r>
        <r>
          <rPr>
            <sz val="9"/>
            <color indexed="81"/>
            <rFont val="Tahoma"/>
            <family val="2"/>
            <charset val="186"/>
          </rPr>
          <t xml:space="preserve">
76'000 mežaudze vai koki; 46'000+73'000 Kadaga.</t>
        </r>
      </text>
    </comment>
    <comment ref="U43" authorId="0" shapeId="0" xr:uid="{31172F99-9C05-42E5-9AEC-B2CBFA7DD205}">
      <text>
        <r>
          <rPr>
            <b/>
            <sz val="9"/>
            <color indexed="81"/>
            <rFont val="Tahoma"/>
            <family val="2"/>
            <charset val="186"/>
          </rPr>
          <t>Sarmīte Mūze:</t>
        </r>
        <r>
          <rPr>
            <sz val="9"/>
            <color indexed="81"/>
            <rFont val="Tahoma"/>
            <family val="2"/>
            <charset val="186"/>
          </rPr>
          <t xml:space="preserve">
76'000 mežaudze vai koki; 46'000+73'000 Kadaga.</t>
        </r>
      </text>
    </comment>
    <comment ref="D270" authorId="1" shapeId="0" xr:uid="{B4E9A56A-99E9-40CB-BB1E-FE6BB53D96AD}">
      <text>
        <r>
          <rPr>
            <b/>
            <sz val="9"/>
            <color indexed="81"/>
            <rFont val="Tahoma"/>
            <family val="2"/>
            <charset val="186"/>
          </rPr>
          <t>Baiba Kanča:</t>
        </r>
        <r>
          <rPr>
            <sz val="9"/>
            <color indexed="81"/>
            <rFont val="Tahoma"/>
            <family val="2"/>
            <charset val="186"/>
          </rPr>
          <t xml:space="preserve">
Pārsaukt: Rezerve skolēnu līdzfinansējumam dalībai konkursos.</t>
        </r>
      </text>
    </comment>
    <comment ref="E273" authorId="0" shapeId="0" xr:uid="{82089FC2-E635-4EBA-8558-ABDFF956EE65}">
      <text>
        <r>
          <rPr>
            <b/>
            <sz val="9"/>
            <color indexed="81"/>
            <rFont val="Tahoma"/>
            <family val="2"/>
            <charset val="186"/>
          </rPr>
          <t>Sarmīte Mūze:</t>
        </r>
        <r>
          <rPr>
            <sz val="9"/>
            <color indexed="81"/>
            <rFont val="Tahoma"/>
            <family val="2"/>
            <charset val="186"/>
          </rPr>
          <t xml:space="preserve">
Šis ir jāizņem no 0930 un jāliek 0982 algā.
</t>
        </r>
      </text>
    </comment>
    <comment ref="F273" authorId="0" shapeId="0" xr:uid="{5012878B-3012-45E2-8D2A-C3D91F976834}">
      <text>
        <r>
          <rPr>
            <b/>
            <sz val="9"/>
            <color indexed="81"/>
            <rFont val="Tahoma"/>
            <family val="2"/>
            <charset val="186"/>
          </rPr>
          <t>Sarmīte Mūze:</t>
        </r>
        <r>
          <rPr>
            <sz val="9"/>
            <color indexed="81"/>
            <rFont val="Tahoma"/>
            <family val="2"/>
            <charset val="186"/>
          </rPr>
          <t xml:space="preserve">
Šis ir jāizņem no 0930 un jāliek 0982 algā.
</t>
        </r>
      </text>
    </comment>
    <comment ref="I273" authorId="0" shapeId="0" xr:uid="{952E0B03-27D8-495E-A7A9-28C0FC35FD9D}">
      <text>
        <r>
          <rPr>
            <b/>
            <sz val="9"/>
            <color indexed="81"/>
            <rFont val="Tahoma"/>
            <family val="2"/>
            <charset val="186"/>
          </rPr>
          <t>Sarmīte Mūze:</t>
        </r>
        <r>
          <rPr>
            <sz val="9"/>
            <color indexed="81"/>
            <rFont val="Tahoma"/>
            <family val="2"/>
            <charset val="186"/>
          </rPr>
          <t xml:space="preserve">
Šis ir jāizņem no 0930 un jāliek 0982 algā.
</t>
        </r>
      </text>
    </comment>
    <comment ref="L273" authorId="0" shapeId="0" xr:uid="{47D0FA98-3D9D-4403-855A-2AAF74DB642B}">
      <text>
        <r>
          <rPr>
            <b/>
            <sz val="9"/>
            <color indexed="81"/>
            <rFont val="Tahoma"/>
            <family val="2"/>
            <charset val="186"/>
          </rPr>
          <t>Sarmīte Mūze:</t>
        </r>
        <r>
          <rPr>
            <sz val="9"/>
            <color indexed="81"/>
            <rFont val="Tahoma"/>
            <family val="2"/>
            <charset val="186"/>
          </rPr>
          <t xml:space="preserve">
Šis ir jāizņem no 0930 un jāliek 0982 algā.
</t>
        </r>
      </text>
    </comment>
    <comment ref="O273" authorId="0" shapeId="0" xr:uid="{67203098-DE3D-4A00-BBB2-2B5F35A03284}">
      <text>
        <r>
          <rPr>
            <b/>
            <sz val="9"/>
            <color indexed="81"/>
            <rFont val="Tahoma"/>
            <family val="2"/>
            <charset val="186"/>
          </rPr>
          <t>Sarmīte Mūze:</t>
        </r>
        <r>
          <rPr>
            <sz val="9"/>
            <color indexed="81"/>
            <rFont val="Tahoma"/>
            <family val="2"/>
            <charset val="186"/>
          </rPr>
          <t xml:space="preserve">
Šis ir jāizņem no 0930 un jāliek 0982 algā.
</t>
        </r>
      </text>
    </comment>
    <comment ref="R273" authorId="0" shapeId="0" xr:uid="{1ADE4816-4520-43AC-9CAE-EEE6AABA8469}">
      <text>
        <r>
          <rPr>
            <b/>
            <sz val="9"/>
            <color indexed="81"/>
            <rFont val="Tahoma"/>
            <family val="2"/>
            <charset val="186"/>
          </rPr>
          <t>Sarmīte Mūze:</t>
        </r>
        <r>
          <rPr>
            <sz val="9"/>
            <color indexed="81"/>
            <rFont val="Tahoma"/>
            <family val="2"/>
            <charset val="186"/>
          </rPr>
          <t xml:space="preserve">
Šis ir jāizņem no 0930 un jāliek 0982 algā.
</t>
        </r>
      </text>
    </comment>
    <comment ref="U273" authorId="0" shapeId="0" xr:uid="{6D1760EE-1A5C-45F7-B6A7-A3454A48D5D2}">
      <text>
        <r>
          <rPr>
            <b/>
            <sz val="9"/>
            <color indexed="81"/>
            <rFont val="Tahoma"/>
            <family val="2"/>
            <charset val="186"/>
          </rPr>
          <t>Sarmīte Mūze:</t>
        </r>
        <r>
          <rPr>
            <sz val="9"/>
            <color indexed="81"/>
            <rFont val="Tahoma"/>
            <family val="2"/>
            <charset val="186"/>
          </rPr>
          <t xml:space="preserve">
Šis ir jāizņem no 0930 un jāliek 0982 algā.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Baiba Kanča</author>
    <author>Sarmīte Mūze</author>
  </authors>
  <commentList>
    <comment ref="K120" authorId="0" shapeId="0" xr:uid="{A40273A2-F410-44DF-9452-3BA0FF45BD3D}">
      <text>
        <r>
          <rPr>
            <b/>
            <sz val="9"/>
            <color indexed="81"/>
            <rFont val="Tahoma"/>
            <family val="2"/>
            <charset val="186"/>
          </rPr>
          <t>Baiba Kanča:</t>
        </r>
        <r>
          <rPr>
            <sz val="9"/>
            <color indexed="81"/>
            <rFont val="Tahoma"/>
            <family val="2"/>
            <charset val="186"/>
          </rPr>
          <t xml:space="preserve">
Nav izņemta visa aizņēmuma summa. Atmaksas grafikā ielikts viss plānotais aizņēmums!
</t>
        </r>
      </text>
    </comment>
    <comment ref="D134" authorId="1" shapeId="0" xr:uid="{CEFDA15D-55C7-4E6C-8AC4-7E7BF73E5840}">
      <text>
        <r>
          <rPr>
            <b/>
            <sz val="9"/>
            <color indexed="81"/>
            <rFont val="Tahoma"/>
            <family val="2"/>
            <charset val="186"/>
          </rPr>
          <t>Sarmīte Mūze:</t>
        </r>
        <r>
          <rPr>
            <sz val="9"/>
            <color indexed="81"/>
            <rFont val="Tahoma"/>
            <family val="2"/>
            <charset val="186"/>
          </rPr>
          <t xml:space="preserve">
Ja ir ERAF 5'000'000</t>
        </r>
      </text>
    </comment>
  </commentList>
</comments>
</file>

<file path=xl/sharedStrings.xml><?xml version="1.0" encoding="utf-8"?>
<sst xmlns="http://schemas.openxmlformats.org/spreadsheetml/2006/main" count="1786" uniqueCount="1152">
  <si>
    <t>Ādažu pašvaldības apvienotais budžets</t>
  </si>
  <si>
    <t>2023. gads</t>
  </si>
  <si>
    <t xml:space="preserve">Ieņēmumu daļa </t>
  </si>
  <si>
    <t xml:space="preserve">N.p.k. </t>
  </si>
  <si>
    <t>Sadaļa</t>
  </si>
  <si>
    <t>CKS</t>
  </si>
  <si>
    <t>2023. gada budžets</t>
  </si>
  <si>
    <t>23.03.2023. grozījumi</t>
  </si>
  <si>
    <t>Izmaiņa 23.03.2023. - 26.01.2023.</t>
  </si>
  <si>
    <t xml:space="preserve">Komentāri </t>
  </si>
  <si>
    <t>24.05.2023. grozījumi</t>
  </si>
  <si>
    <t>Izmaiņa 24.05.2023. -23.03.2023.</t>
  </si>
  <si>
    <t>28.06.2023. grozījumi</t>
  </si>
  <si>
    <t>Izmaiņa 28.06.2023. -24.05.2023.</t>
  </si>
  <si>
    <t>23.08.2023. grozījumi</t>
  </si>
  <si>
    <t>Izmaiņa 23.08.2023. -28.06.2023.</t>
  </si>
  <si>
    <t>26.10.2023. grozījumi</t>
  </si>
  <si>
    <t>Izmaiņa 26.10.2023. -23.08.2023.</t>
  </si>
  <si>
    <t>28.12.2023. grozījumi</t>
  </si>
  <si>
    <t>Izmaiņa 28.12.2023. -26.10.2023.</t>
  </si>
  <si>
    <t>1., 2., 3., 4., 5.1.</t>
  </si>
  <si>
    <t>Nodokļu ieņēmumi</t>
  </si>
  <si>
    <t>1.1.1.0.</t>
  </si>
  <si>
    <t>1.</t>
  </si>
  <si>
    <t>Iedzīvotāju ienākuma nodoklis</t>
  </si>
  <si>
    <t>PB</t>
  </si>
  <si>
    <t>01.1.1.2.</t>
  </si>
  <si>
    <t>1.1.</t>
  </si>
  <si>
    <t>pārskata gada</t>
  </si>
  <si>
    <t>Precizēta summa apstiprinātajos MK Nr.191 11.04.2023</t>
  </si>
  <si>
    <t>Pēc faktiskās izpildes lielāki IIN ieņēmumi</t>
  </si>
  <si>
    <t>1.2.</t>
  </si>
  <si>
    <t>saņemts no Valsts kases sadales konta iepriekšējā gada nesadalītais iedzīvotāju ienākuma nodokļa atlikums</t>
  </si>
  <si>
    <t>1., 2., 3., 4.</t>
  </si>
  <si>
    <t>Nekustamā īpašuma nodokļu ieņēmumi</t>
  </si>
  <si>
    <t>4.1.1.0.</t>
  </si>
  <si>
    <t>2.</t>
  </si>
  <si>
    <t>Nekustamā īpašuma nodoklis par zemi</t>
  </si>
  <si>
    <t>04.1.1.1.</t>
  </si>
  <si>
    <t>2.1.</t>
  </si>
  <si>
    <t>04.1.1.2.</t>
  </si>
  <si>
    <t>2.2.</t>
  </si>
  <si>
    <t>iepriekšējo gadu parādi</t>
  </si>
  <si>
    <t>4.1.2.0.</t>
  </si>
  <si>
    <t>3.</t>
  </si>
  <si>
    <t>Nekustamā īpašuma nodoklis par ēkām</t>
  </si>
  <si>
    <t>04.1.2.1.</t>
  </si>
  <si>
    <t>3.1.</t>
  </si>
  <si>
    <t xml:space="preserve">pārskata gada </t>
  </si>
  <si>
    <t>04.1.2.2.</t>
  </si>
  <si>
    <t>3.2.</t>
  </si>
  <si>
    <t>4.1.3.0.</t>
  </si>
  <si>
    <t>4.</t>
  </si>
  <si>
    <t>Nekustamā īpašuma nodoklis par mājokļiem un inženierbūvēm</t>
  </si>
  <si>
    <t>04.1.3.1.</t>
  </si>
  <si>
    <t>4.1.</t>
  </si>
  <si>
    <t>04.1.3.2.</t>
  </si>
  <si>
    <t>4.2.</t>
  </si>
  <si>
    <t>5.</t>
  </si>
  <si>
    <t>Nodokļi un maksājumi par tiesībām lietot atsevišķas preces</t>
  </si>
  <si>
    <t>5.4.1.0.</t>
  </si>
  <si>
    <t>5.1.</t>
  </si>
  <si>
    <t>Azartspēļu nodoklis</t>
  </si>
  <si>
    <t>5.5.3.1.</t>
  </si>
  <si>
    <t>Dabas resursu nodoklis</t>
  </si>
  <si>
    <t>9.0.0.0.</t>
  </si>
  <si>
    <t>6.</t>
  </si>
  <si>
    <t>Valsts (pašvaldību) un kancelejas nodevas</t>
  </si>
  <si>
    <t>9.4.0.0.</t>
  </si>
  <si>
    <t>6.1.</t>
  </si>
  <si>
    <t>valsts nodevas</t>
  </si>
  <si>
    <t>09.4.2.0.</t>
  </si>
  <si>
    <t>6.1.1.</t>
  </si>
  <si>
    <t>t.sk.: - par apliecinājumiem un citu funkciju pildīšanu bāriņtiesā</t>
  </si>
  <si>
    <t>09.4.5.0.</t>
  </si>
  <si>
    <t>6.1.2.</t>
  </si>
  <si>
    <t>t.sk.: - par civilstāvokļa aktu reģistrēšanu, grozīšanu un papildināšanu</t>
  </si>
  <si>
    <t>09.4.9.0.</t>
  </si>
  <si>
    <t>6.1.3.</t>
  </si>
  <si>
    <t>t.sk.: - pārējās valsts nodevas, kuras ieskaita pašvaldību budžetā</t>
  </si>
  <si>
    <t>9.5.0.0.</t>
  </si>
  <si>
    <t>6.2.</t>
  </si>
  <si>
    <t>pašvaldību nodevas</t>
  </si>
  <si>
    <t>09.5.1.1.</t>
  </si>
  <si>
    <t>6.2.1.</t>
  </si>
  <si>
    <t>t.sk.: - nodeva par domes izstrādāto oficiālo dokumentu saņemšanu</t>
  </si>
  <si>
    <t>09.5.1.2.</t>
  </si>
  <si>
    <t>6.2.2.</t>
  </si>
  <si>
    <t>t.sk.: - nodeva par izklaidējoša rakstura pasākumu sarīkošanu publiskās vietās</t>
  </si>
  <si>
    <t>09.5.1.4.</t>
  </si>
  <si>
    <t>6.2.3.</t>
  </si>
  <si>
    <t>t.sk.: - nodeva par tirdzniecību publiskās vietās</t>
  </si>
  <si>
    <t>09.5.1.5.</t>
  </si>
  <si>
    <t>6.2.4.</t>
  </si>
  <si>
    <t>t.sk.: - nodeva par dzīvnieku turēšanu</t>
  </si>
  <si>
    <t>09.5.1.7.</t>
  </si>
  <si>
    <t>6.2.5.</t>
  </si>
  <si>
    <t>t.sk.: - nodeva par reklāmas, afišu un sludinājumu izvietošanu publiskās vietās</t>
  </si>
  <si>
    <t>09.5.2.1.</t>
  </si>
  <si>
    <t>6.2.6.</t>
  </si>
  <si>
    <t>t.sk.: - nodeva par būvatļaujas saņemšanu</t>
  </si>
  <si>
    <t>09.5.2.9.</t>
  </si>
  <si>
    <t>6.2.7.</t>
  </si>
  <si>
    <t>t.sk.: - pārējās nodevas</t>
  </si>
  <si>
    <t>10.0.0.0.</t>
  </si>
  <si>
    <t>7.</t>
  </si>
  <si>
    <t>Naudas sodi un sankcijas</t>
  </si>
  <si>
    <t>10.1.4.0.</t>
  </si>
  <si>
    <t>7.1.</t>
  </si>
  <si>
    <t>10.1.5.0.</t>
  </si>
  <si>
    <t>7.2.</t>
  </si>
  <si>
    <t>Naudas sodi, ko uzliek par pārkāpumiem ceļu satiksmē</t>
  </si>
  <si>
    <t>12.0.0.0.</t>
  </si>
  <si>
    <t>8.</t>
  </si>
  <si>
    <t>Pārējie nenodokļu ieņēmumi</t>
  </si>
  <si>
    <t>12.3.9.9.; 8.3.9.0.</t>
  </si>
  <si>
    <t>8.1.</t>
  </si>
  <si>
    <t>citi nenodokļu ieņēmumi</t>
  </si>
  <si>
    <t>SIA "Ādažu Namsaimnieks" dividendes, novirzīt caur 0950 izdevumi vidussk.apkures sist.pāreja uz atjaunoj.energoresursiem, Domes lēmums Nr.215.</t>
  </si>
  <si>
    <t>Ieņēmumi no apdrošināšanas prēmijas tiltam Carnikavā. (Liek CKS pie sevis)</t>
  </si>
  <si>
    <t>12.3.9.5.</t>
  </si>
  <si>
    <t>8.2.</t>
  </si>
  <si>
    <t>līgumsodi un procentu maksājumi par saistību neizpildi</t>
  </si>
  <si>
    <t>8.3.</t>
  </si>
  <si>
    <t>ieņēmumi no zvejas tiesību nomas</t>
  </si>
  <si>
    <t>13.1.0.0.</t>
  </si>
  <si>
    <t>9.</t>
  </si>
  <si>
    <t>Ieņēmumi no pašvaldības īpašuma pārdošana</t>
  </si>
  <si>
    <t>10.</t>
  </si>
  <si>
    <t>Valsts budžeta transferti un projektu finansējums</t>
  </si>
  <si>
    <t>10.1.</t>
  </si>
  <si>
    <t>Valsts budžeta transferti</t>
  </si>
  <si>
    <t>mērķdotācija</t>
  </si>
  <si>
    <t>18.6.2.3.</t>
  </si>
  <si>
    <t>10.1.1.</t>
  </si>
  <si>
    <t>dotācija mākslas skolas algām</t>
  </si>
  <si>
    <t>Precizēts MD apjoms</t>
  </si>
  <si>
    <t>Precizēts mērķdotāciju apjoms sept. - dec.</t>
  </si>
  <si>
    <t>18.6.2.4.</t>
  </si>
  <si>
    <t>10.1.2.</t>
  </si>
  <si>
    <t>dotācija sporta skolai</t>
  </si>
  <si>
    <t>Saskaņā ar IZM rīkojumu EUR 13'302 pedagogu zemākās likmes paaugstināšanai.</t>
  </si>
  <si>
    <t>18.6.2.10.; 18.6.2.11</t>
  </si>
  <si>
    <t>10.1.3.</t>
  </si>
  <si>
    <t>dotācija skolēnu ēdināšanai</t>
  </si>
  <si>
    <t>18.6.2.5.</t>
  </si>
  <si>
    <t>10.1.4.</t>
  </si>
  <si>
    <t>dotācija mācību līdzekļiem</t>
  </si>
  <si>
    <t xml:space="preserve">  10.1.4.1.</t>
  </si>
  <si>
    <t>t.sk.: - dotācija mācību grāmatām</t>
  </si>
  <si>
    <t>Valsts mērķdotācija mācību līdzekļiem izglītības iestādēs.</t>
  </si>
  <si>
    <t>Dotācija mazākumtautību izglītojamajiem pamatizglītības un interešu izglītības programmu apguvei ĀVS.</t>
  </si>
  <si>
    <t xml:space="preserve">  10.1.4.2.</t>
  </si>
  <si>
    <t>t.sk.: - dotācija digitālajiem mācību līdzekļiem</t>
  </si>
  <si>
    <t>18.6.2.0.</t>
  </si>
  <si>
    <t>10.1.5.</t>
  </si>
  <si>
    <t>dotācijas pedagogu algām (vsk., PII)</t>
  </si>
  <si>
    <t>18.6.2.2.</t>
  </si>
  <si>
    <t xml:space="preserve">  10.1.5.1.</t>
  </si>
  <si>
    <t>t.sk.: - piecgadīgo bērnu apmācība</t>
  </si>
  <si>
    <t>18.6.2.1.</t>
  </si>
  <si>
    <t xml:space="preserve">  10.1.5.2.</t>
  </si>
  <si>
    <t>t.sk.: - skolotāju algām</t>
  </si>
  <si>
    <t xml:space="preserve">  10.1.5.3.</t>
  </si>
  <si>
    <t>t.sk.: - interešu izglītība</t>
  </si>
  <si>
    <t>18.6.2.9.</t>
  </si>
  <si>
    <t>10.1.6.</t>
  </si>
  <si>
    <t>dotācija māksliniecisko kolektīvu vadītāju atalgojumam</t>
  </si>
  <si>
    <t>18.6.3.1.</t>
  </si>
  <si>
    <t>10.1.7.</t>
  </si>
  <si>
    <t>Projekts "Skolas soma" Ādaži</t>
  </si>
  <si>
    <t>Precizēta summa pēc līguma noslēgšanas</t>
  </si>
  <si>
    <t>Projekts "Skolas soma" - 2023./2024.gadam jauns līgums EUR 14'485 (ĀVS); EUR 3'997 (CPS)</t>
  </si>
  <si>
    <t>10.1.8.</t>
  </si>
  <si>
    <t>Projekts "Skolas soma" Carnikava</t>
  </si>
  <si>
    <t>18.6.2.7.</t>
  </si>
  <si>
    <t>10.1.9.</t>
  </si>
  <si>
    <t>dotācija asistenta pakalpojumu nodrošināšanai</t>
  </si>
  <si>
    <t>10.1.10.</t>
  </si>
  <si>
    <t>dotācija sociālajiem darbiniekiem, kuri strādā ar ģimenēm un bērniem</t>
  </si>
  <si>
    <t>AM līdzfinansējums Mežaparka ceļa izbūvei</t>
  </si>
  <si>
    <t>0420 (18.6.2.9.)</t>
  </si>
  <si>
    <t>10.1.11.</t>
  </si>
  <si>
    <t>valsts dotācija ceļu uzturēšanai</t>
  </si>
  <si>
    <t>Precizēts mērķdotācijas pajoms</t>
  </si>
  <si>
    <r>
      <t xml:space="preserve">Valsts finansējums projektu konkursā "Atbalsts jaunatnes politikas īstenošanai vietējā līmenī" </t>
    </r>
    <r>
      <rPr>
        <sz val="11"/>
        <color theme="8" tint="-0.249977111117893"/>
        <rFont val="Times New Roman"/>
        <family val="1"/>
        <charset val="186"/>
      </rPr>
      <t>Projekts "Mobilais darbs ar jaunatni Ādažu novadā"</t>
    </r>
  </si>
  <si>
    <t>10.1.12.</t>
  </si>
  <si>
    <t>Dotācijas Ukrainas pilsoņu atbalstam</t>
  </si>
  <si>
    <t>Precizēta summa balstoties uz faktisko izpildi</t>
  </si>
  <si>
    <t>10.1.13.</t>
  </si>
  <si>
    <t>Dotācijas "Energoresursu atbalsts"</t>
  </si>
  <si>
    <t>CKS precizēts kods ieņēmumiem - valsts atbalsts iedzīvotājiem</t>
  </si>
  <si>
    <t>10.1.14.</t>
  </si>
  <si>
    <t>AM līdzfinansējums Vecštāles ceļa pārbūvei</t>
  </si>
  <si>
    <t>Saskaņā ar AM lēmumu</t>
  </si>
  <si>
    <t>0630</t>
  </si>
  <si>
    <t>18.6.2.9.;</t>
  </si>
  <si>
    <t>10.1.15.</t>
  </si>
  <si>
    <t>pārējās dotācijas</t>
  </si>
  <si>
    <t>1) Noslēgts līgums par valsts līdzfinansējumu Dziesmu svētku dalībniekiem EUR 5840,91.
2) Apstiprināts dotācijas apjoms vienoto KAS uzturēšanai EUR 7'144.</t>
  </si>
  <si>
    <t>10.2.</t>
  </si>
  <si>
    <t>ES struktūrfondu līdzekļi un aktivitāšu līdzfinansējumi</t>
  </si>
  <si>
    <t>18.6.2.6.1.</t>
  </si>
  <si>
    <t>10.2.1.</t>
  </si>
  <si>
    <t>Dotācija nodarbinātības pasākumiem</t>
  </si>
  <si>
    <t>0634</t>
  </si>
  <si>
    <t>18.6.3.6.</t>
  </si>
  <si>
    <t>10.2.2.</t>
  </si>
  <si>
    <t>Plūdu risku projekts</t>
  </si>
  <si>
    <t>10.2.3.</t>
  </si>
  <si>
    <t>Apgaismojuma izbūve uz Salas aizsargdamja D-2 posmā, Carnikavas pagastā</t>
  </si>
  <si>
    <t>0632.6</t>
  </si>
  <si>
    <t>10.2.4.</t>
  </si>
  <si>
    <t>Eiropas Bauhaus pieejas piemērošana sabiedrisko ēku pārveidošanai</t>
  </si>
  <si>
    <t>Ieskaitīts projekta finansējums</t>
  </si>
  <si>
    <t xml:space="preserve">18.6.3.13. </t>
  </si>
  <si>
    <t>10.2.5.</t>
  </si>
  <si>
    <t>SAM 9.2.4.2. projekts "Pasākumi vietējās sabiedrības veselības veicināšanai Ādažu novadā"</t>
  </si>
  <si>
    <t xml:space="preserve">18.6.3.14.  </t>
  </si>
  <si>
    <t>10.2.6.</t>
  </si>
  <si>
    <t>VISA projekts "Atbalsts izglītojamo individuālo kompetenču attīstībai"</t>
  </si>
  <si>
    <t>10.2.8.</t>
  </si>
  <si>
    <t>SAM 9311 Deinstitucionalizācija - Dienas centrs - specializētās darbnīcas</t>
  </si>
  <si>
    <t>10.2.9.</t>
  </si>
  <si>
    <t>Dienas centrs - pakalpojumi (Ā)</t>
  </si>
  <si>
    <t>0632.2</t>
  </si>
  <si>
    <t xml:space="preserve">18.6.3.12. </t>
  </si>
  <si>
    <t>10.2.10.</t>
  </si>
  <si>
    <t>LAD projekts "Laivu ielas un tai piegulošā auto stāvlaukuma projektēšana un būvniecība"</t>
  </si>
  <si>
    <t>10.2.11.</t>
  </si>
  <si>
    <t>KF Ūdenssaimniecība 3.kārta Carnikavā</t>
  </si>
  <si>
    <t>10.2.12.</t>
  </si>
  <si>
    <t>ESF projekts Karjeras atbalsts vispārējās un profesionālās izglītības iestādēs ©</t>
  </si>
  <si>
    <t>10.2.13.</t>
  </si>
  <si>
    <t>ESF projekts Atbalsts priekšlaicīgas mācību pārtraukšanas samazināšanai ©</t>
  </si>
  <si>
    <t>18.6.3.20.</t>
  </si>
  <si>
    <t>10.2.14.</t>
  </si>
  <si>
    <t>SAM 5.5.1. Kultūras objektu būvniecība ©</t>
  </si>
  <si>
    <t>10.2.15.</t>
  </si>
  <si>
    <t>ES projekts Eiropa pilsoņiem (diskriminētām personām) ©</t>
  </si>
  <si>
    <t>10.2.16.</t>
  </si>
  <si>
    <t>ERASMUS +; Nordplus projekti</t>
  </si>
  <si>
    <t>Precizēta projekta NP</t>
  </si>
  <si>
    <t>Saskaņā ar projektu pieteikumiem</t>
  </si>
  <si>
    <t>10.2.17.</t>
  </si>
  <si>
    <t xml:space="preserve"> ”Mobilitātes punkta infrastruktūras izveidošana Rīgas metropoles areālā – “Carnikava””</t>
  </si>
  <si>
    <t>10.2.18.</t>
  </si>
  <si>
    <t>Maģistrālā  veloceļa izbūve Rīga-Carnikava</t>
  </si>
  <si>
    <t>10.2.19.</t>
  </si>
  <si>
    <t>Ģimenes ārsta prakses izveide_Garā iela 20 (ERAF, SAM 9.3.2. 4.kārta)</t>
  </si>
  <si>
    <t>0633.6</t>
  </si>
  <si>
    <t>10.2.20.</t>
  </si>
  <si>
    <t>EKII projekts</t>
  </si>
  <si>
    <t>10.2.21.</t>
  </si>
  <si>
    <t>Katlu mājas pārbūve Carnikavā, Tulpju iela 5</t>
  </si>
  <si>
    <t>Saskaņā ar Domes 06.09.2023. lēmumu Nr. 339 projekta realizācija atcelta</t>
  </si>
  <si>
    <t>10.2.22.</t>
  </si>
  <si>
    <t>Noslēdzoties projekta realizācijai, saņemts LAD finansējums, kas jānovirza aizņēmuma atmaksai.</t>
  </si>
  <si>
    <t>18.6.4.0.</t>
  </si>
  <si>
    <t>10.2.23.</t>
  </si>
  <si>
    <t xml:space="preserve"> "Auto stāvlaukuma Lilastē paplašināšana, atpūtas vietu, labiekārtojuma, labierīcību, kempinga iespēju projektēšana un izbūve" ©</t>
  </si>
  <si>
    <t>11.</t>
  </si>
  <si>
    <t>Pašvaldību budžeta transferti</t>
  </si>
  <si>
    <t>19.2.1.0.</t>
  </si>
  <si>
    <t>11.1.</t>
  </si>
  <si>
    <t>no citām pašvaldībām izglītības funkciju nodrošināšanai</t>
  </si>
  <si>
    <t>Balstoties uz izpildes prognozi palielinājums EUR 47100. Palielinājums tiks novirzīts līdzfinansējuma nodrošināšanai audzēkņiem, kuri apmeklē privātās izglītības iestādes.</t>
  </si>
  <si>
    <t>19.2.2.0.</t>
  </si>
  <si>
    <t>11.2.</t>
  </si>
  <si>
    <t>citi ieņēmumi no citām pašvaldībam</t>
  </si>
  <si>
    <t>12.</t>
  </si>
  <si>
    <t>Budžeta iestāžu ieņēmumi</t>
  </si>
  <si>
    <t>21.3.5.0.</t>
  </si>
  <si>
    <t>12.1.</t>
  </si>
  <si>
    <t>maksa par izglītības pakalpojumiem</t>
  </si>
  <si>
    <t>21.3.5.2.</t>
  </si>
  <si>
    <t>12.1.1.</t>
  </si>
  <si>
    <t>ieņēmumi no vecāku maksām (PII)</t>
  </si>
  <si>
    <t>21.3.5.9.</t>
  </si>
  <si>
    <t>12.1.2.</t>
  </si>
  <si>
    <t>ieņēmumi no vecāku maksām (ĀMMS; BJSS)</t>
  </si>
  <si>
    <t>12.2.</t>
  </si>
  <si>
    <t>pārrobežu projektu ieņēmumi ©</t>
  </si>
  <si>
    <t>12.2.1.</t>
  </si>
  <si>
    <t>ES Padomes projekts LIFE COHABIT ©</t>
  </si>
  <si>
    <t>0630.2</t>
  </si>
  <si>
    <t>12.2.2.</t>
  </si>
  <si>
    <t>pārrobežu EST-LAT projekts "Militārais mantojums</t>
  </si>
  <si>
    <t>21.3.8.0.</t>
  </si>
  <si>
    <t>12.3.</t>
  </si>
  <si>
    <t>ieņēmumi par nomu un īri</t>
  </si>
  <si>
    <t>21.3.8.1.</t>
  </si>
  <si>
    <t>12.3.1.</t>
  </si>
  <si>
    <t>ieņēmumi par telpu nomu</t>
  </si>
  <si>
    <t>21.3.8.4.</t>
  </si>
  <si>
    <t>12.3.2.</t>
  </si>
  <si>
    <t>ieņēmumi par zemes nomu</t>
  </si>
  <si>
    <t>12.3.3.</t>
  </si>
  <si>
    <t>pārējie ieņēmumi par nomu ©</t>
  </si>
  <si>
    <t>21.3.9.0.</t>
  </si>
  <si>
    <t>12.4.</t>
  </si>
  <si>
    <t>budžeta iestāžu maksas pakalpojumi</t>
  </si>
  <si>
    <t>0812</t>
  </si>
  <si>
    <t>12.4.1.</t>
  </si>
  <si>
    <t>Ieņēmumu pārpilde (Sporta daļa), palielināt par EUR 5000</t>
  </si>
  <si>
    <t>12.4.2.</t>
  </si>
  <si>
    <t>ieņēmumi no biļešu realizācijas</t>
  </si>
  <si>
    <t>12.4.3.</t>
  </si>
  <si>
    <t>ieņēmumi no dzīvokļu un komunālajiem pakalpojumiem ©</t>
  </si>
  <si>
    <t>Samazinājums uz elektrību un apkuri</t>
  </si>
  <si>
    <t>21.3.5.9.; 21.4.9.9.</t>
  </si>
  <si>
    <t>12.6.</t>
  </si>
  <si>
    <t>pārējie ieņēmumi/stāvvietu ieņēmumi</t>
  </si>
  <si>
    <t>KOPĀ IEŅĒMUMI:</t>
  </si>
  <si>
    <t>13.</t>
  </si>
  <si>
    <t>Naudas līdzekļu atlikums gada sākumā</t>
  </si>
  <si>
    <t>13.1.</t>
  </si>
  <si>
    <t>Naudas atlikums iezīmētiem mērķiem</t>
  </si>
  <si>
    <t>13.2.</t>
  </si>
  <si>
    <t>Naudas atlikums pašvaldības līdzekļi</t>
  </si>
  <si>
    <t xml:space="preserve">14. </t>
  </si>
  <si>
    <t>Valsts Kases kredīti</t>
  </si>
  <si>
    <t>14.1.</t>
  </si>
  <si>
    <t>14.2.</t>
  </si>
  <si>
    <t>14.3.</t>
  </si>
  <si>
    <t>Precizēta projekta naudas plūsma.</t>
  </si>
  <si>
    <t>F40321210</t>
  </si>
  <si>
    <t>14.4.</t>
  </si>
  <si>
    <t>SAM 5.1.1. Pretplūdu pasākumi Ādažu centra polderī, Ādažu novadā</t>
  </si>
  <si>
    <t>14.5.</t>
  </si>
  <si>
    <t>14.6.</t>
  </si>
  <si>
    <t>Carnikavas stadiona rekonstrukcija</t>
  </si>
  <si>
    <t>14.7.</t>
  </si>
  <si>
    <t>Ādažu vidusskolas ēkas B korpusa un savienojuma daļas starp korpusiem (C un B) fasādes atjaunošana</t>
  </si>
  <si>
    <t>14.8.</t>
  </si>
  <si>
    <t>Kalngales NAI pārbūve</t>
  </si>
  <si>
    <t>Saskaņā ar Domes 28.09.2023. lēmumum Nr.289, projekts 2023.gadā netiks realizēts</t>
  </si>
  <si>
    <t>14.9.</t>
  </si>
  <si>
    <t>14.10.</t>
  </si>
  <si>
    <t>14.11.</t>
  </si>
  <si>
    <t>Ķiršu ielas III kārta no Saules ielas līdz Attekas ielai 0.17km</t>
  </si>
  <si>
    <t xml:space="preserve">Noslēdzies iepirkums par EUR 57'326 lielāka summa, kā plānots. Naudas plūsma precizēta atbilstoši Budžeta likumam, ka pašvaldības līdzfinansējums nav mazāks par 15%, budžetā sākotnēji plānots 30% līdzfinansējums. </t>
  </si>
  <si>
    <t>14.12.</t>
  </si>
  <si>
    <t>Draudzības iela posmā no Saules ielai līdz Podnieku ielai ar ietvi 0.35km</t>
  </si>
  <si>
    <t>Saskaņā ar Domes 28.09.2023. lēmumum Nr.289, Draudzības ielas rekonstrukcija - projekts netiks realizēts 2023.gadā. Aizņēmums EUR 126'000 netiks saņemts.</t>
  </si>
  <si>
    <t>14.13.</t>
  </si>
  <si>
    <t>Liepu aleja</t>
  </si>
  <si>
    <t>Atbalstīta projekta realizācija</t>
  </si>
  <si>
    <t>14.14.</t>
  </si>
  <si>
    <t xml:space="preserve">       Atpūtas ielas pārbūve</t>
  </si>
  <si>
    <t>Sākotnēji plānots no pašvaldības līdzekļiem, bet saskaņā ar likumu ir iespējams izmantot aizņēmuma līdzekļus.</t>
  </si>
  <si>
    <t>VK aizņēmums nav saņemts</t>
  </si>
  <si>
    <t>PAVISAM KOPĀ IEŅĒMUMI:</t>
  </si>
  <si>
    <t xml:space="preserve">Izdevumu daļa </t>
  </si>
  <si>
    <t>Komentāri</t>
  </si>
  <si>
    <t>Vispārējie valdības dienesti</t>
  </si>
  <si>
    <t>0110</t>
  </si>
  <si>
    <t>pārvalde</t>
  </si>
  <si>
    <t>EKK korekcija (algu ekonomija novirzīta uz KA, atbalstīto zemsvītras investīciju finansēšanai.)</t>
  </si>
  <si>
    <t>0111</t>
  </si>
  <si>
    <t>deputāti</t>
  </si>
  <si>
    <t>0130</t>
  </si>
  <si>
    <t>1.3.</t>
  </si>
  <si>
    <t>administratīvā komisija</t>
  </si>
  <si>
    <t>0140</t>
  </si>
  <si>
    <t>1.4.</t>
  </si>
  <si>
    <t>iepirkumu komisija</t>
  </si>
  <si>
    <t>0120</t>
  </si>
  <si>
    <t>1.5.</t>
  </si>
  <si>
    <t>vēlēšanu komisija</t>
  </si>
  <si>
    <t>0150</t>
  </si>
  <si>
    <t>1.6.</t>
  </si>
  <si>
    <t>pārējās komisijas</t>
  </si>
  <si>
    <t>EUR2000 uz PII Piejūra - balva par energotaupības rezultātiem</t>
  </si>
  <si>
    <t>1.7.</t>
  </si>
  <si>
    <t>aizņēmumu procentu maksājumi</t>
  </si>
  <si>
    <t>Lai kompensētu aizņēmumu likmju pieaugumu.</t>
  </si>
  <si>
    <t>Procentu maksājumu summas palielinājums (avots - IIN pārpilde)</t>
  </si>
  <si>
    <t>1.8.</t>
  </si>
  <si>
    <t>Iemaksas PFIF</t>
  </si>
  <si>
    <t>0170</t>
  </si>
  <si>
    <t>1.9.</t>
  </si>
  <si>
    <t>Informācijas tehnoloģiju nodaļa, vispārējas nozīmes dienestu darbība un pakalpojumi - datortīkla uzturēšana ©</t>
  </si>
  <si>
    <t>Pārējie vispārēja rakstura transferti</t>
  </si>
  <si>
    <t>0610</t>
  </si>
  <si>
    <t>Izdevumi neparedzētiem gadījumiem</t>
  </si>
  <si>
    <t>0340</t>
  </si>
  <si>
    <t>Sabiedriskā kārtība un drošība</t>
  </si>
  <si>
    <t>Ekonomiskā darbība</t>
  </si>
  <si>
    <t>0490</t>
  </si>
  <si>
    <t>Sabiedriskās attiecības, laikraksts</t>
  </si>
  <si>
    <t>4.1.1.</t>
  </si>
  <si>
    <t>Sabiedrisko attiecību nodaļa</t>
  </si>
  <si>
    <t>4.1.2.</t>
  </si>
  <si>
    <t>Ādažu vēstis</t>
  </si>
  <si>
    <t>0420</t>
  </si>
  <si>
    <t>Autoceļu fonds</t>
  </si>
  <si>
    <t>Vides aizsardzība</t>
  </si>
  <si>
    <t>0510</t>
  </si>
  <si>
    <t>Dabas resursu nodokļa izlietojums</t>
  </si>
  <si>
    <t>Saskaņā ar 13.12.2023. domes lēmumu</t>
  </si>
  <si>
    <t>Pašvaldības teritoriju un mājokļu apsaimniekošana</t>
  </si>
  <si>
    <t>0620</t>
  </si>
  <si>
    <t>Būvvalde</t>
  </si>
  <si>
    <t>+ EUR 15'000 arhitektu plenērs izglītības kvartālam</t>
  </si>
  <si>
    <t>0660</t>
  </si>
  <si>
    <t>6.3.</t>
  </si>
  <si>
    <t>Teritorijas plānošanas nodaļa</t>
  </si>
  <si>
    <t>6.4.</t>
  </si>
  <si>
    <t>Attīstības un projektu nodaļa</t>
  </si>
  <si>
    <t>6.4.1.</t>
  </si>
  <si>
    <t>nodaļa</t>
  </si>
  <si>
    <t>Life CoHabit projekts noslēdzies - 2) EUR 5033 Gaujas-Baltezera projekta realizācijai (Lēmums #82)</t>
  </si>
  <si>
    <t>1. Papildus ģimenes ārsta prakses projekta realizācijas prasība - informatīvās plāksnes izgatavošana no attīstības daļas budžeta. (EUR 73 no 0630 uz 0633.5)
2. Saskaņā ar Domes 26.07.2023. lēmumu Nr. 291:
2.1. EUR 27'000 no Ķiršu ielas būvniecības plānotās summas Krastupes ielas projektēšanai.
2.2. EUR 8'000 no Draudzības ielas būvniecības plānotās summas Krastupes ielas projektēšanai.
2.3. EUR 50'000 no Dadzīšu ielas projektēšanas plānotās summas Krastupes ielas projektēšanai.
3. EUR 1000 no projekta konta atlikuma (projekts noslēdzies) uz zemas cenas īres mājokļu būvniecībai paredzētās teritorijas novērtēšanai (EKK 0630 (2239))</t>
  </si>
  <si>
    <t>1) Podnieku zemes iegāde EUR 232'064 no Attīstības daļas budžeta 0630/EKK 5217 uz Nekustamo īpašumu nodaļu 0670/EKK 5214;
2) Pārskaitīt EUR 8'445 CKS (no 0630/5240 uz 0645/7230) piekrastes projekta realizēšana</t>
  </si>
  <si>
    <t>0630.1</t>
  </si>
  <si>
    <t>6.4.2.</t>
  </si>
  <si>
    <t>Projekts "Sabiedrība ar dvēseli"</t>
  </si>
  <si>
    <t>Saskaņā ar lēmumu, novirzīt EUR 1'630 no 0630.2 Pārrobežu EST-LAT projekts "Militārais mantojums uz 0630.1/3263 Sabiedrība ar dvēseli projektu realizācijai</t>
  </si>
  <si>
    <t>6.4.3.</t>
  </si>
  <si>
    <t>Iedzīvotāju iniciatīvas un konkursi.</t>
  </si>
  <si>
    <t>0632.5</t>
  </si>
  <si>
    <t>6.4.4.</t>
  </si>
  <si>
    <t>TEP “Atjaunojamo energoresursu izmantošana Ādažu novadā” (EUCF)</t>
  </si>
  <si>
    <t>EUR 18'000 no atlikuma uz TEP “Atjaunojamo energoresursu izmantošana Ādažu novadā” (EUCF) projektu priekšfinansējumam. (Lēmums #164)</t>
  </si>
  <si>
    <t>0633.1</t>
  </si>
  <si>
    <t>6.4.5.</t>
  </si>
  <si>
    <t>”Mobilitātes punkta infrastruktūras izveidošana Rīgas metropoles areālā – “Carnikava””</t>
  </si>
  <si>
    <t>0633.2</t>
  </si>
  <si>
    <t>6.4.6.</t>
  </si>
  <si>
    <t>0632.4</t>
  </si>
  <si>
    <t>6.4.7.</t>
  </si>
  <si>
    <t>6.4.8.</t>
  </si>
  <si>
    <t>Life CoHabit projekts noslēdzies - 1) EUR 18'000 no atlikuma uz TEP “Atjaunojamo energoresursu izmantošana Ādažu novadā” (EUCF) projektu priekšfinansējumam. (Lēmums #164)
2) EUR 5033 Gaujas-Baltezera projekta realizācijai (Lēmums #82)</t>
  </si>
  <si>
    <t>6.4.9.</t>
  </si>
  <si>
    <t>Pārrobežu EST-LAT projekts "Militārais mantojums ©</t>
  </si>
  <si>
    <t>Noslēdzies iepirkums par kopsummu EUR 16'298. EUR 1'298 novirzīt no projekta Militārais mantojums (0630.2/2239) uz Ģimenes ārsta prakses izveide (0633.5/5240).</t>
  </si>
  <si>
    <t>EUR 1000 no projekta konta atlikuma (projekts noslēdzies) uz zemas cenas īres mājokļu būvniecībai paredzētās teritorijas novērtēšanai (EKK 0630 (2239))</t>
  </si>
  <si>
    <t>0633.5</t>
  </si>
  <si>
    <t>6.4.10.</t>
  </si>
  <si>
    <t>Papildus ģimenes ārsta prakses projekta realizācijas prasība - informatīvās plāksnes izgatavošana no attīstības daļas budžeta</t>
  </si>
  <si>
    <t>6.4.11.</t>
  </si>
  <si>
    <t>6.5.</t>
  </si>
  <si>
    <t>Objektu un teritorijas apsaimniekošana un uzturēšana</t>
  </si>
  <si>
    <t>6.5.1.</t>
  </si>
  <si>
    <t>Nekustamo īpašumu uzturēšana (Ā)</t>
  </si>
  <si>
    <t>0670</t>
  </si>
  <si>
    <t xml:space="preserve">Nekustamā īpašumas nodaļa </t>
  </si>
  <si>
    <t>Podnieku zemes iegāde EUR 232'064 no Attīstības daļas budžeta 0630/EKK 5217 uz Nekustamo īpašumu nodaļu 0670/EKK 5214</t>
  </si>
  <si>
    <t>Nekustamā īpašuma iegāde skolas celtniecībai</t>
  </si>
  <si>
    <t>0649</t>
  </si>
  <si>
    <t>6.5.2.</t>
  </si>
  <si>
    <t>Mežaparka ceļš (Ā)</t>
  </si>
  <si>
    <t>6.5.3.</t>
  </si>
  <si>
    <t>CKS_apsaimniek</t>
  </si>
  <si>
    <t>6.5.4.</t>
  </si>
  <si>
    <t>Pašvaldības aģentūra "Carnikavas Komunālserviss"</t>
  </si>
  <si>
    <t>6.5.5.</t>
  </si>
  <si>
    <t>P/A "Carnikavas komunālserviss" teritorijas un īpašumu apsaimniekošana</t>
  </si>
  <si>
    <t>6.5.5.1</t>
  </si>
  <si>
    <t>Dotācija CKS teritorijas uzturēšanai</t>
  </si>
  <si>
    <t>1.-  EUR 18'000 uz 30.04. ekonomija uz vakancēm.
2. + EUR 16'000 uz CKS Garā 20 apkopējas atalgojums.
3. + EUR 21'000 uz CKS ārstu prakse Garā iela 20
4. + EUR 30'000 Smilšu ielas izbūves projektēšana
5. + EUR 5'000 Vecštāles caurtekas remonts
6. + 30'000 Dzirnupes ielas tilta projektēšanai
7. + 12'000 Caurteku rekonstrukcija (sabrukušas) Medus ielā
8. + 36'000 2 dzīvokļu remonts
9. + 180'000 Liepu aleja (ir tehniskais projekts) (EUR 54'000 pašvaldības līdzekļi; EUR 126'000 VK aizņēmums)
10. + 15'597 noslēdzies dubultās virsmas apstrādes iepirkums (Gaujmalas, Dārza, Kastaņu un Lazdu ielām)</t>
  </si>
  <si>
    <t>No CKS dotācijas uz Teritorijas uzturēšanu (Dome) par apsaimniekošanas līgumiem, kas noslēgti ar Domi</t>
  </si>
  <si>
    <t>1) EUR 50'000 no Dadzīšu ielas projektēšanas plānotās summas Krastupes ielas projektēšanai.
2) EUR 25'175 Atpūtas ielas rekonstrukcijai (Indikatīvās būvdarbu izmaksas saskaņā ar lēmumu)
3) EUR 54'000 no Liepu ielas būvniecības plānotās summas Kalngales NAI pārbūvei.
4) CKS grozījumi, kur pārceļam EUR 3700 uz pamatskolas budžetu, lai samaksātu virsstundas ēkas dežurantam, kas veidojas apkalpojot telpu nomniekus.</t>
  </si>
  <si>
    <t>1) Pārskaitīt EUR 8'445 CKS (no 0630/5240 uz 0645/7230) piekrastes projekta realizēšanai.
2) EUR 3'504 no Sporta daļas uz CKS vertikulēšanas un aerācijas aparāta iegādei sporta laukuma uzturēšanai.
3) No CKS dotācijas uz Teritorijas uzturēšanu (Dome) par apsaimniekošanas līgumiem, kas noslēgti ar Domi (EUR 19'591 - teritorija; EUR 20'707 - ceļu uzturēšana).</t>
  </si>
  <si>
    <t>6.5.5.2.</t>
  </si>
  <si>
    <t>Dotācija CKS ceļu uzturēšanai</t>
  </si>
  <si>
    <t>1) EUR 50'936 no CKS dotācijas uz Teritorijas uzturēšanu (Dome) par apsaimniekošanas līgumiem, kas noslēgti ar Domi. (EUR 23'016 uz teritorijas apsaimn. Dome un EUR 27'920 uz ceļu sadaļu)</t>
  </si>
  <si>
    <t>No CKS dotācijas uz Teritorijas uzturēšanu (Dome) par apsaimniekošanas līgumiem, kas noslēgti ar Domi (EUR 19'591 - teritorija; EUR 20'707 - ceļu uzturēšana).</t>
  </si>
  <si>
    <t>6.5.5.3.</t>
  </si>
  <si>
    <t>Teritorijas uzturēšana (Dome)</t>
  </si>
  <si>
    <t>+ EUR 7'921 - Noslēdzies iepirkums autobusa iegādei 2023.gada maksājumi EUR 27'121 (budžetā EUR 19'200)</t>
  </si>
  <si>
    <t>1) EUR 50'936 no CKS dotācijas uz Teritorijas uzturēšanu (Dome) par apsaimniekošanas līgumiem, kas noslēgti ar Domi. (EUR 23'016 uz teritorijas apsaimn. Dome un EUR 27'920 uz ceļu sadaļu)
2) Saskaņā ar līdzfinansējuma vērtēšanas komisijas ierosinājumu palielināt finanšu apjomu par EUR 20'000 daudzdzīvokļu māju siltināšanas līdzfinansējumam.</t>
  </si>
  <si>
    <t>No CKS dotācijas uz Teritorijas uzturēšanu (Dome) par apsaimniekošanas līgumiem, kas noslēgti ar Domi (EUR 19'591 - teritorija;  EUR 20'707 - ceļu uzturēšana). (EUR 5'506 apdrošināšana??)</t>
  </si>
  <si>
    <t>0650_4</t>
  </si>
  <si>
    <t>6.5.6.</t>
  </si>
  <si>
    <t>Ceļu, ielu infrastruktūras attīstības programma  - pašvaldības ieguldījums ©</t>
  </si>
  <si>
    <t>0633.3</t>
  </si>
  <si>
    <t>6.5.7.</t>
  </si>
  <si>
    <t>Auto stāvlaukuma Lilastē paplašināšanas un atpūtas vietu labiekārtojuma projektēšana un izbūve ©</t>
  </si>
  <si>
    <t>Projekts noslēdzies, precizēta naudas plūsma</t>
  </si>
  <si>
    <t>6.5.8.</t>
  </si>
  <si>
    <t>Rasiņu ielas seguma atjaunošana</t>
  </si>
  <si>
    <t>Realizēs caur Domes līgumu</t>
  </si>
  <si>
    <t>6.5.9.</t>
  </si>
  <si>
    <t>1) EUR 27'000 no Ķiršu ielas būvniecības plānotās summas Krastupes ielas projektēšanai. (Jūnija palielinājums EUR 57'326 no 0645/5240 uz 0645/7230)</t>
  </si>
  <si>
    <t>6.5.10.</t>
  </si>
  <si>
    <t>1) EUR 8'000 no Draudzības ielas būvniecības plānotās summas Krastupes ielas projektēšanai.
2) EUR 7'875 no Draudzības ielas būvniecības plānotās summas Kalngales NAI pārbūvei.</t>
  </si>
  <si>
    <t>Saskaņā ar Domes 28.09.2023. lēmumum Nr.289, Draudzības ielas rekonstrukcija - projekts netiks realizēts 2023.gadā</t>
  </si>
  <si>
    <t>6.5.11.</t>
  </si>
  <si>
    <t>6.5.12.</t>
  </si>
  <si>
    <t>1) EUR 54'000 no Liepu ielas būvniecības plānotās summas Kalngales NAI pārbūvei.
2) EUR 7'875 no Draudzības ielas būvniecības plānotās summas Kalngales NAI pārbūvei.</t>
  </si>
  <si>
    <t>Saskaņā ar Domes 28.09.2023. lēmumum Nr.289, Kalngales NAI pārbūve - projekts 2023.gadā netiks realizēts</t>
  </si>
  <si>
    <t>6.5.13.</t>
  </si>
  <si>
    <t>6.5.14.</t>
  </si>
  <si>
    <t>0633.4</t>
  </si>
  <si>
    <t>6.5.15.</t>
  </si>
  <si>
    <t>KF Ūdenssaimniecības projekts Carnikavā, 3.kārta ©</t>
  </si>
  <si>
    <t>Atpūta, kultūra un reliģija</t>
  </si>
  <si>
    <t>Kultūra</t>
  </si>
  <si>
    <t>0841.1</t>
  </si>
  <si>
    <t>7.1.1.</t>
  </si>
  <si>
    <t xml:space="preserve">Ādažu kultūras centrs </t>
  </si>
  <si>
    <t>+ EUR 2'498 (49 austas rakstainās jostas korim SAKNES)</t>
  </si>
  <si>
    <r>
      <t>1) Saskaņā ar 05.04.23. lēmumu #129 Gaujas svētku ieņēmumus EUR 17'000 apmērā novirzīt uz izdevumu segšanu.
2)</t>
    </r>
    <r>
      <rPr>
        <b/>
        <sz val="11"/>
        <rFont val="Times New Roman"/>
        <family val="1"/>
        <charset val="186"/>
      </rPr>
      <t xml:space="preserve"> Iekš. groz.:</t>
    </r>
    <r>
      <rPr>
        <sz val="11"/>
        <rFont val="Times New Roman"/>
        <family val="1"/>
        <charset val="186"/>
      </rPr>
      <t xml:space="preserve"> EUR 9 000 no ĀNKC vadītājas vietnieces algas ietaupījuma uz EKK 2239 Gaujas svētku cilvēkresursu u.c. izdevumu apmaksai</t>
    </r>
  </si>
  <si>
    <t>0841.2</t>
  </si>
  <si>
    <t>7.1.2.</t>
  </si>
  <si>
    <t>Tautas nams "Ozolaine" ©</t>
  </si>
  <si>
    <t>Saskaņā ar 19.10.2023. FK protokollēmumu EUR 19'000 no EKK 2239/08412 uz EKK 2239/0841.2 (Ozolaine)</t>
  </si>
  <si>
    <t>0841.3</t>
  </si>
  <si>
    <t>7.1.3.</t>
  </si>
  <si>
    <t>Muzejs un Carnikavas novadpētniecības centrs</t>
  </si>
  <si>
    <t>08412</t>
  </si>
  <si>
    <t>Dziesmu svētki 2023</t>
  </si>
  <si>
    <t>EUR 20'000 papildus atobusu īrei Dziesmu un deju svētkos</t>
  </si>
  <si>
    <t>0844.1</t>
  </si>
  <si>
    <t>7.3.</t>
  </si>
  <si>
    <t>SAM 5.5.1. Kultūras objektu būvniecība (maksājumi projekta partneriem) ©</t>
  </si>
  <si>
    <t>0844.2</t>
  </si>
  <si>
    <t>7.4.</t>
  </si>
  <si>
    <t>0830</t>
  </si>
  <si>
    <t>7.5.</t>
  </si>
  <si>
    <t xml:space="preserve">Ādažu bibliotēka </t>
  </si>
  <si>
    <t>Saskaņā ar maija sēdes lēmumu par bibliotēkas paplašināšanos</t>
  </si>
  <si>
    <t>0831</t>
  </si>
  <si>
    <t>7.6.</t>
  </si>
  <si>
    <t xml:space="preserve">Carnikavas bibliotēka </t>
  </si>
  <si>
    <t>Papildus finansējums pakomāta iegādei</t>
  </si>
  <si>
    <t>7.8.</t>
  </si>
  <si>
    <t>Sporta daļa</t>
  </si>
  <si>
    <t>1) EUR 3'504 no Sporta daļas uz CKS vertikulēšanas un aerācijas aparāta iegādei sporta laukuma uzturēšanai.
2) No maksas pakalpojumu ieņēmumu palielinājuma EUR 5'000 āra trenažieru iegādei.
3) Carnikavas stadiona rekonstrukcijas ietvaros. Ūdensņemšanas vieta priekš sniega pūšanas (realizēts projekta ietvaros. Šos EUR 30'000 no 09823/5250 uz 0812/5239 (āra trenažieru iegādei)</t>
  </si>
  <si>
    <t>0880</t>
  </si>
  <si>
    <t>7.9.</t>
  </si>
  <si>
    <t>Evaņģēliski luteriskās draudzes</t>
  </si>
  <si>
    <t>0843</t>
  </si>
  <si>
    <t>7.10.</t>
  </si>
  <si>
    <t>Multihalle</t>
  </si>
  <si>
    <t>Sociālā aizsardzība</t>
  </si>
  <si>
    <t>Sociālais dienests</t>
  </si>
  <si>
    <t>8.1.1.</t>
  </si>
  <si>
    <t xml:space="preserve">Sociālās funkcijas nodrošināšana </t>
  </si>
  <si>
    <t>Saskaņā ar domes 24.05.2023. lēmumu Nr. 196 pārcelt finansējumu vakancei "Bērnu brīvā laika organizators" no soc. Dienesta budžeta uz Izglītības un jaunatnes nodaļu</t>
  </si>
  <si>
    <t>8.1.2.</t>
  </si>
  <si>
    <t>Pabalsti</t>
  </si>
  <si>
    <t>8.1.3.</t>
  </si>
  <si>
    <t>Mērķdotācija</t>
  </si>
  <si>
    <t>8.1.5.</t>
  </si>
  <si>
    <t>Asistentu pakalpojumi</t>
  </si>
  <si>
    <t>8.1.6.</t>
  </si>
  <si>
    <t>Sociālā centra "Kadiķis" uzturēšana</t>
  </si>
  <si>
    <t>Stipendiāti / bezdarbnieki</t>
  </si>
  <si>
    <t>8.2.1.</t>
  </si>
  <si>
    <t>Domes finansējums</t>
  </si>
  <si>
    <t>8.2.2.</t>
  </si>
  <si>
    <t>NVA finansējums</t>
  </si>
  <si>
    <t>SAM 9311 Deinstitucionalizācija - Dienas centrs</t>
  </si>
  <si>
    <t>1014.3</t>
  </si>
  <si>
    <t>8.3.1.</t>
  </si>
  <si>
    <t>DI centra uzturēšanas izdevumi</t>
  </si>
  <si>
    <t>8.3.2.</t>
  </si>
  <si>
    <t>DI projekts- specializētās darbnīcas</t>
  </si>
  <si>
    <t>1014.1</t>
  </si>
  <si>
    <t>8.3.3.</t>
  </si>
  <si>
    <t>DI centra pakalpojumi (projekts)</t>
  </si>
  <si>
    <t>8.4.</t>
  </si>
  <si>
    <t>Bāriņtiesa</t>
  </si>
  <si>
    <t>8.5.</t>
  </si>
  <si>
    <t>8.6.</t>
  </si>
  <si>
    <t>1013.1</t>
  </si>
  <si>
    <t>8.7.</t>
  </si>
  <si>
    <t>SAM 9.2.4.2. projekts "Pasākumi vietējās sabiedrības veselības veicināšanai Ādažu novada pašvaldības Ādažu pagastā"</t>
  </si>
  <si>
    <t>1013.2</t>
  </si>
  <si>
    <t>8.8.</t>
  </si>
  <si>
    <t>SAM 9.2.4.2. projekts "Pasākumi vietējās sabiedrības veselības veicināšanai Ādažu novada pašvaldības Carnikavas pagastā"</t>
  </si>
  <si>
    <t>Izglītība</t>
  </si>
  <si>
    <t>7210 (0940; 0970)</t>
  </si>
  <si>
    <t>9.1.</t>
  </si>
  <si>
    <t>Norēķini ar pašvaldību budžetiem par izglītības iestāžu pakalpojumiem</t>
  </si>
  <si>
    <t>EUR 220'908 no pašvaldību savstarpējiem norēķiniem uz līdzfinansējumu privātajām izgl.iest.</t>
  </si>
  <si>
    <t>9.2.</t>
  </si>
  <si>
    <t>Ādažu Pirmsskolas izglītības iestāde</t>
  </si>
  <si>
    <t>0911</t>
  </si>
  <si>
    <t>9.2.1.</t>
  </si>
  <si>
    <t>pedagogu algas, grāmatas (mērķdotācija)</t>
  </si>
  <si>
    <t>0910</t>
  </si>
  <si>
    <t>9.2.2.</t>
  </si>
  <si>
    <t>pārējās izmaksas</t>
  </si>
  <si>
    <t>1. - EUR 7'910 korekcija (algu ekonomija novirzīta uz KA, atbalstīto zemsvītras investīciju finansēšanai.)
2. + EUR 20'000 ĀPII rotaļu laukums</t>
  </si>
  <si>
    <t>9.3.</t>
  </si>
  <si>
    <t>Kadagas PII</t>
  </si>
  <si>
    <t>0921</t>
  </si>
  <si>
    <t>9.3.1.</t>
  </si>
  <si>
    <t>0920</t>
  </si>
  <si>
    <t>9.3.2.</t>
  </si>
  <si>
    <t>9.4.</t>
  </si>
  <si>
    <t>Pirmsskolas izglītības iestāde "Riekstiņš"</t>
  </si>
  <si>
    <t>09011</t>
  </si>
  <si>
    <t>9.4.1.</t>
  </si>
  <si>
    <t>0901; 650_0901</t>
  </si>
  <si>
    <t>9.4.2.</t>
  </si>
  <si>
    <t>9.4.3.</t>
  </si>
  <si>
    <t>uzturēšanas izmaksas (CKS)</t>
  </si>
  <si>
    <t>2'625 korekcija – ietaupījums sakarā ar īstenotajiem energotaupības pasākumiem novirzīt darbinieku prēmēšanai PII Riekstiņš par ikgadējās darbības novērtēšanas rezultātu</t>
  </si>
  <si>
    <t>0902; 650_0902</t>
  </si>
  <si>
    <t>9.5.</t>
  </si>
  <si>
    <t>Pirmsskolas izglītības iestādes "Piejūra"</t>
  </si>
  <si>
    <t>09021</t>
  </si>
  <si>
    <t>9.5.1.</t>
  </si>
  <si>
    <t>9.5.2.</t>
  </si>
  <si>
    <t>EUR 2000 uz PII Piejūra - balva par energotaupības rezultātiem</t>
  </si>
  <si>
    <t>9.5.3.</t>
  </si>
  <si>
    <t>9.6.</t>
  </si>
  <si>
    <t>Privātās izglītības iestādes</t>
  </si>
  <si>
    <t>1) Palielinājums ieņēmumos EUR 47'100 novirzīts līdzfinansējuma nodrošināšanai audzēkņiem, kuri apmeklē privātās izglītības iestādes.
2) EUR 220'908 no pašvaldību savstarpējiem norēķiniem uz līdzfinansējumu privātajām izgl.iest.
3)  EUR 32'100 no KA uz līdzfinansējumu privātajām izgl.iest.</t>
  </si>
  <si>
    <t>0970</t>
  </si>
  <si>
    <t>9.6.1.</t>
  </si>
  <si>
    <t>ĀBVS</t>
  </si>
  <si>
    <t>0940</t>
  </si>
  <si>
    <t>9.6.2.</t>
  </si>
  <si>
    <t>Privātās skolas</t>
  </si>
  <si>
    <t>9.6.3.</t>
  </si>
  <si>
    <t>Pārējās privātās PII</t>
  </si>
  <si>
    <t>9.7.</t>
  </si>
  <si>
    <t>Carnikavas pamatskola</t>
  </si>
  <si>
    <t>09821</t>
  </si>
  <si>
    <t>9.7.1.</t>
  </si>
  <si>
    <t>9.7.2.</t>
  </si>
  <si>
    <t>ēdināšana (mērķdotācija)</t>
  </si>
  <si>
    <t>0982; 0650_0982</t>
  </si>
  <si>
    <t>9.7.3.</t>
  </si>
  <si>
    <t>9.7.4.</t>
  </si>
  <si>
    <t>CKS grozījumi, kur pārceļam EUR 3700 uz pamatskolas budžetu, lai samaksātu virsstundas ēkas dežurantam, kas veidojas apkalpojot telpu nomniekus.</t>
  </si>
  <si>
    <t>09822</t>
  </si>
  <si>
    <t>9.7.5.</t>
  </si>
  <si>
    <t>projekts "Skolas soma"</t>
  </si>
  <si>
    <t>09825</t>
  </si>
  <si>
    <t>9.7.6.</t>
  </si>
  <si>
    <t>projekti Erasmus+; Nordplus</t>
  </si>
  <si>
    <t>0982</t>
  </si>
  <si>
    <t>9.7.7.</t>
  </si>
  <si>
    <t>mācību vides labiekārtošana</t>
  </si>
  <si>
    <t>09823</t>
  </si>
  <si>
    <t>9.8.</t>
  </si>
  <si>
    <t>Carnikavas stadiona rekonstrukcijas ietvaros. Ūdensņemšanas vieta priekš sniega pūšanas (realizēts projekta ietvaros. Šos EUR 30'000 no 09823/5250 uz 0812/5239 (āra trenažieru iegādei)</t>
  </si>
  <si>
    <t>9.9.</t>
  </si>
  <si>
    <t>Ādažu vidusskola</t>
  </si>
  <si>
    <t>0954</t>
  </si>
  <si>
    <t>9.9.1.</t>
  </si>
  <si>
    <t>0950</t>
  </si>
  <si>
    <t>9.9.2.</t>
  </si>
  <si>
    <t>1. EUR 7'900 IZM piegādāto ChromeBook (IZM projekts datori 7-9 kl. skolēniem) uzglabāšanas, uzlādes skapji 5 gb. (32 datori vienā skapī). Šos no EKK 5238 uz EKK 5240.
2. EUR 10'864 SIA "Ādažu Namsaimnieks" dividendes, novirzīt caur 0950 izdevumi vidussk.apkures sist.pāreja uz atjaunoj.energoresursiem, Domes lēmums Nr.215.</t>
  </si>
  <si>
    <t>Ugunsdrošības un apziņošanas sistēmas ierīkošana Ādažu vidusskolas korpusā -2023.gadā gala maksājums EUR 43000 no konta atlikuma (nebija iekļauts budžeta plānā)</t>
  </si>
  <si>
    <t>20.09. FK protokols - EUR 9'300 no plānotā Chromebook apdrošināšanai un EUR 3'500 no plānotā profesionālās izaugsmes progr. (Transportlīdz. Vadīš. Apmācība) uz sākumskolu mācību līdzekļu iegādei.</t>
  </si>
  <si>
    <t>0957</t>
  </si>
  <si>
    <t>9.9.3.</t>
  </si>
  <si>
    <t>projekts Erasmus+</t>
  </si>
  <si>
    <t>0951</t>
  </si>
  <si>
    <t>9.9.4.</t>
  </si>
  <si>
    <t>9.9.5.</t>
  </si>
  <si>
    <t>Ādažu vidusskolas ēkas B korpusa un savienojuma daļas starp korpusiem (C un B) fasādes atjaunošana - pašvaldības līdzfinansējuma daļa (aizņemšanās nosacījumi paredz 10% līdzfin.)</t>
  </si>
  <si>
    <t>0981</t>
  </si>
  <si>
    <t>9.9.6.</t>
  </si>
  <si>
    <t>sākumskolas uzturēšanas izmaksas</t>
  </si>
  <si>
    <t>1. EUR 7'000 no apkures izmaksām (EKK 2221) uz EKK 5239 boilera uzstādīšanai, SIA "Namsaimnieks" nenodrošina silto ūdeni ārpus apkures sezonai.
2. EUR 166'307 pusdienu līdzfinansējums 1.-4.kl. (EKK korekcija)</t>
  </si>
  <si>
    <t>9.9.7.</t>
  </si>
  <si>
    <t>sākumskolas ēdināšana (mērķdotācija)</t>
  </si>
  <si>
    <t>9.9.8.</t>
  </si>
  <si>
    <t xml:space="preserve">PII </t>
  </si>
  <si>
    <t>0952.1</t>
  </si>
  <si>
    <t>9.9.8.1.</t>
  </si>
  <si>
    <t>- pedagogu algas (mērķdotācija)</t>
  </si>
  <si>
    <t>0952</t>
  </si>
  <si>
    <t>9.9.8.2.</t>
  </si>
  <si>
    <t>-  uzturēšana</t>
  </si>
  <si>
    <t>9.10.</t>
  </si>
  <si>
    <t>Ādažu novada  Mākslu skola</t>
  </si>
  <si>
    <t>9.10.1.</t>
  </si>
  <si>
    <t>pedagogu algas (mērķdotācija)</t>
  </si>
  <si>
    <t>9.10.2.</t>
  </si>
  <si>
    <t>9.11.</t>
  </si>
  <si>
    <t>Sporta skola</t>
  </si>
  <si>
    <t>09651</t>
  </si>
  <si>
    <t>9.11.1.</t>
  </si>
  <si>
    <t>0965</t>
  </si>
  <si>
    <t>9.11.2.</t>
  </si>
  <si>
    <t>Pašvaldības finansējums</t>
  </si>
  <si>
    <t>0930</t>
  </si>
  <si>
    <t>9.12.</t>
  </si>
  <si>
    <t>Izglītības un jaunatnes nodaļa</t>
  </si>
  <si>
    <t>9.13.</t>
  </si>
  <si>
    <t>Līdzfinansējums skolēnu dalībai konkursos</t>
  </si>
  <si>
    <t>0931</t>
  </si>
  <si>
    <t>9.14.</t>
  </si>
  <si>
    <t>ESF projekts Atbalsts priekšlaicīgas mācību pārtraukšanas samazināšanai © (Pumpurs)</t>
  </si>
  <si>
    <t>0932</t>
  </si>
  <si>
    <t>9.15.</t>
  </si>
  <si>
    <t>0933</t>
  </si>
  <si>
    <t>9.16.</t>
  </si>
  <si>
    <t>Valsts finansējums projektu konkursā "Atbalsts jaunatnes politikas īstenošanai vietējā līmenī"  projekts "Mobilais darbs ar jaunatni Ādažu novadā"</t>
  </si>
  <si>
    <t>9.17.</t>
  </si>
  <si>
    <t>0956</t>
  </si>
  <si>
    <t>9.17.1.</t>
  </si>
  <si>
    <t>Ādaži</t>
  </si>
  <si>
    <t>09824</t>
  </si>
  <si>
    <t>9.17.2.</t>
  </si>
  <si>
    <t>Carnikava</t>
  </si>
  <si>
    <t>10</t>
  </si>
  <si>
    <t>Ieguldījumi uzņēmumu pamatkapitālā</t>
  </si>
  <si>
    <t>SIA "Ādažu ūdens"</t>
  </si>
  <si>
    <t>SIA "Garkalnes ūdens"</t>
  </si>
  <si>
    <t>KOPĀ IZDEVUMI:</t>
  </si>
  <si>
    <t>Kredītu pamatsummas atmaksa</t>
  </si>
  <si>
    <t>Atskaitīta 2u projektu (Lilastes stāvlaukums, Salas aizsargdambja apgaismojums) finansējums, jāveic aizņēmuma atmaksa.</t>
  </si>
  <si>
    <t>PAVISAM KOPĀ IZDEVUMI:</t>
  </si>
  <si>
    <t>-</t>
  </si>
  <si>
    <t>Naudas līdzekļu atlikums uz gada beigām</t>
  </si>
  <si>
    <t>Ēdināšanas MD Valdorfskolai + 5'192</t>
  </si>
  <si>
    <t>EUR 7'684 no EKK 2243 uz EKK 5239 - apstiprinātajā budžetā skatuves priekškara nomaiņa tika iekļauta kā pakalpojums, bet faktiski klasificējams kā pamatlīdzeklis.</t>
  </si>
  <si>
    <t>1) EUR 9'026 no 0954/1119 uz 0970/2239 interešu izglītības MD, kas attiecināma uz Valdorfskolu
2) Ēdināšanas MD + 5'192 (no pašvaldības + 5'192)</t>
  </si>
  <si>
    <t>Ādažu novada pašvaldības aizņēmumu un citu ilgtermiņa saistību pārskats</t>
  </si>
  <si>
    <t>Aizņēmumu pamatsummu un procentu atmaksa faktiskajiem un plānotajiem aizņēmumiem.</t>
  </si>
  <si>
    <t>A/C</t>
  </si>
  <si>
    <t>Nr.p.k.</t>
  </si>
  <si>
    <t>Nosaukums</t>
  </si>
  <si>
    <t>Aizņēmuma līgums</t>
  </si>
  <si>
    <t>Trančes numurs</t>
  </si>
  <si>
    <t>Līguma noslēgšanas datums</t>
  </si>
  <si>
    <t>Aizņēmuma beigu termiņš</t>
  </si>
  <si>
    <t>Aizņēmuma valūta</t>
  </si>
  <si>
    <t>Aizņēmuma summa</t>
  </si>
  <si>
    <t>Neatmaksātās pamatsummas atlikums</t>
  </si>
  <si>
    <t>% likmes maiņas datums</t>
  </si>
  <si>
    <t>% likmes veids</t>
  </si>
  <si>
    <t>Kopējā procentu likme (gadā), %</t>
  </si>
  <si>
    <t>Procentu likme , %</t>
  </si>
  <si>
    <t>Apkalpošanas maksa, %</t>
  </si>
  <si>
    <t>Maksājuma veids</t>
  </si>
  <si>
    <t>2023 faktiski samaksāts</t>
  </si>
  <si>
    <t>2023 atlikušais maksājums</t>
  </si>
  <si>
    <t>Pavisam kopā</t>
  </si>
  <si>
    <t>2030 - 2053</t>
  </si>
  <si>
    <t>Kopsumma 2023 - 2053</t>
  </si>
  <si>
    <t>A</t>
  </si>
  <si>
    <t>Stabilizācijas aizdevums (1.kārtas 2.posms)</t>
  </si>
  <si>
    <t>A2/1/11/107</t>
  </si>
  <si>
    <t>P-50/2011</t>
  </si>
  <si>
    <t>11.04.2011</t>
  </si>
  <si>
    <t>20.04.2036</t>
  </si>
  <si>
    <t>EUR</t>
  </si>
  <si>
    <t>Pamatsumma</t>
  </si>
  <si>
    <t>12.04.2024</t>
  </si>
  <si>
    <t>Procentu maksa</t>
  </si>
  <si>
    <t>Stabilizācijas aizdevums (1.kārtas 3.posms)</t>
  </si>
  <si>
    <t>A2/1/11/549</t>
  </si>
  <si>
    <t>P-350/2011</t>
  </si>
  <si>
    <t>22.09.2011</t>
  </si>
  <si>
    <t>22.12.2031</t>
  </si>
  <si>
    <t>22.09.2023</t>
  </si>
  <si>
    <t>ĀŪ</t>
  </si>
  <si>
    <t>Stabilizācijas aizdevums (2.kārta 1.posms)</t>
  </si>
  <si>
    <t>A2/1/12/328</t>
  </si>
  <si>
    <t>P-219/2012</t>
  </si>
  <si>
    <t>11.07.2012</t>
  </si>
  <si>
    <t>25.03.2032</t>
  </si>
  <si>
    <t>06.07.2024</t>
  </si>
  <si>
    <t>Stabilizācijas aizdevums (2.kārta 2.posms)</t>
  </si>
  <si>
    <t>A2/1/13/1000</t>
  </si>
  <si>
    <t>P-441/2013</t>
  </si>
  <si>
    <t>26.11.2013</t>
  </si>
  <si>
    <t>27.11.2023</t>
  </si>
  <si>
    <t>22.11.2023</t>
  </si>
  <si>
    <t>Gaujas ielas rekonstrukcija (1.-3.kārta)</t>
  </si>
  <si>
    <t>A2/1/17/301</t>
  </si>
  <si>
    <t>P-196/2017</t>
  </si>
  <si>
    <t>19.05.2017</t>
  </si>
  <si>
    <t>20.05.2032</t>
  </si>
  <si>
    <t>18.05.2024</t>
  </si>
  <si>
    <t>Gaujas ielas rekonstrukcija (4.kārta)</t>
  </si>
  <si>
    <t>A2/1/17/596</t>
  </si>
  <si>
    <t>P-450/2017</t>
  </si>
  <si>
    <t>21.08.2017</t>
  </si>
  <si>
    <t>20.08.2032</t>
  </si>
  <si>
    <t>18.08.2024</t>
  </si>
  <si>
    <t>Jaunās skolas būvniecība (1.-2. kārta)</t>
  </si>
  <si>
    <t>A2/1/18/123</t>
  </si>
  <si>
    <t>P-94/2018</t>
  </si>
  <si>
    <t>03.04.2018</t>
  </si>
  <si>
    <t>22.06.2048</t>
  </si>
  <si>
    <t>29.03.2024</t>
  </si>
  <si>
    <t>C</t>
  </si>
  <si>
    <t>ELFLA projekts pievadceļu attīstība</t>
  </si>
  <si>
    <t>A2/1/18/139</t>
  </si>
  <si>
    <t>P-109/2018</t>
  </si>
  <si>
    <t>05.04.2018</t>
  </si>
  <si>
    <t>22.03.2038</t>
  </si>
  <si>
    <t xml:space="preserve"> lauksaimniecības uzņēmumiem </t>
  </si>
  <si>
    <t>30.01.2024</t>
  </si>
  <si>
    <t>Ceļu, ielu infrastruktūras programma</t>
  </si>
  <si>
    <t>A2/1/18/251</t>
  </si>
  <si>
    <t>P-205/2018</t>
  </si>
  <si>
    <t>28.05.2018</t>
  </si>
  <si>
    <t>20.05.2038</t>
  </si>
  <si>
    <t>(1.kārta)</t>
  </si>
  <si>
    <t>24.05.2024</t>
  </si>
  <si>
    <t xml:space="preserve">Komunālās saimniecības </t>
  </si>
  <si>
    <t>A2/1/18/252</t>
  </si>
  <si>
    <t>P-200/2018</t>
  </si>
  <si>
    <t>20.05.2025</t>
  </si>
  <si>
    <t xml:space="preserve">investīcijas transportam </t>
  </si>
  <si>
    <t xml:space="preserve">ES Interreg Igaunijas - Latvijas projekts </t>
  </si>
  <si>
    <t>A2/1/18/255</t>
  </si>
  <si>
    <t>P-203/2018</t>
  </si>
  <si>
    <t>20.05.2033</t>
  </si>
  <si>
    <t>"Hiking Route Along the Baltic Sea Coastline in Latvia-Estonia"</t>
  </si>
  <si>
    <t xml:space="preserve">ERAF projekts Natura 2000 </t>
  </si>
  <si>
    <t>A2/1/18/254</t>
  </si>
  <si>
    <t>P-202/2018</t>
  </si>
  <si>
    <t>Atpūtas taka Carnikavā</t>
  </si>
  <si>
    <t xml:space="preserve">Prioritāro projektu īstenošana: bērnu rotaļu </t>
  </si>
  <si>
    <t>A2/1/18/452</t>
  </si>
  <si>
    <t>P-374/2018</t>
  </si>
  <si>
    <t>12.07.2018</t>
  </si>
  <si>
    <t>20.06.2028</t>
  </si>
  <si>
    <t>laukumi Carnikavas novadā</t>
  </si>
  <si>
    <t>11.07.2024</t>
  </si>
  <si>
    <t>Izglītības iestāžu investīciju projekts -</t>
  </si>
  <si>
    <t>A2/1/18/529</t>
  </si>
  <si>
    <t>P-435/2018</t>
  </si>
  <si>
    <t>03.08.2018</t>
  </si>
  <si>
    <t>20.07.2048</t>
  </si>
  <si>
    <t xml:space="preserve"> Piejūras PII būvniecība</t>
  </si>
  <si>
    <t>01.08.2024</t>
  </si>
  <si>
    <t xml:space="preserve">Izglītības iestāžu investīciju projekts - </t>
  </si>
  <si>
    <t>A2/1/18/528</t>
  </si>
  <si>
    <t>P-436/2018</t>
  </si>
  <si>
    <t>Carnikavas izglītības iestādes būvniecība no moduļiem</t>
  </si>
  <si>
    <t>A2/1/18/611</t>
  </si>
  <si>
    <t>P-500/2018</t>
  </si>
  <si>
    <t>04.09.2018</t>
  </si>
  <si>
    <t>20.08.2038</t>
  </si>
  <si>
    <t xml:space="preserve"> (2.kārta)</t>
  </si>
  <si>
    <t>30.08.2024</t>
  </si>
  <si>
    <t xml:space="preserve">Ceļu, ielu infrastruktūras programma </t>
  </si>
  <si>
    <t>A2/1/18/643</t>
  </si>
  <si>
    <t>P-537/2018</t>
  </si>
  <si>
    <t>12.09.2018</t>
  </si>
  <si>
    <t>(3.kārta)</t>
  </si>
  <si>
    <t>11.09.2024</t>
  </si>
  <si>
    <t>Attekas ielas rekonstrukcija</t>
  </si>
  <si>
    <t>A2/1/18/644</t>
  </si>
  <si>
    <t>P-538/2018</t>
  </si>
  <si>
    <t>20.09.2033</t>
  </si>
  <si>
    <t>12.09.2024</t>
  </si>
  <si>
    <t>Muižas ielas rekonstrukcijai</t>
  </si>
  <si>
    <t>A2/1/18/711</t>
  </si>
  <si>
    <t>P-580/2018</t>
  </si>
  <si>
    <t>10.10.2018</t>
  </si>
  <si>
    <t>20.09.2028</t>
  </si>
  <si>
    <t>03.10.2023</t>
  </si>
  <si>
    <t>A2/1/18/777</t>
  </si>
  <si>
    <t>P-643/2018</t>
  </si>
  <si>
    <t>12.11.2018</t>
  </si>
  <si>
    <t>20.10.2038</t>
  </si>
  <si>
    <t>(4.kārta)</t>
  </si>
  <si>
    <t>08.11.2023</t>
  </si>
  <si>
    <t xml:space="preserve">Prioritārais projekts Dambja būvniecība </t>
  </si>
  <si>
    <t>A2/1/18/818</t>
  </si>
  <si>
    <t>P-666/2018</t>
  </si>
  <si>
    <t>21.11.2018</t>
  </si>
  <si>
    <t>22.11.2038</t>
  </si>
  <si>
    <t xml:space="preserve">Valteru ielā </t>
  </si>
  <si>
    <t>14.11.2023</t>
  </si>
  <si>
    <t xml:space="preserve">Pārjaunojuma līgums visiem līgumiem līdz </t>
  </si>
  <si>
    <t>A2/1/19/50</t>
  </si>
  <si>
    <t>PP-5/2019</t>
  </si>
  <si>
    <t>05.03.2019</t>
  </si>
  <si>
    <t>20.09.2035</t>
  </si>
  <si>
    <t>2015.gadam</t>
  </si>
  <si>
    <t>26.02.2024</t>
  </si>
  <si>
    <t xml:space="preserve">ELFLA Eimuru - Mangaļu poldera </t>
  </si>
  <si>
    <t>A2/1/19/57</t>
  </si>
  <si>
    <t>P-31/2019</t>
  </si>
  <si>
    <t>06.03.2019</t>
  </si>
  <si>
    <t>20.02.2029</t>
  </si>
  <si>
    <t>meliorācijas grāvju atjaunošana Carnikavas novadā</t>
  </si>
  <si>
    <t>06.03.2024</t>
  </si>
  <si>
    <t>ERAF projekta SAM 3.3.1. Uzņēmējdarbības</t>
  </si>
  <si>
    <t>A2/1/19/225</t>
  </si>
  <si>
    <t>P-150/2019</t>
  </si>
  <si>
    <t>13.06.2019</t>
  </si>
  <si>
    <t>20.05.2049</t>
  </si>
  <si>
    <t>attīstībai Carnikavas novada Garciemā" īstenošanai</t>
  </si>
  <si>
    <t>06.06.2024</t>
  </si>
  <si>
    <t>SAM 4.2.2. ĀPII remontdarbi</t>
  </si>
  <si>
    <t>A2/1/19/370</t>
  </si>
  <si>
    <t>P-236/2019</t>
  </si>
  <si>
    <t>09.10.2019</t>
  </si>
  <si>
    <t>20.09.2034</t>
  </si>
  <si>
    <t>08.10.2023</t>
  </si>
  <si>
    <t>SAM 5.5.1. Kultūras objektu būvniecība</t>
  </si>
  <si>
    <t>A2/1/19/460</t>
  </si>
  <si>
    <t>P-292/2019</t>
  </si>
  <si>
    <t>11.12.2019</t>
  </si>
  <si>
    <t>21.11.2039</t>
  </si>
  <si>
    <t>06.12.2023</t>
  </si>
  <si>
    <t>Jaunās skolas būvniecība (3. kārta)</t>
  </si>
  <si>
    <t>A2/1/20/158</t>
  </si>
  <si>
    <t>P-119/2020</t>
  </si>
  <si>
    <t>29.04.2020</t>
  </si>
  <si>
    <t>20.04.2048</t>
  </si>
  <si>
    <t>29.04.2024</t>
  </si>
  <si>
    <t>Ataru ceļa rekonstrukcija</t>
  </si>
  <si>
    <t>A2/1/20/411</t>
  </si>
  <si>
    <t>P-177/2020</t>
  </si>
  <si>
    <t>08.07.2020</t>
  </si>
  <si>
    <t>20.06.2035</t>
  </si>
  <si>
    <t>08.07.2024</t>
  </si>
  <si>
    <t xml:space="preserve">KF projekts "Ūdenssaimniecības </t>
  </si>
  <si>
    <t>A2/1/20/675</t>
  </si>
  <si>
    <t>P-339/2020</t>
  </si>
  <si>
    <t>01.10.2020</t>
  </si>
  <si>
    <t>20.09.2050</t>
  </si>
  <si>
    <t>pakalpojumu attīstība Carnikavā III kārta"</t>
  </si>
  <si>
    <t>01.10.2023</t>
  </si>
  <si>
    <t xml:space="preserve">Carnikavas novada pašvaldības </t>
  </si>
  <si>
    <t>A2/1/20/676</t>
  </si>
  <si>
    <t>P-338/2020</t>
  </si>
  <si>
    <t>20.09.2040</t>
  </si>
  <si>
    <t>transporta infrstruktūras attīstība</t>
  </si>
  <si>
    <t>Priežu ielas rekonstrukcija</t>
  </si>
  <si>
    <t>A2/1/20/746</t>
  </si>
  <si>
    <t>P-392/2020</t>
  </si>
  <si>
    <t>14.10.2020</t>
  </si>
  <si>
    <t>22.09.2025</t>
  </si>
  <si>
    <t>FIX</t>
  </si>
  <si>
    <t xml:space="preserve"> Bukultu ielas rekonstrukcija</t>
  </si>
  <si>
    <t>A2/1/20/745</t>
  </si>
  <si>
    <t>P-393/2020</t>
  </si>
  <si>
    <t>ERAF "Carnikavas pamatskolas pārbūve"</t>
  </si>
  <si>
    <t>A2/1/21/10</t>
  </si>
  <si>
    <t>P-4/2021</t>
  </si>
  <si>
    <t>26.01.2021</t>
  </si>
  <si>
    <t>20.01.2051</t>
  </si>
  <si>
    <t>26.01.2024</t>
  </si>
  <si>
    <t>LAD  projekts koka laipu taka uz jūru</t>
  </si>
  <si>
    <t>A2/1/21/11</t>
  </si>
  <si>
    <t>P-3/2021</t>
  </si>
  <si>
    <t>20.01.2031</t>
  </si>
  <si>
    <t>"PII "Piejūra" būvniecība"</t>
  </si>
  <si>
    <t>A2/1/21/41</t>
  </si>
  <si>
    <t>P-10/2021</t>
  </si>
  <si>
    <t>24.02.2021</t>
  </si>
  <si>
    <t>20.02.2051</t>
  </si>
  <si>
    <t xml:space="preserve">Prioritārais projekts </t>
  </si>
  <si>
    <t>24.02.2024</t>
  </si>
  <si>
    <t xml:space="preserve">Budžeta un finanšu vadībai </t>
  </si>
  <si>
    <t>A2/1/21/96</t>
  </si>
  <si>
    <t>P-43/2021</t>
  </si>
  <si>
    <t>25.03.2021</t>
  </si>
  <si>
    <t>20.03.2024</t>
  </si>
  <si>
    <t>(Aprīkojums PII Piejūra)</t>
  </si>
  <si>
    <t>PII Piejūra būvniecības pabeigšana</t>
  </si>
  <si>
    <t>A2/1/21/120</t>
  </si>
  <si>
    <t>P-69/2021</t>
  </si>
  <si>
    <t>08.04.2021</t>
  </si>
  <si>
    <t>20.03.2051</t>
  </si>
  <si>
    <t>08.04.2024</t>
  </si>
  <si>
    <t>Investīciju projektu īstenošanai</t>
  </si>
  <si>
    <t>A2/1/21/139</t>
  </si>
  <si>
    <t>PP-14/2021</t>
  </si>
  <si>
    <t>26.04.2021</t>
  </si>
  <si>
    <t>21.06.2038</t>
  </si>
  <si>
    <t xml:space="preserve"> (saistību pārjaunojums)</t>
  </si>
  <si>
    <t>22.04.2024</t>
  </si>
  <si>
    <t>Stacijas ielas pārbūve</t>
  </si>
  <si>
    <t>A2/1/21/169</t>
  </si>
  <si>
    <t>P-89/2021</t>
  </si>
  <si>
    <t>30.04.2021</t>
  </si>
  <si>
    <t>20.04.2051</t>
  </si>
  <si>
    <t>30.04.2024</t>
  </si>
  <si>
    <t>Lielās ielas pārbūve</t>
  </si>
  <si>
    <t>A2/1/21/232</t>
  </si>
  <si>
    <t>P-163/2021</t>
  </si>
  <si>
    <t>27.05.2021</t>
  </si>
  <si>
    <t>20.05.2041</t>
  </si>
  <si>
    <t>27.05.2024</t>
  </si>
  <si>
    <t xml:space="preserve">Autostāvvietas izbūve Karlsona parkā, </t>
  </si>
  <si>
    <t>A2/1/21/231</t>
  </si>
  <si>
    <t>P-164/2021</t>
  </si>
  <si>
    <t>Garciemā, Carnikavas novadā</t>
  </si>
  <si>
    <t>Pirmās ielas stāvlaukums pie ĀPII</t>
  </si>
  <si>
    <t>A2/1/21/632</t>
  </si>
  <si>
    <t>P-481/2021</t>
  </si>
  <si>
    <t>14.10.2021</t>
  </si>
  <si>
    <t>21.09.2026</t>
  </si>
  <si>
    <t xml:space="preserve">SAM 9311 Deinstitucionalizācija - </t>
  </si>
  <si>
    <t>A2/1/21/729</t>
  </si>
  <si>
    <t>P-556/2021</t>
  </si>
  <si>
    <t>02.12.2021</t>
  </si>
  <si>
    <t>20.11.2040</t>
  </si>
  <si>
    <t>Dienas centrs</t>
  </si>
  <si>
    <t>02.12.2023</t>
  </si>
  <si>
    <t>Mežaparka ceļa pārbūve</t>
  </si>
  <si>
    <t>A2/1/21/728</t>
  </si>
  <si>
    <t>P-557/2021</t>
  </si>
  <si>
    <t>20.11.2031</t>
  </si>
  <si>
    <t>Ķiršu ielas rekonstrukcija</t>
  </si>
  <si>
    <t>A2/1/21/727</t>
  </si>
  <si>
    <t>P-558/2021</t>
  </si>
  <si>
    <t xml:space="preserve">Carnikavas pamatskolas infrastruktūras </t>
  </si>
  <si>
    <t>A2/1/21/776</t>
  </si>
  <si>
    <t>P-583/2021</t>
  </si>
  <si>
    <t>23.12.2021</t>
  </si>
  <si>
    <t>21.12.2026</t>
  </si>
  <si>
    <t>uzlabošana un mācību vides labiekārtošana</t>
  </si>
  <si>
    <t>23.12.2023</t>
  </si>
  <si>
    <t>Laivu ielas (no Cēlāju ciema līdz jūrai Carnikavā)</t>
  </si>
  <si>
    <t>A2/1/22/15</t>
  </si>
  <si>
    <t>P-7/2022</t>
  </si>
  <si>
    <t>02.02.2022</t>
  </si>
  <si>
    <t>20.01.2037</t>
  </si>
  <si>
    <t xml:space="preserve"> un tai piegulošā auto stāvlaukuma projektēšana un būvniecība</t>
  </si>
  <si>
    <t>02.02.2024</t>
  </si>
  <si>
    <t xml:space="preserve">Aizvēju ielas Garciemā, </t>
  </si>
  <si>
    <t>A2/1/22/16</t>
  </si>
  <si>
    <t>P-8/2022</t>
  </si>
  <si>
    <t>22.01.2029</t>
  </si>
  <si>
    <t>dubultā virsmas apstrāde (1.daļa)</t>
  </si>
  <si>
    <t xml:space="preserve">SAM 5.1.1. Pretplūdu pasākumi </t>
  </si>
  <si>
    <t>A2/1/22/123</t>
  </si>
  <si>
    <t>P-70/2022</t>
  </si>
  <si>
    <t>31.05.2022</t>
  </si>
  <si>
    <t>20.05.2037</t>
  </si>
  <si>
    <t>Ādažu centra polderī</t>
  </si>
  <si>
    <t>31.05.2024</t>
  </si>
  <si>
    <t>Gaujas ielas gājēju celiņa izbūve</t>
  </si>
  <si>
    <t>A2/1/22/165</t>
  </si>
  <si>
    <t>P-112/2022</t>
  </si>
  <si>
    <t>04.07.2022</t>
  </si>
  <si>
    <t>21.06.2027</t>
  </si>
  <si>
    <t>04.07.2024</t>
  </si>
  <si>
    <t>Skolas ielas projektēšana izbūve - 3.kārta</t>
  </si>
  <si>
    <t>A2/1/22/239</t>
  </si>
  <si>
    <t>P-160/2022</t>
  </si>
  <si>
    <t>20.07.2022</t>
  </si>
  <si>
    <t>20.07.2027</t>
  </si>
  <si>
    <t>20.07.2024</t>
  </si>
  <si>
    <t xml:space="preserve">Skolas siltināšana </t>
  </si>
  <si>
    <t>A2/1/22/250</t>
  </si>
  <si>
    <t>P-164/2022</t>
  </si>
  <si>
    <t>03.08.2022</t>
  </si>
  <si>
    <t>20.07.2032</t>
  </si>
  <si>
    <t>un stadiona rekonstrukcija</t>
  </si>
  <si>
    <t>03.08.2024</t>
  </si>
  <si>
    <t>Aizvēju ielas Garciemā,</t>
  </si>
  <si>
    <t>A2/1/22/265</t>
  </si>
  <si>
    <t>P-175/2022</t>
  </si>
  <si>
    <t>08.08.2022</t>
  </si>
  <si>
    <t>20.07.2029</t>
  </si>
  <si>
    <t xml:space="preserve"> dubultā virsmas apstrāde (2.daļa)</t>
  </si>
  <si>
    <t>08.08.2024</t>
  </si>
  <si>
    <t>A2/1/22/536</t>
  </si>
  <si>
    <t>P-363/2022</t>
  </si>
  <si>
    <t>29.11.2022</t>
  </si>
  <si>
    <t>20.11.2037</t>
  </si>
  <si>
    <t xml:space="preserve"> (Prioritārais)</t>
  </si>
  <si>
    <t>A2/1/22/538</t>
  </si>
  <si>
    <t>P-361/2022</t>
  </si>
  <si>
    <t>22.11.2032</t>
  </si>
  <si>
    <t xml:space="preserve"> (Covid19)</t>
  </si>
  <si>
    <t>ERAF projekta (Nr.5.1.1.0/17/I/009)</t>
  </si>
  <si>
    <t>A2/1/22/582</t>
  </si>
  <si>
    <t>P-389/2022</t>
  </si>
  <si>
    <t>23.12.2022</t>
  </si>
  <si>
    <t>21.12.2037</t>
  </si>
  <si>
    <t xml:space="preserve"> “Novērst plūdu un krasta erozijas risku apdraudējumu Ādažu novadā, 1. daļa” īstenošanai</t>
  </si>
  <si>
    <t>Apgaismojuma izbūve uz Salas aizsargdamja</t>
  </si>
  <si>
    <t>A2/1/23/103</t>
  </si>
  <si>
    <t>P-57/2023</t>
  </si>
  <si>
    <t>09.05.2023</t>
  </si>
  <si>
    <t xml:space="preserve"> D-2 posmā, Carnikavas pagastā</t>
  </si>
  <si>
    <t>09.11.2023</t>
  </si>
  <si>
    <t xml:space="preserve">Carnikavas stadiona rekonstrukcija </t>
  </si>
  <si>
    <t>A2/1/23/156</t>
  </si>
  <si>
    <t>P-104/2023</t>
  </si>
  <si>
    <t>26.06.2023</t>
  </si>
  <si>
    <t>(Prioritārais 2023.g.)</t>
  </si>
  <si>
    <t>26.06.2024</t>
  </si>
  <si>
    <t xml:space="preserve"> "Auto stāvlaukuma Lilastē paplašināšana, </t>
  </si>
  <si>
    <t>A2/1/23/245</t>
  </si>
  <si>
    <t>P-181/2023</t>
  </si>
  <si>
    <t>02.08.2023</t>
  </si>
  <si>
    <t>20.07.2026</t>
  </si>
  <si>
    <t>atpūtas vietu, labiekārtojuma, labierīcību, kempinga iespēju projektēšana un izbūve"</t>
  </si>
  <si>
    <t>Ķiršu ielas III kārta</t>
  </si>
  <si>
    <t>A2/1/23/290</t>
  </si>
  <si>
    <t>P-222/2023</t>
  </si>
  <si>
    <t>20.07.2033</t>
  </si>
  <si>
    <t>no Saules ielas līdz Attekas ielai 0.17km</t>
  </si>
  <si>
    <t xml:space="preserve">Ādažu vidusskolas ēkas B korpusa un </t>
  </si>
  <si>
    <t>A2/1/23/429</t>
  </si>
  <si>
    <t>P-344/2023</t>
  </si>
  <si>
    <t>savienojuma daļas starp korpusiem (C un B) fasādes atjaunošana</t>
  </si>
  <si>
    <t xml:space="preserve"> ”Mobilitātes punkta infrastruktūras izveidošana </t>
  </si>
  <si>
    <t>Plānots</t>
  </si>
  <si>
    <t>Rīgas metropoles areālā – “Carnikava””</t>
  </si>
  <si>
    <t>PII Podnieki UN Krastupes iela</t>
  </si>
  <si>
    <t>Atmaksāts</t>
  </si>
  <si>
    <t xml:space="preserve">Laivu ielas (no Cēlāju ciema līdz jūrai Carnikavā) </t>
  </si>
  <si>
    <t>A2/1/22/267</t>
  </si>
  <si>
    <t>P-163/2022</t>
  </si>
  <si>
    <t>un tai piegulošā auto stāvlaukuma projektēšana un būvniecība</t>
  </si>
  <si>
    <t xml:space="preserve">Būvprojekta "Kultūras un amatniecības centra </t>
  </si>
  <si>
    <t>A2/1/18/253</t>
  </si>
  <si>
    <t>P-201/2018</t>
  </si>
  <si>
    <t>pārbūve īpašumā "Blusas"" izstrāde</t>
  </si>
  <si>
    <t>Ādažu vidusskolas remonts</t>
  </si>
  <si>
    <t>A2/1/17/468</t>
  </si>
  <si>
    <t>P-330/2017</t>
  </si>
  <si>
    <t>20.06.2023</t>
  </si>
  <si>
    <t>Aizņēmumu portfeļa kopsumma:</t>
  </si>
  <si>
    <t>Aizņēmumi kopā:</t>
  </si>
  <si>
    <t>Citas ilgtermiņa saistības.</t>
  </si>
  <si>
    <t>Saistību mērķis</t>
  </si>
  <si>
    <t>Līguma Nr.</t>
  </si>
  <si>
    <t>Trānčes Nr.</t>
  </si>
  <si>
    <t>Galvojums SIA "Ādažu ūdens"</t>
  </si>
  <si>
    <t>Līzings - jauna automašīna Volvo V60</t>
  </si>
  <si>
    <t>Līzings - frontālais iekrāvējs</t>
  </si>
  <si>
    <t>Līzings - mikroautobuss</t>
  </si>
  <si>
    <t>Līzings - skolēnu autobuss</t>
  </si>
  <si>
    <t>Kalngales NAI</t>
  </si>
  <si>
    <t xml:space="preserve">Citas ilgtermiņa saistības kopā: </t>
  </si>
  <si>
    <t>Aizņēmumu pamatsummas atmaksa:</t>
  </si>
  <si>
    <t>Aizņēmumu procentu maksa:</t>
  </si>
  <si>
    <t>Citas ilgtermiņa saistības:</t>
  </si>
  <si>
    <t>Aizņēmumi un citas ilgtemiņa saistības kopā:</t>
  </si>
  <si>
    <t>Saistību apmērs % no pamatbudžeta ieņēmumiem:</t>
  </si>
  <si>
    <t>Pašvaldības pamatbudžeta ieņēmumi bez mērķdotācijām un iemaksām PFIF saimnieciskajā gadā:</t>
  </si>
  <si>
    <t>Plānotais vērtēto ieņēmumu pieaugums, balstoties uz provizorisko pašvaldības finanšu izlīdzināšanas aprēķinu 2024.gadam.</t>
  </si>
  <si>
    <t>2023. budžets</t>
  </si>
  <si>
    <t>Rezerve no pamatsummas (ielikts pie projekta A2/1/20/158)</t>
  </si>
  <si>
    <t>Trūkstošais procentu maksai</t>
  </si>
  <si>
    <t>Apstiprinātais budžets</t>
  </si>
  <si>
    <t>VK atskaite</t>
  </si>
  <si>
    <t>1) - 358'140 - Pašvaldības dotācijas samazinājums (elektrības un apkures izmaksu samazinājums)
2) - 2'625 korekcija – ietaupījums sakarā ar īstenotajiem energotaupības pasākumiem novirzīt darbinieku prēmēšanai PII Riekstiņš par ikgadējās darbības novērtēšanas rezultātu
3)  15'471 Domes maksājumi par īpašumu uzturēšanu+piemaksas par darbinieku aizvietošanu no CKS siamnieciskie maksājumi no Domes</t>
  </si>
  <si>
    <t xml:space="preserve"> 15'471 Domes maksājumi par īpašumu uzturēšanu+piemaksas par darbinieku aizvietošanu no CKS siamnieciskie maksājumi no Domes</t>
  </si>
  <si>
    <t>EUR 5000 no 0940.1/EKK 7210 uz 0940.3/EKK 2239 līdzfinansējumam PII.</t>
  </si>
  <si>
    <t>Saskaņā ar 13.12.2023. domes lēmumu ieguldījums PSIA "Ādažu ūdens" pamatkapitālā</t>
  </si>
  <si>
    <t>1) Dotācija mazākumtautību izglītojamajiem pamatizglītības un interešu izglītības programmas apguvei. +1285
2) EUR 9'026 no 0954/1119 uz 0970/2239 interešu izglītības MD, kas attiecināma uz Valdorfskolu</t>
  </si>
  <si>
    <t>Palielinājums, balstoties uz faktisko izpildi.</t>
  </si>
  <si>
    <t>Pēc faktiski prognozētā lielāki IIN ieņēmumi, līdz ar to iemaksas PFIF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</si>
</sst>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_-* #,##0.000_-;\-* #,##0.000_-;_-* &quot;-&quot;??_-;_-@_-"/>
    <numFmt numFmtId="166" formatCode="0.0%"/>
  </numFmts>
  <fonts count="52" x14ac:knownFonts="1">
    <font>
      <sz val="9"/>
      <color theme="1"/>
      <name val="Arial"/>
      <family val="2"/>
      <charset val="186"/>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name val="Times New Roman"/>
      <family val="1"/>
      <charset val="186"/>
    </font>
    <font>
      <b/>
      <sz val="20"/>
      <color indexed="8"/>
      <name val="Times New Roman"/>
      <family val="1"/>
      <charset val="186"/>
    </font>
    <font>
      <sz val="9"/>
      <color theme="1"/>
      <name val="Arial"/>
      <family val="2"/>
      <charset val="186"/>
    </font>
    <font>
      <sz val="11"/>
      <color indexed="8"/>
      <name val="Calibri"/>
      <family val="2"/>
      <charset val="186"/>
    </font>
    <font>
      <sz val="11"/>
      <color rgb="FFFF0000"/>
      <name val="Times New Roman"/>
      <family val="1"/>
      <charset val="186"/>
    </font>
    <font>
      <sz val="11"/>
      <color rgb="FF7030A0"/>
      <name val="Times New Roman"/>
      <family val="1"/>
      <charset val="186"/>
    </font>
    <font>
      <b/>
      <sz val="16"/>
      <color theme="1"/>
      <name val="Times New Roman"/>
      <family val="1"/>
      <charset val="186"/>
    </font>
    <font>
      <b/>
      <sz val="11"/>
      <name val="Times New Roman"/>
      <family val="1"/>
      <charset val="186"/>
    </font>
    <font>
      <b/>
      <sz val="11"/>
      <color rgb="FF7030A0"/>
      <name val="Times New Roman"/>
      <family val="1"/>
      <charset val="186"/>
    </font>
    <font>
      <u/>
      <sz val="9"/>
      <color theme="10"/>
      <name val="Arial"/>
      <family val="2"/>
      <charset val="186"/>
    </font>
    <font>
      <sz val="10"/>
      <name val="Arial"/>
      <family val="2"/>
      <charset val="186"/>
    </font>
    <font>
      <sz val="11"/>
      <color indexed="8"/>
      <name val="Times New Roman"/>
      <family val="1"/>
      <charset val="186"/>
    </font>
    <font>
      <sz val="10"/>
      <name val="Times New Roman"/>
      <family val="1"/>
      <charset val="186"/>
    </font>
    <font>
      <sz val="11"/>
      <color theme="8" tint="-0.249977111117893"/>
      <name val="Times New Roman"/>
      <family val="1"/>
      <charset val="186"/>
    </font>
    <font>
      <sz val="11"/>
      <color indexed="10"/>
      <name val="Times New Roman"/>
      <family val="1"/>
      <charset val="186"/>
    </font>
    <font>
      <i/>
      <sz val="11"/>
      <name val="Times New Roman"/>
      <family val="1"/>
      <charset val="186"/>
    </font>
    <font>
      <i/>
      <sz val="11"/>
      <color rgb="FF7030A0"/>
      <name val="Times New Roman"/>
      <family val="1"/>
      <charset val="186"/>
    </font>
    <font>
      <sz val="11"/>
      <color theme="3"/>
      <name val="Times New Roman"/>
      <family val="1"/>
      <charset val="186"/>
    </font>
    <font>
      <b/>
      <sz val="11"/>
      <color theme="3"/>
      <name val="Times New Roman"/>
      <family val="1"/>
      <charset val="186"/>
    </font>
    <font>
      <b/>
      <sz val="11"/>
      <name val="Times New Roman"/>
      <family val="1"/>
    </font>
    <font>
      <b/>
      <sz val="9"/>
      <color indexed="81"/>
      <name val="Tahoma"/>
      <family val="2"/>
      <charset val="186"/>
    </font>
    <font>
      <sz val="9"/>
      <color indexed="81"/>
      <name val="Tahoma"/>
      <family val="2"/>
      <charset val="186"/>
    </font>
    <font>
      <b/>
      <sz val="14"/>
      <color theme="1"/>
      <name val="Calibri"/>
      <family val="2"/>
      <charset val="186"/>
      <scheme val="minor"/>
    </font>
    <font>
      <sz val="11"/>
      <name val="Calibri"/>
      <family val="2"/>
      <charset val="186"/>
    </font>
    <font>
      <b/>
      <sz val="11"/>
      <color rgb="FFFF0000"/>
      <name val="Calibri"/>
      <family val="2"/>
      <charset val="186"/>
    </font>
    <font>
      <sz val="11"/>
      <color rgb="FFFF0000"/>
      <name val="Calibri"/>
      <family val="2"/>
      <charset val="186"/>
    </font>
    <font>
      <b/>
      <sz val="14"/>
      <color theme="1"/>
      <name val="Times New Roman"/>
      <family val="1"/>
      <charset val="186"/>
    </font>
    <font>
      <b/>
      <sz val="12"/>
      <name val="Calibri"/>
      <family val="2"/>
      <charset val="186"/>
      <scheme val="minor"/>
    </font>
    <font>
      <b/>
      <sz val="10"/>
      <name val="Times New Roman"/>
      <family val="1"/>
      <charset val="186"/>
    </font>
    <font>
      <b/>
      <sz val="11"/>
      <name val="Calibri"/>
      <family val="2"/>
      <charset val="186"/>
    </font>
    <font>
      <b/>
      <sz val="11"/>
      <color indexed="8"/>
      <name val="Calibri"/>
      <family val="2"/>
      <charset val="186"/>
    </font>
    <font>
      <b/>
      <sz val="11"/>
      <color theme="6" tint="-0.249977111117893"/>
      <name val="Calibri"/>
      <family val="2"/>
      <charset val="186"/>
    </font>
    <font>
      <b/>
      <sz val="10"/>
      <name val="Arial"/>
      <family val="2"/>
      <charset val="186"/>
    </font>
    <font>
      <b/>
      <sz val="10"/>
      <color theme="6" tint="-0.249977111117893"/>
      <name val="Arial"/>
      <family val="2"/>
      <charset val="186"/>
    </font>
    <font>
      <b/>
      <sz val="10"/>
      <color rgb="FF7030A0"/>
      <name val="Arial"/>
      <family val="2"/>
      <charset val="186"/>
    </font>
    <font>
      <sz val="10"/>
      <color theme="6" tint="-0.249977111117893"/>
      <name val="Arial"/>
      <family val="2"/>
      <charset val="186"/>
    </font>
    <font>
      <sz val="10"/>
      <color rgb="FF7030A0"/>
      <name val="Arial"/>
      <family val="2"/>
      <charset val="186"/>
    </font>
    <font>
      <b/>
      <sz val="11"/>
      <color theme="8" tint="-0.249977111117893"/>
      <name val="Calibri"/>
      <family val="2"/>
      <charset val="186"/>
    </font>
    <font>
      <sz val="11"/>
      <color theme="8" tint="-0.249977111117893"/>
      <name val="Calibri"/>
      <family val="2"/>
      <charset val="186"/>
    </font>
    <font>
      <sz val="10"/>
      <color theme="8" tint="-0.249977111117893"/>
      <name val="Arial"/>
      <family val="2"/>
      <charset val="186"/>
    </font>
    <font>
      <b/>
      <sz val="10"/>
      <color theme="8" tint="-0.249977111117893"/>
      <name val="Arial"/>
      <family val="2"/>
      <charset val="186"/>
    </font>
    <font>
      <sz val="10"/>
      <color rgb="FFFF0000"/>
      <name val="Arial"/>
      <family val="2"/>
      <charset val="186"/>
    </font>
    <font>
      <sz val="11"/>
      <name val="Calibri"/>
      <family val="2"/>
      <charset val="186"/>
      <scheme val="minor"/>
    </font>
    <font>
      <sz val="9"/>
      <name val="Times New Roman"/>
      <family val="1"/>
      <charset val="186"/>
    </font>
    <font>
      <sz val="11"/>
      <color theme="4"/>
      <name val="Calibri"/>
      <family val="2"/>
      <charset val="186"/>
    </font>
    <font>
      <sz val="10"/>
      <color theme="4"/>
      <name val="Arial"/>
      <family val="2"/>
      <charset val="186"/>
    </font>
    <font>
      <b/>
      <sz val="10"/>
      <color theme="4"/>
      <name val="Arial"/>
      <family val="2"/>
      <charset val="186"/>
    </font>
    <font>
      <b/>
      <sz val="11"/>
      <color theme="4"/>
      <name val="Calibri"/>
      <family val="2"/>
      <charset val="186"/>
    </font>
  </fonts>
  <fills count="21">
    <fill>
      <patternFill patternType="none"/>
    </fill>
    <fill>
      <patternFill patternType="gray125"/>
    </fill>
    <fill>
      <patternFill patternType="solid">
        <fgColor indexed="22"/>
        <bgColor indexed="64"/>
      </patternFill>
    </fill>
    <fill>
      <patternFill patternType="solid">
        <fgColor indexed="50"/>
        <bgColor indexed="64"/>
      </patternFill>
    </fill>
    <fill>
      <patternFill patternType="solid">
        <fgColor rgb="FFFFFFCC"/>
        <bgColor indexed="64"/>
      </patternFill>
    </fill>
    <fill>
      <patternFill patternType="solid">
        <fgColor indexed="9"/>
        <bgColor indexed="64"/>
      </patternFill>
    </fill>
    <fill>
      <patternFill patternType="solid">
        <fgColor theme="0" tint="-0.249977111117893"/>
        <bgColor indexed="64"/>
      </patternFill>
    </fill>
    <fill>
      <patternFill patternType="solid">
        <fgColor rgb="FFFFC000"/>
        <bgColor indexed="64"/>
      </patternFill>
    </fill>
    <fill>
      <patternFill patternType="solid">
        <fgColor indexed="47"/>
        <bgColor indexed="64"/>
      </patternFill>
    </fill>
    <fill>
      <patternFill patternType="solid">
        <fgColor indexed="42"/>
        <bgColor indexed="64"/>
      </patternFill>
    </fill>
    <fill>
      <patternFill patternType="solid">
        <fgColor theme="7" tint="0.39997558519241921"/>
        <bgColor indexed="64"/>
      </patternFill>
    </fill>
    <fill>
      <patternFill patternType="solid">
        <fgColor rgb="FFFFFF00"/>
        <bgColor indexed="64"/>
      </patternFill>
    </fill>
    <fill>
      <patternFill patternType="solid">
        <fgColor theme="0"/>
        <bgColor indexed="64"/>
      </patternFill>
    </fill>
    <fill>
      <patternFill patternType="solid">
        <fgColor rgb="FF00B0F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2"/>
        <bgColor indexed="64"/>
      </patternFill>
    </fill>
    <fill>
      <patternFill patternType="solid">
        <fgColor theme="2" tint="-9.9978637043366805E-2"/>
        <bgColor indexed="64"/>
      </patternFill>
    </fill>
    <fill>
      <patternFill patternType="solid">
        <fgColor theme="5" tint="0.79998168889431442"/>
        <bgColor indexed="64"/>
      </patternFill>
    </fill>
  </fills>
  <borders count="45">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auto="1"/>
      </left>
      <right/>
      <top style="thin">
        <color auto="1"/>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indexed="64"/>
      </left>
      <right style="medium">
        <color indexed="64"/>
      </right>
      <top style="medium">
        <color indexed="64"/>
      </top>
      <bottom style="thin">
        <color indexed="64"/>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s>
  <cellStyleXfs count="15">
    <xf numFmtId="0" fontId="0" fillId="0" borderId="0"/>
    <xf numFmtId="43" fontId="6" fillId="0" borderId="0" applyFont="0" applyFill="0" applyBorder="0" applyAlignment="0" applyProtection="0"/>
    <xf numFmtId="0" fontId="3" fillId="0" borderId="0"/>
    <xf numFmtId="0" fontId="3" fillId="0" borderId="0"/>
    <xf numFmtId="9" fontId="7" fillId="0" borderId="0" applyFont="0" applyFill="0" applyBorder="0" applyAlignment="0" applyProtection="0"/>
    <xf numFmtId="43" fontId="7" fillId="0" borderId="0" applyFont="0" applyFill="0" applyBorder="0" applyAlignment="0" applyProtection="0"/>
    <xf numFmtId="0" fontId="13" fillId="0" borderId="0" applyNumberFormat="0" applyFill="0" applyBorder="0" applyAlignment="0" applyProtection="0"/>
    <xf numFmtId="0" fontId="14" fillId="0" borderId="0"/>
    <xf numFmtId="9" fontId="7" fillId="0" borderId="0" applyFont="0" applyFill="0" applyBorder="0" applyAlignment="0" applyProtection="0"/>
    <xf numFmtId="0" fontId="2" fillId="0" borderId="0"/>
    <xf numFmtId="0" fontId="2" fillId="0" borderId="0"/>
    <xf numFmtId="0" fontId="7" fillId="0" borderId="0"/>
    <xf numFmtId="0" fontId="1" fillId="0" borderId="0"/>
    <xf numFmtId="0" fontId="14" fillId="0" borderId="0"/>
    <xf numFmtId="43" fontId="14" fillId="0" borderId="0" applyFill="0" applyBorder="0" applyAlignment="0" applyProtection="0"/>
  </cellStyleXfs>
  <cellXfs count="351">
    <xf numFmtId="0" fontId="0" fillId="0" borderId="0" xfId="0"/>
    <xf numFmtId="164" fontId="4" fillId="0" borderId="0" xfId="1" applyNumberFormat="1" applyFont="1" applyAlignment="1">
      <alignment wrapText="1"/>
    </xf>
    <xf numFmtId="9" fontId="4" fillId="0" borderId="0" xfId="4" applyFont="1" applyAlignment="1">
      <alignment wrapText="1"/>
    </xf>
    <xf numFmtId="164" fontId="4" fillId="0" borderId="0" xfId="1" applyNumberFormat="1" applyFont="1"/>
    <xf numFmtId="1" fontId="4" fillId="0" borderId="0" xfId="4" applyNumberFormat="1" applyFont="1" applyFill="1"/>
    <xf numFmtId="43" fontId="4" fillId="0" borderId="0" xfId="1" applyFont="1"/>
    <xf numFmtId="164" fontId="11" fillId="0" borderId="0" xfId="5" applyNumberFormat="1" applyFont="1"/>
    <xf numFmtId="164" fontId="11" fillId="0" borderId="0" xfId="1" applyNumberFormat="1" applyFont="1"/>
    <xf numFmtId="9" fontId="4" fillId="0" borderId="0" xfId="4" applyFont="1"/>
    <xf numFmtId="0" fontId="13" fillId="0" borderId="0" xfId="6"/>
    <xf numFmtId="0" fontId="11" fillId="0" borderId="3" xfId="7" applyFont="1" applyBorder="1" applyAlignment="1">
      <alignment horizontal="center" vertical="center" wrapText="1"/>
    </xf>
    <xf numFmtId="164" fontId="11" fillId="0" borderId="3" xfId="1" applyNumberFormat="1" applyFont="1" applyBorder="1" applyAlignment="1">
      <alignment horizontal="center" vertical="center" wrapText="1"/>
    </xf>
    <xf numFmtId="9" fontId="11" fillId="0" borderId="3" xfId="4" applyFont="1" applyBorder="1" applyAlignment="1">
      <alignment horizontal="center" vertical="center" wrapText="1"/>
    </xf>
    <xf numFmtId="164" fontId="11" fillId="2" borderId="6" xfId="1" applyNumberFormat="1" applyFont="1" applyFill="1" applyBorder="1"/>
    <xf numFmtId="9" fontId="4" fillId="2" borderId="6" xfId="4" applyFont="1" applyFill="1" applyBorder="1" applyAlignment="1">
      <alignment wrapText="1"/>
    </xf>
    <xf numFmtId="164" fontId="11" fillId="3" borderId="6" xfId="1" applyNumberFormat="1" applyFont="1" applyFill="1" applyBorder="1"/>
    <xf numFmtId="9" fontId="11" fillId="3" borderId="6" xfId="4" applyFont="1" applyFill="1" applyBorder="1"/>
    <xf numFmtId="164" fontId="4" fillId="0" borderId="9" xfId="1" applyNumberFormat="1" applyFont="1" applyBorder="1"/>
    <xf numFmtId="9" fontId="4" fillId="0" borderId="9" xfId="4" applyFont="1" applyFill="1" applyBorder="1"/>
    <xf numFmtId="164" fontId="11" fillId="3" borderId="9" xfId="1" applyNumberFormat="1" applyFont="1" applyFill="1" applyBorder="1"/>
    <xf numFmtId="9" fontId="11" fillId="3" borderId="9" xfId="4" applyFont="1" applyFill="1" applyBorder="1"/>
    <xf numFmtId="9" fontId="4" fillId="0" borderId="9" xfId="4" applyFont="1" applyBorder="1"/>
    <xf numFmtId="9" fontId="4" fillId="0" borderId="10" xfId="4" applyFont="1" applyFill="1" applyBorder="1"/>
    <xf numFmtId="9" fontId="4" fillId="0" borderId="10" xfId="4" applyFont="1" applyFill="1" applyBorder="1" applyAlignment="1">
      <alignment wrapText="1"/>
    </xf>
    <xf numFmtId="9" fontId="4" fillId="3" borderId="9" xfId="4" applyFont="1" applyFill="1" applyBorder="1" applyAlignment="1">
      <alignment wrapText="1"/>
    </xf>
    <xf numFmtId="9" fontId="4" fillId="0" borderId="9" xfId="4" applyFont="1" applyFill="1" applyBorder="1" applyAlignment="1">
      <alignment wrapText="1"/>
    </xf>
    <xf numFmtId="9" fontId="9" fillId="0" borderId="9" xfId="4" applyFont="1" applyFill="1" applyBorder="1" applyAlignment="1">
      <alignment wrapText="1"/>
    </xf>
    <xf numFmtId="164" fontId="4" fillId="6" borderId="9" xfId="1" applyNumberFormat="1" applyFont="1" applyFill="1" applyBorder="1"/>
    <xf numFmtId="164" fontId="4" fillId="7" borderId="9" xfId="1" applyNumberFormat="1" applyFont="1" applyFill="1" applyBorder="1"/>
    <xf numFmtId="164" fontId="16" fillId="8" borderId="9" xfId="1" applyNumberFormat="1" applyFont="1" applyFill="1" applyBorder="1"/>
    <xf numFmtId="9" fontId="16" fillId="8" borderId="9" xfId="4" applyFont="1" applyFill="1" applyBorder="1" applyAlignment="1">
      <alignment wrapText="1"/>
    </xf>
    <xf numFmtId="9" fontId="16" fillId="9" borderId="9" xfId="4" applyFont="1" applyFill="1" applyBorder="1"/>
    <xf numFmtId="9" fontId="16" fillId="9" borderId="9" xfId="4" applyFont="1" applyFill="1" applyBorder="1" applyAlignment="1">
      <alignment wrapText="1"/>
    </xf>
    <xf numFmtId="9" fontId="8" fillId="0" borderId="9" xfId="4" applyFont="1" applyFill="1" applyBorder="1" applyAlignment="1">
      <alignment wrapText="1"/>
    </xf>
    <xf numFmtId="164" fontId="4" fillId="2" borderId="9" xfId="1" applyNumberFormat="1" applyFont="1" applyFill="1" applyBorder="1"/>
    <xf numFmtId="9" fontId="4" fillId="2" borderId="9" xfId="4" applyFont="1" applyFill="1" applyBorder="1" applyAlignment="1">
      <alignment wrapText="1"/>
    </xf>
    <xf numFmtId="9" fontId="4" fillId="12" borderId="9" xfId="4" applyFont="1" applyFill="1" applyBorder="1" applyAlignment="1">
      <alignment wrapText="1"/>
    </xf>
    <xf numFmtId="9" fontId="4" fillId="0" borderId="13" xfId="4" applyFont="1" applyFill="1" applyBorder="1"/>
    <xf numFmtId="1" fontId="4" fillId="0" borderId="9" xfId="4" applyNumberFormat="1" applyFont="1" applyFill="1" applyBorder="1"/>
    <xf numFmtId="164" fontId="11" fillId="0" borderId="3" xfId="1" applyNumberFormat="1" applyFont="1" applyBorder="1"/>
    <xf numFmtId="9" fontId="11" fillId="0" borderId="3" xfId="4" applyFont="1" applyBorder="1"/>
    <xf numFmtId="164" fontId="11" fillId="0" borderId="19" xfId="1" applyNumberFormat="1" applyFont="1" applyBorder="1"/>
    <xf numFmtId="9" fontId="11" fillId="0" borderId="19" xfId="4" applyFont="1" applyFill="1" applyBorder="1"/>
    <xf numFmtId="164" fontId="11" fillId="3" borderId="13" xfId="1" applyNumberFormat="1" applyFont="1" applyFill="1" applyBorder="1"/>
    <xf numFmtId="164" fontId="4" fillId="0" borderId="13" xfId="1" applyNumberFormat="1" applyFont="1" applyBorder="1"/>
    <xf numFmtId="9" fontId="4" fillId="0" borderId="21" xfId="4" applyFont="1" applyFill="1" applyBorder="1"/>
    <xf numFmtId="164" fontId="4" fillId="0" borderId="23" xfId="1" applyNumberFormat="1" applyFont="1" applyBorder="1"/>
    <xf numFmtId="164" fontId="4" fillId="14" borderId="8" xfId="1" applyNumberFormat="1" applyFont="1" applyFill="1" applyBorder="1"/>
    <xf numFmtId="164" fontId="4" fillId="0" borderId="8" xfId="1" applyNumberFormat="1" applyFont="1" applyBorder="1"/>
    <xf numFmtId="9" fontId="4" fillId="0" borderId="8" xfId="4" applyFont="1" applyFill="1" applyBorder="1"/>
    <xf numFmtId="9" fontId="4" fillId="0" borderId="8" xfId="4" applyFont="1" applyFill="1" applyBorder="1" applyAlignment="1">
      <alignment wrapText="1"/>
    </xf>
    <xf numFmtId="9" fontId="4" fillId="0" borderId="6" xfId="4" applyFont="1" applyFill="1" applyBorder="1"/>
    <xf numFmtId="164" fontId="4" fillId="0" borderId="27" xfId="1" applyNumberFormat="1" applyFont="1" applyBorder="1" applyAlignment="1">
      <alignment vertical="center"/>
    </xf>
    <xf numFmtId="164" fontId="4" fillId="0" borderId="28" xfId="1" applyNumberFormat="1" applyFont="1" applyBorder="1" applyAlignment="1">
      <alignment vertical="center"/>
    </xf>
    <xf numFmtId="9" fontId="4" fillId="0" borderId="21" xfId="4" applyFont="1" applyFill="1" applyBorder="1" applyAlignment="1">
      <alignment vertical="center"/>
    </xf>
    <xf numFmtId="9" fontId="4" fillId="0" borderId="12" xfId="4" applyFont="1" applyFill="1" applyBorder="1" applyAlignment="1">
      <alignment vertical="center" wrapText="1"/>
    </xf>
    <xf numFmtId="9" fontId="4" fillId="0" borderId="27" xfId="4" applyFont="1" applyFill="1" applyBorder="1" applyAlignment="1">
      <alignment vertical="center"/>
    </xf>
    <xf numFmtId="9" fontId="4" fillId="0" borderId="10" xfId="4" applyFont="1" applyFill="1" applyBorder="1" applyAlignment="1">
      <alignment vertical="center" wrapText="1"/>
    </xf>
    <xf numFmtId="9" fontId="11" fillId="0" borderId="19" xfId="4" applyFont="1" applyBorder="1"/>
    <xf numFmtId="10" fontId="4" fillId="0" borderId="0" xfId="8" applyNumberFormat="1" applyFont="1"/>
    <xf numFmtId="164" fontId="11" fillId="3" borderId="33" xfId="1" applyNumberFormat="1" applyFont="1" applyFill="1" applyBorder="1"/>
    <xf numFmtId="9" fontId="11" fillId="3" borderId="33" xfId="4" applyFont="1" applyFill="1" applyBorder="1"/>
    <xf numFmtId="9" fontId="9" fillId="2" borderId="9" xfId="4" applyFont="1" applyFill="1" applyBorder="1" applyAlignment="1">
      <alignment wrapText="1"/>
    </xf>
    <xf numFmtId="9" fontId="4" fillId="2" borderId="9" xfId="4" applyFont="1" applyFill="1" applyBorder="1"/>
    <xf numFmtId="9" fontId="9" fillId="3" borderId="9" xfId="4" applyFont="1" applyFill="1" applyBorder="1" applyAlignment="1">
      <alignment wrapText="1"/>
    </xf>
    <xf numFmtId="164" fontId="11" fillId="2" borderId="9" xfId="1" applyNumberFormat="1" applyFont="1" applyFill="1" applyBorder="1"/>
    <xf numFmtId="9" fontId="9" fillId="2" borderId="9" xfId="4" quotePrefix="1" applyFont="1" applyFill="1" applyBorder="1" applyAlignment="1">
      <alignment wrapText="1"/>
    </xf>
    <xf numFmtId="9" fontId="4" fillId="2" borderId="9" xfId="4" quotePrefix="1" applyFont="1" applyFill="1" applyBorder="1" applyAlignment="1">
      <alignment wrapText="1"/>
    </xf>
    <xf numFmtId="9" fontId="4" fillId="0" borderId="9" xfId="4" applyFont="1" applyBorder="1" applyAlignment="1">
      <alignment wrapText="1"/>
    </xf>
    <xf numFmtId="9" fontId="9" fillId="0" borderId="9" xfId="4" applyFont="1" applyBorder="1" applyAlignment="1">
      <alignment wrapText="1"/>
    </xf>
    <xf numFmtId="9" fontId="4" fillId="0" borderId="12" xfId="4" applyFont="1" applyBorder="1" applyAlignment="1">
      <alignment wrapText="1"/>
    </xf>
    <xf numFmtId="9" fontId="4" fillId="0" borderId="28" xfId="4" applyFont="1" applyBorder="1" applyAlignment="1">
      <alignment horizontal="left" wrapText="1"/>
    </xf>
    <xf numFmtId="9" fontId="4" fillId="0" borderId="28" xfId="4" applyFont="1" applyBorder="1" applyAlignment="1">
      <alignment wrapText="1"/>
    </xf>
    <xf numFmtId="9" fontId="11" fillId="2" borderId="9" xfId="4" applyFont="1" applyFill="1" applyBorder="1"/>
    <xf numFmtId="9" fontId="4" fillId="0" borderId="10" xfId="4" applyFont="1" applyBorder="1" applyAlignment="1">
      <alignment wrapText="1"/>
    </xf>
    <xf numFmtId="9" fontId="4" fillId="0" borderId="12" xfId="4" applyFont="1" applyFill="1" applyBorder="1" applyAlignment="1">
      <alignment wrapText="1"/>
    </xf>
    <xf numFmtId="164" fontId="4" fillId="13" borderId="9" xfId="1" applyNumberFormat="1" applyFont="1" applyFill="1" applyBorder="1"/>
    <xf numFmtId="9" fontId="9" fillId="0" borderId="9" xfId="4" quotePrefix="1" applyFont="1" applyBorder="1" applyAlignment="1">
      <alignment wrapText="1"/>
    </xf>
    <xf numFmtId="9" fontId="4" fillId="0" borderId="9" xfId="4" quotePrefix="1" applyFont="1" applyBorder="1" applyAlignment="1">
      <alignment wrapText="1"/>
    </xf>
    <xf numFmtId="9" fontId="19" fillId="2" borderId="9" xfId="4" applyFont="1" applyFill="1" applyBorder="1" applyAlignment="1">
      <alignment wrapText="1"/>
    </xf>
    <xf numFmtId="9" fontId="20" fillId="2" borderId="9" xfId="4" applyFont="1" applyFill="1" applyBorder="1" applyAlignment="1">
      <alignment wrapText="1"/>
    </xf>
    <xf numFmtId="164" fontId="4" fillId="12" borderId="9" xfId="1" applyNumberFormat="1" applyFont="1" applyFill="1" applyBorder="1"/>
    <xf numFmtId="9" fontId="4" fillId="12" borderId="9" xfId="4" applyFont="1" applyFill="1" applyBorder="1"/>
    <xf numFmtId="9" fontId="8" fillId="2" borderId="9" xfId="4" applyFont="1" applyFill="1" applyBorder="1"/>
    <xf numFmtId="164" fontId="4" fillId="5" borderId="9" xfId="1" applyNumberFormat="1" applyFont="1" applyFill="1" applyBorder="1"/>
    <xf numFmtId="9" fontId="4" fillId="5" borderId="9" xfId="4" applyFont="1" applyFill="1" applyBorder="1" applyAlignment="1">
      <alignment wrapText="1"/>
    </xf>
    <xf numFmtId="164" fontId="11" fillId="0" borderId="9" xfId="1" applyNumberFormat="1" applyFont="1" applyBorder="1"/>
    <xf numFmtId="9" fontId="16" fillId="0" borderId="9" xfId="4" applyFont="1" applyFill="1" applyBorder="1" applyAlignment="1">
      <alignment wrapText="1"/>
    </xf>
    <xf numFmtId="164" fontId="11" fillId="0" borderId="35" xfId="1" applyNumberFormat="1" applyFont="1" applyBorder="1"/>
    <xf numFmtId="9" fontId="11" fillId="0" borderId="35" xfId="4" applyFont="1" applyBorder="1"/>
    <xf numFmtId="164" fontId="11" fillId="0" borderId="36" xfId="1" applyNumberFormat="1" applyFont="1" applyBorder="1"/>
    <xf numFmtId="9" fontId="4" fillId="0" borderId="36" xfId="4" applyFont="1" applyBorder="1"/>
    <xf numFmtId="164" fontId="11" fillId="3" borderId="39" xfId="1" applyNumberFormat="1" applyFont="1" applyFill="1" applyBorder="1"/>
    <xf numFmtId="9" fontId="11" fillId="3" borderId="39" xfId="4" applyFont="1" applyFill="1" applyBorder="1"/>
    <xf numFmtId="0" fontId="4" fillId="0" borderId="0" xfId="9" applyFont="1"/>
    <xf numFmtId="0" fontId="5" fillId="0" borderId="0" xfId="10" applyFont="1"/>
    <xf numFmtId="0" fontId="4" fillId="0" borderId="0" xfId="9" applyFont="1" applyAlignment="1">
      <alignment wrapText="1"/>
    </xf>
    <xf numFmtId="3" fontId="4" fillId="0" borderId="0" xfId="9" applyNumberFormat="1" applyFont="1"/>
    <xf numFmtId="3" fontId="8" fillId="0" borderId="0" xfId="9" applyNumberFormat="1" applyFont="1"/>
    <xf numFmtId="0" fontId="11" fillId="0" borderId="1" xfId="9" applyFont="1" applyBorder="1" applyAlignment="1">
      <alignment horizontal="center" vertical="center"/>
    </xf>
    <xf numFmtId="0" fontId="11" fillId="0" borderId="2" xfId="9" applyFont="1" applyBorder="1" applyAlignment="1">
      <alignment horizontal="center" vertical="center" wrapText="1"/>
    </xf>
    <xf numFmtId="0" fontId="11" fillId="2" borderId="4" xfId="9" applyFont="1" applyFill="1" applyBorder="1"/>
    <xf numFmtId="0" fontId="11" fillId="2" borderId="5" xfId="9" applyFont="1" applyFill="1" applyBorder="1" applyAlignment="1">
      <alignment wrapText="1"/>
    </xf>
    <xf numFmtId="3" fontId="11" fillId="2" borderId="6" xfId="9" applyNumberFormat="1" applyFont="1" applyFill="1" applyBorder="1"/>
    <xf numFmtId="0" fontId="11" fillId="3" borderId="4" xfId="9" quotePrefix="1" applyFont="1" applyFill="1" applyBorder="1"/>
    <xf numFmtId="0" fontId="11" fillId="3" borderId="5" xfId="9" applyFont="1" applyFill="1" applyBorder="1" applyAlignment="1">
      <alignment wrapText="1"/>
    </xf>
    <xf numFmtId="3" fontId="11" fillId="3" borderId="6" xfId="9" applyNumberFormat="1" applyFont="1" applyFill="1" applyBorder="1"/>
    <xf numFmtId="0" fontId="15" fillId="0" borderId="0" xfId="9" applyFont="1"/>
    <xf numFmtId="0" fontId="4" fillId="0" borderId="7" xfId="9" applyFont="1" applyBorder="1" applyAlignment="1">
      <alignment horizontal="left" indent="1"/>
    </xf>
    <xf numFmtId="0" fontId="4" fillId="0" borderId="8" xfId="9" applyFont="1" applyBorder="1" applyAlignment="1">
      <alignment horizontal="left" wrapText="1" indent="2"/>
    </xf>
    <xf numFmtId="3" fontId="4" fillId="0" borderId="9" xfId="9" applyNumberFormat="1" applyFont="1" applyBorder="1"/>
    <xf numFmtId="3" fontId="9" fillId="0" borderId="9" xfId="9" applyNumberFormat="1" applyFont="1" applyBorder="1"/>
    <xf numFmtId="0" fontId="11" fillId="3" borderId="7" xfId="9" applyFont="1" applyFill="1" applyBorder="1"/>
    <xf numFmtId="0" fontId="11" fillId="3" borderId="8" xfId="9" applyFont="1" applyFill="1" applyBorder="1" applyAlignment="1">
      <alignment wrapText="1"/>
    </xf>
    <xf numFmtId="3" fontId="11" fillId="3" borderId="9" xfId="9" applyNumberFormat="1" applyFont="1" applyFill="1" applyBorder="1"/>
    <xf numFmtId="0" fontId="2" fillId="0" borderId="0" xfId="9"/>
    <xf numFmtId="0" fontId="16" fillId="0" borderId="7" xfId="9" applyFont="1" applyBorder="1" applyAlignment="1">
      <alignment horizontal="left" indent="2"/>
    </xf>
    <xf numFmtId="0" fontId="16" fillId="0" borderId="8" xfId="9" applyFont="1" applyBorder="1" applyAlignment="1">
      <alignment horizontal="left" wrapText="1" indent="3"/>
    </xf>
    <xf numFmtId="0" fontId="15" fillId="0" borderId="0" xfId="9" quotePrefix="1" applyFont="1"/>
    <xf numFmtId="0" fontId="4" fillId="5" borderId="8" xfId="9" applyFont="1" applyFill="1" applyBorder="1" applyAlignment="1">
      <alignment horizontal="left" wrapText="1" indent="2"/>
    </xf>
    <xf numFmtId="3" fontId="4" fillId="0" borderId="9" xfId="9" applyNumberFormat="1" applyFont="1" applyBorder="1" applyAlignment="1">
      <alignment wrapText="1"/>
    </xf>
    <xf numFmtId="0" fontId="11" fillId="3" borderId="7" xfId="9" quotePrefix="1" applyFont="1" applyFill="1" applyBorder="1"/>
    <xf numFmtId="0" fontId="4" fillId="2" borderId="7" xfId="9" applyFont="1" applyFill="1" applyBorder="1" applyAlignment="1">
      <alignment horizontal="left" indent="1"/>
    </xf>
    <xf numFmtId="0" fontId="4" fillId="2" borderId="8" xfId="9" applyFont="1" applyFill="1" applyBorder="1" applyAlignment="1">
      <alignment horizontal="left" wrapText="1" indent="2"/>
    </xf>
    <xf numFmtId="3" fontId="4" fillId="2" borderId="9" xfId="9" applyNumberFormat="1" applyFont="1" applyFill="1" applyBorder="1"/>
    <xf numFmtId="3" fontId="4" fillId="6" borderId="9" xfId="9" applyNumberFormat="1" applyFont="1" applyFill="1" applyBorder="1"/>
    <xf numFmtId="3" fontId="4" fillId="7" borderId="9" xfId="9" applyNumberFormat="1" applyFont="1" applyFill="1" applyBorder="1"/>
    <xf numFmtId="3" fontId="4" fillId="7" borderId="9" xfId="9" applyNumberFormat="1" applyFont="1" applyFill="1" applyBorder="1" applyAlignment="1">
      <alignment wrapText="1"/>
    </xf>
    <xf numFmtId="3" fontId="16" fillId="8" borderId="9" xfId="9" applyNumberFormat="1" applyFont="1" applyFill="1" applyBorder="1"/>
    <xf numFmtId="0" fontId="16" fillId="0" borderId="0" xfId="9" applyFont="1"/>
    <xf numFmtId="3" fontId="16" fillId="9" borderId="9" xfId="9" applyNumberFormat="1" applyFont="1" applyFill="1" applyBorder="1"/>
    <xf numFmtId="0" fontId="4" fillId="0" borderId="0" xfId="9" quotePrefix="1" applyFont="1"/>
    <xf numFmtId="0" fontId="4" fillId="10" borderId="8" xfId="9" applyFont="1" applyFill="1" applyBorder="1" applyAlignment="1">
      <alignment horizontal="left" wrapText="1" indent="2"/>
    </xf>
    <xf numFmtId="0" fontId="4" fillId="0" borderId="8" xfId="9" applyFont="1" applyBorder="1" applyAlignment="1">
      <alignment horizontal="left" wrapText="1" indent="3"/>
    </xf>
    <xf numFmtId="0" fontId="8" fillId="0" borderId="0" xfId="9" quotePrefix="1" applyFont="1"/>
    <xf numFmtId="0" fontId="4" fillId="0" borderId="0" xfId="9" quotePrefix="1" applyFont="1" applyAlignment="1">
      <alignment wrapText="1"/>
    </xf>
    <xf numFmtId="0" fontId="4" fillId="10" borderId="8" xfId="9" applyFont="1" applyFill="1" applyBorder="1" applyAlignment="1">
      <alignment horizontal="left" wrapText="1" indent="3"/>
    </xf>
    <xf numFmtId="0" fontId="2" fillId="11" borderId="0" xfId="9" applyFill="1"/>
    <xf numFmtId="49" fontId="4" fillId="0" borderId="14" xfId="9" applyNumberFormat="1" applyFont="1" applyBorder="1" applyAlignment="1">
      <alignment horizontal="left" wrapText="1" indent="4"/>
    </xf>
    <xf numFmtId="0" fontId="4" fillId="5" borderId="7" xfId="9" applyFont="1" applyFill="1" applyBorder="1" applyAlignment="1">
      <alignment horizontal="left" indent="2"/>
    </xf>
    <xf numFmtId="0" fontId="4" fillId="5" borderId="8" xfId="9" applyFont="1" applyFill="1" applyBorder="1" applyAlignment="1">
      <alignment horizontal="left" wrapText="1" indent="3"/>
    </xf>
    <xf numFmtId="3" fontId="4" fillId="13" borderId="9" xfId="9" applyNumberFormat="1" applyFont="1" applyFill="1" applyBorder="1"/>
    <xf numFmtId="0" fontId="11" fillId="0" borderId="15" xfId="9" applyFont="1" applyBorder="1"/>
    <xf numFmtId="0" fontId="11" fillId="0" borderId="16" xfId="9" applyFont="1" applyBorder="1" applyAlignment="1">
      <alignment horizontal="right" wrapText="1"/>
    </xf>
    <xf numFmtId="3" fontId="11" fillId="0" borderId="3" xfId="9" applyNumberFormat="1" applyFont="1" applyBorder="1"/>
    <xf numFmtId="0" fontId="11" fillId="0" borderId="17" xfId="9" quotePrefix="1" applyFont="1" applyBorder="1"/>
    <xf numFmtId="0" fontId="11" fillId="0" borderId="18" xfId="9" applyFont="1" applyBorder="1" applyAlignment="1">
      <alignment wrapText="1"/>
    </xf>
    <xf numFmtId="3" fontId="11" fillId="0" borderId="19" xfId="9" applyNumberFormat="1" applyFont="1" applyBorder="1"/>
    <xf numFmtId="0" fontId="11" fillId="3" borderId="14" xfId="9" applyFont="1" applyFill="1" applyBorder="1" applyAlignment="1">
      <alignment wrapText="1"/>
    </xf>
    <xf numFmtId="3" fontId="11" fillId="3" borderId="13" xfId="9" applyNumberFormat="1" applyFont="1" applyFill="1" applyBorder="1"/>
    <xf numFmtId="3" fontId="4" fillId="0" borderId="13" xfId="9" applyNumberFormat="1" applyFont="1" applyBorder="1"/>
    <xf numFmtId="3" fontId="4" fillId="0" borderId="14" xfId="9" applyNumberFormat="1" applyFont="1" applyBorder="1"/>
    <xf numFmtId="49" fontId="4" fillId="4" borderId="14" xfId="9" applyNumberFormat="1" applyFont="1" applyFill="1" applyBorder="1" applyAlignment="1">
      <alignment horizontal="left" wrapText="1" indent="4"/>
    </xf>
    <xf numFmtId="3" fontId="4" fillId="0" borderId="20" xfId="9" applyNumberFormat="1" applyFont="1" applyBorder="1"/>
    <xf numFmtId="49" fontId="4" fillId="0" borderId="22" xfId="9" applyNumberFormat="1" applyFont="1" applyBorder="1" applyAlignment="1">
      <alignment horizontal="left" wrapText="1" indent="4"/>
    </xf>
    <xf numFmtId="49" fontId="4" fillId="0" borderId="8" xfId="9" applyNumberFormat="1" applyFont="1" applyBorder="1" applyAlignment="1">
      <alignment horizontal="left" wrapText="1" indent="4"/>
    </xf>
    <xf numFmtId="0" fontId="4" fillId="5" borderId="24" xfId="9" applyFont="1" applyFill="1" applyBorder="1" applyAlignment="1">
      <alignment horizontal="left" indent="2"/>
    </xf>
    <xf numFmtId="49" fontId="4" fillId="4" borderId="8" xfId="9" applyNumberFormat="1" applyFont="1" applyFill="1" applyBorder="1" applyAlignment="1">
      <alignment horizontal="left" wrapText="1" indent="4"/>
    </xf>
    <xf numFmtId="49" fontId="4" fillId="0" borderId="25" xfId="9" applyNumberFormat="1" applyFont="1" applyBorder="1" applyAlignment="1">
      <alignment horizontal="left" wrapText="1" indent="4"/>
    </xf>
    <xf numFmtId="3" fontId="4" fillId="0" borderId="10" xfId="9" applyNumberFormat="1" applyFont="1" applyBorder="1"/>
    <xf numFmtId="0" fontId="4" fillId="5" borderId="26" xfId="9" applyFont="1" applyFill="1" applyBorder="1" applyAlignment="1">
      <alignment horizontal="left" indent="2"/>
    </xf>
    <xf numFmtId="49" fontId="4" fillId="0" borderId="27" xfId="9" applyNumberFormat="1" applyFont="1" applyBorder="1" applyAlignment="1">
      <alignment horizontal="left" vertical="center" wrapText="1"/>
    </xf>
    <xf numFmtId="3" fontId="4" fillId="0" borderId="21" xfId="9" applyNumberFormat="1" applyFont="1" applyBorder="1" applyAlignment="1">
      <alignment vertical="center"/>
    </xf>
    <xf numFmtId="3" fontId="4" fillId="0" borderId="28" xfId="9" applyNumberFormat="1" applyFont="1" applyBorder="1" applyAlignment="1">
      <alignment vertical="center"/>
    </xf>
    <xf numFmtId="3" fontId="4" fillId="0" borderId="10" xfId="9" applyNumberFormat="1" applyFont="1" applyBorder="1" applyAlignment="1">
      <alignment vertical="center"/>
    </xf>
    <xf numFmtId="0" fontId="11" fillId="0" borderId="29" xfId="9" applyFont="1" applyBorder="1"/>
    <xf numFmtId="0" fontId="11" fillId="0" borderId="30" xfId="9" applyFont="1" applyBorder="1" applyAlignment="1">
      <alignment horizontal="right" wrapText="1"/>
    </xf>
    <xf numFmtId="0" fontId="11" fillId="0" borderId="0" xfId="9" applyFont="1"/>
    <xf numFmtId="0" fontId="8" fillId="0" borderId="0" xfId="9" applyFont="1"/>
    <xf numFmtId="49" fontId="11" fillId="3" borderId="31" xfId="9" applyNumberFormat="1" applyFont="1" applyFill="1" applyBorder="1" applyAlignment="1">
      <alignment horizontal="left" indent="2"/>
    </xf>
    <xf numFmtId="49" fontId="11" fillId="3" borderId="32" xfId="9" applyNumberFormat="1" applyFont="1" applyFill="1" applyBorder="1" applyAlignment="1">
      <alignment wrapText="1"/>
    </xf>
    <xf numFmtId="3" fontId="11" fillId="3" borderId="33" xfId="9" applyNumberFormat="1" applyFont="1" applyFill="1" applyBorder="1"/>
    <xf numFmtId="49" fontId="4" fillId="2" borderId="7" xfId="9" applyNumberFormat="1" applyFont="1" applyFill="1" applyBorder="1" applyAlignment="1">
      <alignment horizontal="left" indent="1"/>
    </xf>
    <xf numFmtId="49" fontId="4" fillId="2" borderId="8" xfId="9" applyNumberFormat="1" applyFont="1" applyFill="1" applyBorder="1" applyAlignment="1">
      <alignment horizontal="left" wrapText="1" indent="2"/>
    </xf>
    <xf numFmtId="3" fontId="9" fillId="2" borderId="9" xfId="9" applyNumberFormat="1" applyFont="1" applyFill="1" applyBorder="1"/>
    <xf numFmtId="49" fontId="11" fillId="3" borderId="7" xfId="9" applyNumberFormat="1" applyFont="1" applyFill="1" applyBorder="1"/>
    <xf numFmtId="49" fontId="11" fillId="3" borderId="8" xfId="9" applyNumberFormat="1" applyFont="1" applyFill="1" applyBorder="1" applyAlignment="1">
      <alignment wrapText="1"/>
    </xf>
    <xf numFmtId="0" fontId="18" fillId="0" borderId="0" xfId="9" applyFont="1"/>
    <xf numFmtId="49" fontId="4" fillId="0" borderId="7" xfId="9" applyNumberFormat="1" applyFont="1" applyBorder="1" applyAlignment="1">
      <alignment horizontal="left" indent="2"/>
    </xf>
    <xf numFmtId="49" fontId="4" fillId="0" borderId="8" xfId="9" applyNumberFormat="1" applyFont="1" applyBorder="1" applyAlignment="1">
      <alignment horizontal="left" wrapText="1" indent="2"/>
    </xf>
    <xf numFmtId="49" fontId="11" fillId="2" borderId="8" xfId="9" applyNumberFormat="1" applyFont="1" applyFill="1" applyBorder="1" applyAlignment="1">
      <alignment horizontal="left" wrapText="1" indent="2"/>
    </xf>
    <xf numFmtId="3" fontId="11" fillId="2" borderId="9" xfId="9" applyNumberFormat="1" applyFont="1" applyFill="1" applyBorder="1"/>
    <xf numFmtId="3" fontId="12" fillId="2" borderId="9" xfId="9" applyNumberFormat="1" applyFont="1" applyFill="1" applyBorder="1"/>
    <xf numFmtId="49" fontId="9" fillId="0" borderId="8" xfId="9" applyNumberFormat="1" applyFont="1" applyBorder="1" applyAlignment="1">
      <alignment horizontal="left" wrapText="1" indent="4"/>
    </xf>
    <xf numFmtId="49" fontId="4" fillId="15" borderId="7" xfId="9" applyNumberFormat="1" applyFont="1" applyFill="1" applyBorder="1" applyAlignment="1">
      <alignment horizontal="left" indent="2"/>
    </xf>
    <xf numFmtId="0" fontId="9" fillId="0" borderId="8" xfId="9" applyFont="1" applyBorder="1" applyAlignment="1">
      <alignment horizontal="left" wrapText="1" indent="3"/>
    </xf>
    <xf numFmtId="0" fontId="9" fillId="12" borderId="8" xfId="9" applyFont="1" applyFill="1" applyBorder="1" applyAlignment="1">
      <alignment horizontal="left" wrapText="1" indent="3"/>
    </xf>
    <xf numFmtId="49" fontId="8" fillId="0" borderId="7" xfId="9" applyNumberFormat="1" applyFont="1" applyBorder="1" applyAlignment="1">
      <alignment horizontal="left" indent="2"/>
    </xf>
    <xf numFmtId="0" fontId="8" fillId="12" borderId="8" xfId="9" applyFont="1" applyFill="1" applyBorder="1" applyAlignment="1">
      <alignment horizontal="left" wrapText="1" indent="3"/>
    </xf>
    <xf numFmtId="0" fontId="4" fillId="12" borderId="8" xfId="9" applyFont="1" applyFill="1" applyBorder="1" applyAlignment="1">
      <alignment horizontal="left" wrapText="1" indent="3"/>
    </xf>
    <xf numFmtId="49" fontId="19" fillId="0" borderId="7" xfId="9" applyNumberFormat="1" applyFont="1" applyBorder="1" applyAlignment="1">
      <alignment horizontal="left" indent="3"/>
    </xf>
    <xf numFmtId="0" fontId="19" fillId="12" borderId="8" xfId="9" applyFont="1" applyFill="1" applyBorder="1" applyAlignment="1">
      <alignment horizontal="left" wrapText="1" indent="6"/>
    </xf>
    <xf numFmtId="3" fontId="4" fillId="12" borderId="9" xfId="9" applyNumberFormat="1" applyFont="1" applyFill="1" applyBorder="1"/>
    <xf numFmtId="0" fontId="4" fillId="16" borderId="8" xfId="9" applyFont="1" applyFill="1" applyBorder="1" applyAlignment="1">
      <alignment horizontal="left" wrapText="1" indent="3"/>
    </xf>
    <xf numFmtId="49" fontId="4" fillId="15" borderId="7" xfId="9" applyNumberFormat="1" applyFont="1" applyFill="1" applyBorder="1" applyAlignment="1">
      <alignment horizontal="left" indent="1"/>
    </xf>
    <xf numFmtId="0" fontId="15" fillId="12" borderId="0" xfId="9" applyFont="1" applyFill="1"/>
    <xf numFmtId="0" fontId="15" fillId="12" borderId="8" xfId="9" applyFont="1" applyFill="1" applyBorder="1" applyAlignment="1">
      <alignment horizontal="left" indent="2"/>
    </xf>
    <xf numFmtId="0" fontId="4" fillId="12" borderId="34" xfId="9" applyFont="1" applyFill="1" applyBorder="1" applyAlignment="1">
      <alignment horizontal="left" indent="3"/>
    </xf>
    <xf numFmtId="3" fontId="9" fillId="12" borderId="9" xfId="9" applyNumberFormat="1" applyFont="1" applyFill="1" applyBorder="1"/>
    <xf numFmtId="0" fontId="15" fillId="0" borderId="8" xfId="9" applyFont="1" applyBorder="1" applyAlignment="1">
      <alignment horizontal="left" indent="2"/>
    </xf>
    <xf numFmtId="0" fontId="4" fillId="0" borderId="34" xfId="9" applyFont="1" applyBorder="1" applyAlignment="1">
      <alignment horizontal="left" indent="3"/>
    </xf>
    <xf numFmtId="0" fontId="15" fillId="15" borderId="8" xfId="9" applyFont="1" applyFill="1" applyBorder="1" applyAlignment="1">
      <alignment horizontal="left" indent="2"/>
    </xf>
    <xf numFmtId="0" fontId="4" fillId="0" borderId="0" xfId="9" applyFont="1" applyAlignment="1">
      <alignment horizontal="right"/>
    </xf>
    <xf numFmtId="3" fontId="4" fillId="5" borderId="9" xfId="9" applyNumberFormat="1" applyFont="1" applyFill="1" applyBorder="1"/>
    <xf numFmtId="3" fontId="9" fillId="5" borderId="9" xfId="9" applyNumberFormat="1" applyFont="1" applyFill="1" applyBorder="1"/>
    <xf numFmtId="49" fontId="11" fillId="2" borderId="7" xfId="9" applyNumberFormat="1" applyFont="1" applyFill="1" applyBorder="1" applyAlignment="1">
      <alignment horizontal="left" indent="1"/>
    </xf>
    <xf numFmtId="0" fontId="4" fillId="5" borderId="0" xfId="9" quotePrefix="1" applyFont="1" applyFill="1"/>
    <xf numFmtId="0" fontId="4" fillId="5" borderId="0" xfId="9" applyFont="1" applyFill="1"/>
    <xf numFmtId="49" fontId="4" fillId="5" borderId="7" xfId="9" applyNumberFormat="1" applyFont="1" applyFill="1" applyBorder="1" applyAlignment="1">
      <alignment horizontal="left" indent="2"/>
    </xf>
    <xf numFmtId="49" fontId="4" fillId="5" borderId="8" xfId="9" applyNumberFormat="1" applyFont="1" applyFill="1" applyBorder="1" applyAlignment="1">
      <alignment horizontal="left" wrapText="1" indent="4"/>
    </xf>
    <xf numFmtId="0" fontId="21" fillId="0" borderId="0" xfId="9" applyFont="1"/>
    <xf numFmtId="0" fontId="21" fillId="0" borderId="0" xfId="9" quotePrefix="1" applyFont="1"/>
    <xf numFmtId="49" fontId="11" fillId="0" borderId="7" xfId="9" applyNumberFormat="1" applyFont="1" applyBorder="1" applyAlignment="1">
      <alignment horizontal="left" indent="2"/>
    </xf>
    <xf numFmtId="49" fontId="11" fillId="0" borderId="8" xfId="9" applyNumberFormat="1" applyFont="1" applyBorder="1" applyAlignment="1">
      <alignment horizontal="left" wrapText="1" indent="4"/>
    </xf>
    <xf numFmtId="3" fontId="11" fillId="0" borderId="9" xfId="9" applyNumberFormat="1" applyFont="1" applyBorder="1"/>
    <xf numFmtId="0" fontId="22" fillId="0" borderId="0" xfId="9" applyFont="1"/>
    <xf numFmtId="49" fontId="4" fillId="0" borderId="7" xfId="9" applyNumberFormat="1" applyFont="1" applyBorder="1" applyAlignment="1">
      <alignment horizontal="left" indent="3"/>
    </xf>
    <xf numFmtId="49" fontId="23" fillId="2" borderId="7" xfId="9" applyNumberFormat="1" applyFont="1" applyFill="1" applyBorder="1" applyAlignment="1">
      <alignment horizontal="left" indent="1"/>
    </xf>
    <xf numFmtId="49" fontId="11" fillId="0" borderId="15" xfId="9" applyNumberFormat="1" applyFont="1" applyBorder="1"/>
    <xf numFmtId="49" fontId="11" fillId="0" borderId="16" xfId="9" applyNumberFormat="1" applyFont="1" applyBorder="1" applyAlignment="1">
      <alignment horizontal="right" wrapText="1"/>
    </xf>
    <xf numFmtId="3" fontId="11" fillId="0" borderId="35" xfId="9" applyNumberFormat="1" applyFont="1" applyBorder="1"/>
    <xf numFmtId="3" fontId="11" fillId="0" borderId="36" xfId="9" applyNumberFormat="1" applyFont="1" applyBorder="1"/>
    <xf numFmtId="49" fontId="11" fillId="3" borderId="37" xfId="9" applyNumberFormat="1" applyFont="1" applyFill="1" applyBorder="1" applyAlignment="1">
      <alignment horizontal="center"/>
    </xf>
    <xf numFmtId="49" fontId="11" fillId="3" borderId="38" xfId="9" applyNumberFormat="1" applyFont="1" applyFill="1" applyBorder="1" applyAlignment="1">
      <alignment wrapText="1"/>
    </xf>
    <xf numFmtId="3" fontId="11" fillId="3" borderId="39" xfId="9" applyNumberFormat="1" applyFont="1" applyFill="1" applyBorder="1"/>
    <xf numFmtId="0" fontId="7" fillId="0" borderId="0" xfId="11"/>
    <xf numFmtId="0" fontId="26" fillId="0" borderId="0" xfId="12" applyFont="1"/>
    <xf numFmtId="0" fontId="27" fillId="0" borderId="0" xfId="11" applyFont="1"/>
    <xf numFmtId="0" fontId="28" fillId="0" borderId="0" xfId="11" applyFont="1"/>
    <xf numFmtId="0" fontId="28" fillId="0" borderId="0" xfId="11" applyFont="1" applyAlignment="1">
      <alignment horizontal="center"/>
    </xf>
    <xf numFmtId="0" fontId="29" fillId="0" borderId="0" xfId="11" applyFont="1"/>
    <xf numFmtId="0" fontId="30" fillId="0" borderId="0" xfId="12" applyFont="1"/>
    <xf numFmtId="164" fontId="7" fillId="0" borderId="0" xfId="11" applyNumberFormat="1"/>
    <xf numFmtId="0" fontId="31" fillId="0" borderId="0" xfId="13" applyFont="1"/>
    <xf numFmtId="164" fontId="28" fillId="0" borderId="0" xfId="11" applyNumberFormat="1" applyFont="1" applyAlignment="1">
      <alignment horizontal="center"/>
    </xf>
    <xf numFmtId="0" fontId="32" fillId="0" borderId="0" xfId="13" applyFont="1"/>
    <xf numFmtId="0" fontId="28" fillId="0" borderId="40" xfId="11" applyFont="1" applyBorder="1" applyAlignment="1">
      <alignment horizontal="center"/>
    </xf>
    <xf numFmtId="0" fontId="33" fillId="7" borderId="0" xfId="11" applyFont="1" applyFill="1"/>
    <xf numFmtId="1" fontId="7" fillId="0" borderId="0" xfId="11" applyNumberFormat="1"/>
    <xf numFmtId="0" fontId="7" fillId="0" borderId="0" xfId="11" applyAlignment="1">
      <alignment horizontal="center" vertical="center"/>
    </xf>
    <xf numFmtId="0" fontId="34" fillId="17" borderId="8" xfId="11" applyFont="1" applyFill="1" applyBorder="1" applyAlignment="1">
      <alignment horizontal="center" vertical="center"/>
    </xf>
    <xf numFmtId="0" fontId="34" fillId="17" borderId="8" xfId="11" applyFont="1" applyFill="1" applyBorder="1" applyAlignment="1">
      <alignment horizontal="center" vertical="center" wrapText="1"/>
    </xf>
    <xf numFmtId="0" fontId="33" fillId="17" borderId="8" xfId="11" applyFont="1" applyFill="1" applyBorder="1" applyAlignment="1">
      <alignment horizontal="center" vertical="center" wrapText="1"/>
    </xf>
    <xf numFmtId="0" fontId="28" fillId="17" borderId="8" xfId="11" applyFont="1" applyFill="1" applyBorder="1" applyAlignment="1">
      <alignment horizontal="center" vertical="center" wrapText="1"/>
    </xf>
    <xf numFmtId="0" fontId="33" fillId="17" borderId="14" xfId="11" applyFont="1" applyFill="1" applyBorder="1" applyAlignment="1">
      <alignment horizontal="center" vertical="center" wrapText="1"/>
    </xf>
    <xf numFmtId="0" fontId="35" fillId="17" borderId="14" xfId="11" applyFont="1" applyFill="1" applyBorder="1" applyAlignment="1">
      <alignment horizontal="center" vertical="center" wrapText="1"/>
    </xf>
    <xf numFmtId="0" fontId="35" fillId="17" borderId="8" xfId="11" applyFont="1" applyFill="1" applyBorder="1" applyAlignment="1">
      <alignment horizontal="center" vertical="center" wrapText="1"/>
    </xf>
    <xf numFmtId="0" fontId="34" fillId="17" borderId="14" xfId="11" applyFont="1" applyFill="1" applyBorder="1" applyAlignment="1">
      <alignment horizontal="center" vertical="center"/>
    </xf>
    <xf numFmtId="0" fontId="34" fillId="0" borderId="0" xfId="11" applyFont="1"/>
    <xf numFmtId="0" fontId="34" fillId="0" borderId="41" xfId="11" applyFont="1" applyBorder="1"/>
    <xf numFmtId="0" fontId="33" fillId="0" borderId="41" xfId="11" applyFont="1" applyBorder="1"/>
    <xf numFmtId="0" fontId="7" fillId="0" borderId="41" xfId="11" applyBorder="1"/>
    <xf numFmtId="164" fontId="14" fillId="0" borderId="41" xfId="14" applyNumberFormat="1" applyBorder="1"/>
    <xf numFmtId="164" fontId="36" fillId="0" borderId="41" xfId="14" applyNumberFormat="1" applyFont="1" applyBorder="1"/>
    <xf numFmtId="165" fontId="36" fillId="0" borderId="41" xfId="14" applyNumberFormat="1" applyFont="1" applyBorder="1"/>
    <xf numFmtId="164" fontId="37" fillId="0" borderId="42" xfId="14" applyNumberFormat="1" applyFont="1" applyBorder="1"/>
    <xf numFmtId="164" fontId="36" fillId="0" borderId="42" xfId="14" applyNumberFormat="1" applyFont="1" applyBorder="1"/>
    <xf numFmtId="164" fontId="38" fillId="18" borderId="42" xfId="14" applyNumberFormat="1" applyFont="1" applyFill="1" applyBorder="1"/>
    <xf numFmtId="164" fontId="36" fillId="0" borderId="22" xfId="14" applyNumberFormat="1" applyFont="1" applyBorder="1"/>
    <xf numFmtId="164" fontId="36" fillId="18" borderId="42" xfId="14" applyNumberFormat="1" applyFont="1" applyFill="1" applyBorder="1"/>
    <xf numFmtId="164" fontId="34" fillId="0" borderId="0" xfId="11" applyNumberFormat="1" applyFont="1"/>
    <xf numFmtId="0" fontId="7" fillId="0" borderId="40" xfId="11" applyBorder="1"/>
    <xf numFmtId="0" fontId="27" fillId="0" borderId="40" xfId="11" applyFont="1" applyBorder="1"/>
    <xf numFmtId="164" fontId="14" fillId="0" borderId="40" xfId="14" applyNumberFormat="1" applyBorder="1"/>
    <xf numFmtId="165" fontId="14" fillId="0" borderId="40" xfId="14" applyNumberFormat="1" applyBorder="1"/>
    <xf numFmtId="164" fontId="39" fillId="0" borderId="5" xfId="14" applyNumberFormat="1" applyFont="1" applyBorder="1"/>
    <xf numFmtId="164" fontId="14" fillId="0" borderId="5" xfId="14" applyNumberFormat="1" applyBorder="1"/>
    <xf numFmtId="164" fontId="40" fillId="18" borderId="5" xfId="14" applyNumberFormat="1" applyFont="1" applyFill="1" applyBorder="1"/>
    <xf numFmtId="164" fontId="14" fillId="0" borderId="43" xfId="14" applyNumberFormat="1" applyBorder="1"/>
    <xf numFmtId="164" fontId="14" fillId="18" borderId="5" xfId="14" applyNumberFormat="1" applyFill="1" applyBorder="1"/>
    <xf numFmtId="164" fontId="14" fillId="0" borderId="40" xfId="14" applyNumberFormat="1" applyFill="1" applyBorder="1"/>
    <xf numFmtId="165" fontId="14" fillId="10" borderId="40" xfId="14" applyNumberFormat="1" applyFill="1" applyBorder="1"/>
    <xf numFmtId="0" fontId="34" fillId="0" borderId="40" xfId="11" applyFont="1" applyBorder="1"/>
    <xf numFmtId="164" fontId="36" fillId="0" borderId="41" xfId="14" applyNumberFormat="1" applyFont="1" applyFill="1" applyBorder="1"/>
    <xf numFmtId="14" fontId="27" fillId="0" borderId="41" xfId="11" applyNumberFormat="1" applyFont="1" applyBorder="1"/>
    <xf numFmtId="0" fontId="27" fillId="0" borderId="41" xfId="11" applyFont="1" applyBorder="1"/>
    <xf numFmtId="165" fontId="36" fillId="0" borderId="42" xfId="14" applyNumberFormat="1" applyFont="1" applyBorder="1"/>
    <xf numFmtId="164" fontId="33" fillId="0" borderId="0" xfId="11" applyNumberFormat="1" applyFont="1"/>
    <xf numFmtId="0" fontId="33" fillId="0" borderId="0" xfId="11" applyFont="1"/>
    <xf numFmtId="0" fontId="33" fillId="0" borderId="40" xfId="11" applyFont="1" applyBorder="1"/>
    <xf numFmtId="165" fontId="14" fillId="0" borderId="5" xfId="14" applyNumberFormat="1" applyBorder="1"/>
    <xf numFmtId="164" fontId="27" fillId="0" borderId="0" xfId="11" applyNumberFormat="1" applyFont="1"/>
    <xf numFmtId="165" fontId="14" fillId="0" borderId="41" xfId="14" applyNumberFormat="1" applyBorder="1"/>
    <xf numFmtId="0" fontId="41" fillId="0" borderId="41" xfId="11" applyFont="1" applyBorder="1"/>
    <xf numFmtId="0" fontId="42" fillId="0" borderId="41" xfId="11" applyFont="1" applyBorder="1"/>
    <xf numFmtId="14" fontId="42" fillId="0" borderId="41" xfId="11" applyNumberFormat="1" applyFont="1" applyBorder="1"/>
    <xf numFmtId="164" fontId="43" fillId="0" borderId="41" xfId="14" applyNumberFormat="1" applyFont="1" applyBorder="1"/>
    <xf numFmtId="165" fontId="43" fillId="0" borderId="41" xfId="14" applyNumberFormat="1" applyFont="1" applyBorder="1"/>
    <xf numFmtId="165" fontId="44" fillId="0" borderId="41" xfId="14" applyNumberFormat="1" applyFont="1" applyBorder="1"/>
    <xf numFmtId="164" fontId="44" fillId="0" borderId="42" xfId="14" applyNumberFormat="1" applyFont="1" applyBorder="1"/>
    <xf numFmtId="164" fontId="44" fillId="18" borderId="42" xfId="14" applyNumberFormat="1" applyFont="1" applyFill="1" applyBorder="1"/>
    <xf numFmtId="164" fontId="44" fillId="0" borderId="22" xfId="14" applyNumberFormat="1" applyFont="1" applyBorder="1"/>
    <xf numFmtId="0" fontId="42" fillId="0" borderId="0" xfId="11" applyFont="1"/>
    <xf numFmtId="0" fontId="42" fillId="0" borderId="40" xfId="11" applyFont="1" applyBorder="1"/>
    <xf numFmtId="164" fontId="43" fillId="0" borderId="40" xfId="14" applyNumberFormat="1" applyFont="1" applyBorder="1"/>
    <xf numFmtId="165" fontId="43" fillId="0" borderId="40" xfId="14" applyNumberFormat="1" applyFont="1" applyBorder="1"/>
    <xf numFmtId="164" fontId="43" fillId="0" borderId="5" xfId="14" applyNumberFormat="1" applyFont="1" applyBorder="1"/>
    <xf numFmtId="164" fontId="43" fillId="18" borderId="5" xfId="14" applyNumberFormat="1" applyFont="1" applyFill="1" applyBorder="1"/>
    <xf numFmtId="164" fontId="43" fillId="0" borderId="43" xfId="14" applyNumberFormat="1" applyFont="1" applyBorder="1"/>
    <xf numFmtId="164" fontId="14" fillId="0" borderId="0" xfId="14" applyNumberFormat="1" applyFill="1" applyBorder="1"/>
    <xf numFmtId="165" fontId="14" fillId="0" borderId="0" xfId="14" applyNumberFormat="1" applyFill="1" applyBorder="1"/>
    <xf numFmtId="164" fontId="45" fillId="0" borderId="0" xfId="14" applyNumberFormat="1" applyFont="1" applyFill="1" applyBorder="1"/>
    <xf numFmtId="0" fontId="7" fillId="0" borderId="0" xfId="11" applyAlignment="1">
      <alignment horizontal="right"/>
    </xf>
    <xf numFmtId="164" fontId="27" fillId="17" borderId="0" xfId="11" applyNumberFormat="1" applyFont="1" applyFill="1"/>
    <xf numFmtId="164" fontId="34" fillId="17" borderId="0" xfId="11" applyNumberFormat="1" applyFont="1" applyFill="1"/>
    <xf numFmtId="165" fontId="34" fillId="17" borderId="0" xfId="11" applyNumberFormat="1" applyFont="1" applyFill="1"/>
    <xf numFmtId="165" fontId="34" fillId="0" borderId="0" xfId="11" applyNumberFormat="1" applyFont="1"/>
    <xf numFmtId="165" fontId="36" fillId="0" borderId="0" xfId="14" applyNumberFormat="1" applyFont="1" applyFill="1" applyBorder="1" applyAlignment="1">
      <alignment horizontal="right"/>
    </xf>
    <xf numFmtId="164" fontId="37" fillId="19" borderId="42" xfId="14" applyNumberFormat="1" applyFont="1" applyFill="1" applyBorder="1"/>
    <xf numFmtId="164" fontId="36" fillId="19" borderId="42" xfId="14" applyNumberFormat="1" applyFont="1" applyFill="1" applyBorder="1"/>
    <xf numFmtId="165" fontId="14" fillId="0" borderId="0" xfId="14" applyNumberFormat="1" applyFill="1" applyBorder="1" applyAlignment="1">
      <alignment horizontal="right"/>
    </xf>
    <xf numFmtId="164" fontId="39" fillId="19" borderId="5" xfId="14" applyNumberFormat="1" applyFont="1" applyFill="1" applyBorder="1"/>
    <xf numFmtId="164" fontId="14" fillId="19" borderId="5" xfId="14" applyNumberFormat="1" applyFill="1" applyBorder="1"/>
    <xf numFmtId="164" fontId="35" fillId="19" borderId="5" xfId="11" applyNumberFormat="1" applyFont="1" applyFill="1" applyBorder="1"/>
    <xf numFmtId="164" fontId="33" fillId="19" borderId="5" xfId="11" applyNumberFormat="1" applyFont="1" applyFill="1" applyBorder="1"/>
    <xf numFmtId="0" fontId="7" fillId="0" borderId="0" xfId="11" applyAlignment="1">
      <alignment wrapText="1"/>
    </xf>
    <xf numFmtId="0" fontId="27" fillId="0" borderId="0" xfId="11" applyFont="1" applyAlignment="1">
      <alignment wrapText="1"/>
    </xf>
    <xf numFmtId="164" fontId="29" fillId="0" borderId="0" xfId="11" applyNumberFormat="1" applyFont="1"/>
    <xf numFmtId="0" fontId="33" fillId="0" borderId="8" xfId="11" applyFont="1" applyBorder="1" applyAlignment="1">
      <alignment horizontal="center" vertical="center" wrapText="1"/>
    </xf>
    <xf numFmtId="14" fontId="7" fillId="0" borderId="41" xfId="11" applyNumberFormat="1" applyBorder="1"/>
    <xf numFmtId="164" fontId="45" fillId="0" borderId="5" xfId="14" applyNumberFormat="1" applyFont="1" applyBorder="1"/>
    <xf numFmtId="0" fontId="33" fillId="0" borderId="0" xfId="11" applyFont="1" applyAlignment="1">
      <alignment horizontal="right"/>
    </xf>
    <xf numFmtId="164" fontId="36" fillId="19" borderId="8" xfId="14" applyNumberFormat="1" applyFont="1" applyFill="1" applyBorder="1"/>
    <xf numFmtId="164" fontId="33" fillId="19" borderId="8" xfId="11" applyNumberFormat="1" applyFont="1" applyFill="1" applyBorder="1"/>
    <xf numFmtId="0" fontId="46" fillId="0" borderId="0" xfId="13" applyFont="1" applyAlignment="1">
      <alignment horizontal="right"/>
    </xf>
    <xf numFmtId="164" fontId="27" fillId="0" borderId="44" xfId="11" applyNumberFormat="1" applyFont="1" applyBorder="1"/>
    <xf numFmtId="164" fontId="36" fillId="18" borderId="44" xfId="14" applyNumberFormat="1" applyFont="1" applyFill="1" applyBorder="1"/>
    <xf numFmtId="164" fontId="14" fillId="0" borderId="44" xfId="14" applyNumberFormat="1" applyBorder="1"/>
    <xf numFmtId="166" fontId="33" fillId="20" borderId="8" xfId="8" applyNumberFormat="1" applyFont="1" applyFill="1" applyBorder="1"/>
    <xf numFmtId="166" fontId="33" fillId="0" borderId="0" xfId="8" applyNumberFormat="1" applyFont="1" applyFill="1"/>
    <xf numFmtId="166" fontId="29" fillId="0" borderId="0" xfId="8" applyNumberFormat="1" applyFont="1"/>
    <xf numFmtId="0" fontId="47" fillId="0" borderId="0" xfId="13" applyFont="1" applyAlignment="1">
      <alignment horizontal="right"/>
    </xf>
    <xf numFmtId="164" fontId="36" fillId="20" borderId="0" xfId="14" applyNumberFormat="1" applyFont="1" applyFill="1"/>
    <xf numFmtId="0" fontId="48" fillId="0" borderId="0" xfId="11" applyFont="1"/>
    <xf numFmtId="9" fontId="48" fillId="0" borderId="0" xfId="11" applyNumberFormat="1" applyFont="1"/>
    <xf numFmtId="0" fontId="27" fillId="0" borderId="0" xfId="11" applyFont="1" applyAlignment="1">
      <alignment horizontal="right"/>
    </xf>
    <xf numFmtId="164" fontId="49" fillId="0" borderId="0" xfId="14" applyNumberFormat="1" applyFont="1"/>
    <xf numFmtId="164" fontId="50" fillId="0" borderId="0" xfId="14" applyNumberFormat="1" applyFont="1"/>
    <xf numFmtId="166" fontId="51" fillId="20" borderId="8" xfId="8" applyNumberFormat="1" applyFont="1" applyFill="1" applyBorder="1"/>
    <xf numFmtId="9" fontId="7" fillId="0" borderId="0" xfId="11" applyNumberFormat="1"/>
    <xf numFmtId="164" fontId="14" fillId="0" borderId="0" xfId="14" applyNumberFormat="1" applyAlignment="1">
      <alignment horizontal="right"/>
    </xf>
    <xf numFmtId="164" fontId="45" fillId="0" borderId="0" xfId="14" applyNumberFormat="1" applyFont="1"/>
    <xf numFmtId="164" fontId="14" fillId="11" borderId="8" xfId="14" applyNumberFormat="1" applyFill="1" applyBorder="1"/>
    <xf numFmtId="166" fontId="33" fillId="20" borderId="0" xfId="8" applyNumberFormat="1" applyFont="1" applyFill="1" applyBorder="1"/>
    <xf numFmtId="9" fontId="4" fillId="0" borderId="11" xfId="4" applyFont="1" applyFill="1" applyBorder="1" applyAlignment="1">
      <alignment horizontal="left" wrapText="1"/>
    </xf>
    <xf numFmtId="9" fontId="4" fillId="0" borderId="12" xfId="4" applyFont="1" applyFill="1" applyBorder="1" applyAlignment="1">
      <alignment horizontal="left" wrapText="1"/>
    </xf>
    <xf numFmtId="0" fontId="10" fillId="0" borderId="0" xfId="10" applyFont="1"/>
    <xf numFmtId="0" fontId="2" fillId="0" borderId="0" xfId="9"/>
    <xf numFmtId="9" fontId="4" fillId="0" borderId="11" xfId="4" applyFont="1" applyBorder="1" applyAlignment="1">
      <alignment horizontal="left" wrapText="1"/>
    </xf>
    <xf numFmtId="9" fontId="4" fillId="0" borderId="12" xfId="4" applyFont="1" applyBorder="1" applyAlignment="1">
      <alignment horizontal="left" wrapText="1"/>
    </xf>
    <xf numFmtId="0" fontId="5" fillId="0" borderId="0" xfId="10" applyFont="1"/>
  </cellXfs>
  <cellStyles count="15">
    <cellStyle name="Comma" xfId="1" builtinId="3"/>
    <cellStyle name="Comma 2" xfId="14" xr:uid="{53B35268-B3B2-4958-9ACF-CA3767A2D0B8}"/>
    <cellStyle name="Hyperlink" xfId="6" builtinId="8"/>
    <cellStyle name="Komats 10" xfId="5" xr:uid="{8609469D-E88F-4F89-AEED-94E01B308BDC}"/>
    <cellStyle name="Normal" xfId="0" builtinId="0"/>
    <cellStyle name="Normal 2" xfId="11" xr:uid="{3FF97865-389E-4737-853B-A661B9285ECB}"/>
    <cellStyle name="Normal 2 2" xfId="7" xr:uid="{92E6024B-5D40-4705-B32D-ACE12D9AFEE0}"/>
    <cellStyle name="Normal 4" xfId="13" xr:uid="{378086FF-0C9A-42B1-9C8F-9210AAC895A7}"/>
    <cellStyle name="Parasts 2 2 2 2" xfId="12" xr:uid="{B8DBF655-DDDB-4D27-8A22-6802A1266246}"/>
    <cellStyle name="Parasts 2 2 5" xfId="2" xr:uid="{88571A5C-9F86-4AE7-AE96-6323AA0EF6C3}"/>
    <cellStyle name="Parasts 2 2 5 2" xfId="3" xr:uid="{EF38D276-11F1-4B1C-9685-DDC243D1195C}"/>
    <cellStyle name="Parasts 2 2 5 2 2" xfId="10" xr:uid="{BC718651-A2A7-4C6E-8911-F393E09B6B7E}"/>
    <cellStyle name="Parasts 2 2 5 3" xfId="9" xr:uid="{9A2F025E-0F5B-4665-A293-37A6A294B414}"/>
    <cellStyle name="Percent 4" xfId="8" xr:uid="{8B4B9186-0E18-45BA-804C-356BB5197A7A}"/>
    <cellStyle name="Procenti 2 3" xfId="4" xr:uid="{FC9F4DE5-68D9-4464-B32A-C666BA2B392D}"/>
  </cellStyles>
  <dxfs count="6">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X:\Users\sarmite\Desktop\2010\2014\22.12.2014\Budzeta_projekts%202014_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ARNIS\formas\dok_registrs201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ARNIS\formas\dok_registrs2011.xls"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Sarmite.Muze\Nextcloud\Finansu%20nodala%20kopmape\12_2023\1_Budzets_2023_actual_12_2023.xlsx" TargetMode="External"/><Relationship Id="rId1" Type="http://schemas.openxmlformats.org/officeDocument/2006/relationships/externalLinkPath" Target="https://dvs-adazi.namejs.lv/webdav/0838d1ba-564c-4911-a265-864b0e6a278d/1_Budzets_2023_actual_12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4.pielikums_Saist_apm_EUR_fakts"/>
      <sheetName val="4.pielikums_Saist_apmērs_ap EUR"/>
      <sheetName val="EKK_saturs"/>
      <sheetName val="2014.gada budzeta plans"/>
      <sheetName val="Groz_NIN_12_2014"/>
      <sheetName val="Grafiki"/>
      <sheetName val="KA_31122013"/>
      <sheetName val="Vertetie_ienemumi_2014"/>
      <sheetName val="Saturs2014"/>
      <sheetName val="Investicijas_aktivitates"/>
      <sheetName val="Kopsavilkums"/>
      <sheetName val="Rolling"/>
      <sheetName val="Gaujas_svetki"/>
      <sheetName val="Parvalde"/>
      <sheetName val="Celi"/>
      <sheetName val="LegGold2013"/>
      <sheetName val="Alga_01_2014"/>
      <sheetName val="2014_85%"/>
      <sheetName val="Deputāti"/>
      <sheetName val="Iepirk_komisija"/>
      <sheetName val="Adm_komisija"/>
      <sheetName val="Nepilngad_lietu_komisija"/>
      <sheetName val="Avizes izmaksas"/>
      <sheetName val="Projekti_2014"/>
      <sheetName val="PrivatasII"/>
      <sheetName val="KA_31122012"/>
      <sheetName val="Edinasana"/>
      <sheetName val="Sheet2"/>
      <sheetName val="Spec_budz"/>
      <sheetName val="Neielikts_2013"/>
      <sheetName val="Sports2013"/>
      <sheetName val="Lapa1 (2)"/>
      <sheetName val="4_pielikums_Saist_apm_EUR_fakts"/>
      <sheetName val="4_pielikums_Saist_apmērs_ap_EUR"/>
      <sheetName val="2014_gada_budzeta_plans"/>
      <sheetName val="Avizes_izmaksas"/>
      <sheetName val="Lapa1_(2)"/>
    </sheetNames>
    <sheetDataSet>
      <sheetData sheetId="0"/>
      <sheetData sheetId="1"/>
      <sheetData sheetId="2"/>
      <sheetData sheetId="3">
        <row r="44">
          <cell r="Q44">
            <v>240644.61784508912</v>
          </cell>
        </row>
      </sheetData>
      <sheetData sheetId="4">
        <row r="32">
          <cell r="F32">
            <v>905997</v>
          </cell>
        </row>
      </sheetData>
      <sheetData sheetId="5"/>
      <sheetData sheetId="6"/>
      <sheetData sheetId="7">
        <row r="36">
          <cell r="C36">
            <v>5078304.9348664423</v>
          </cell>
        </row>
      </sheetData>
      <sheetData sheetId="8">
        <row r="14">
          <cell r="Q14">
            <v>430025</v>
          </cell>
        </row>
      </sheetData>
      <sheetData sheetId="9"/>
      <sheetData sheetId="10">
        <row r="2130">
          <cell r="I2130">
            <v>90500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44">
          <cell r="Q44">
            <v>240644.61784508912</v>
          </cell>
        </row>
      </sheetData>
      <sheetData sheetId="35"/>
      <sheetData sheetId="3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raksts"/>
      <sheetName val="Firma"/>
      <sheetName val="Izsniedzejs"/>
      <sheetName val="Ligumi"/>
      <sheetName val="Darijums"/>
      <sheetName val="Apmaksa"/>
    </sheetNames>
    <sheetDataSet>
      <sheetData sheetId="0"/>
      <sheetData sheetId="1" refreshError="1">
        <row r="1">
          <cell r="A1" t="str">
            <v>Uzņēmums / Persona</v>
          </cell>
        </row>
        <row r="2">
          <cell r="A2">
            <v>0</v>
          </cell>
        </row>
        <row r="3">
          <cell r="A3" t="str">
            <v>A.B.V. SIA</v>
          </cell>
        </row>
        <row r="4">
          <cell r="A4" t="str">
            <v>4.krēsli SIA</v>
          </cell>
        </row>
        <row r="5">
          <cell r="A5" t="str">
            <v>A.Lapsiņas uzņēmums Apgāds skolai</v>
          </cell>
        </row>
        <row r="6">
          <cell r="A6" t="str">
            <v>AB BAMBUSS SIA</v>
          </cell>
        </row>
        <row r="7">
          <cell r="A7" t="str">
            <v>ABORA SIA</v>
          </cell>
        </row>
        <row r="8">
          <cell r="A8" t="str">
            <v>Adazi Bio Power SIA</v>
          </cell>
        </row>
        <row r="9">
          <cell r="A9" t="str">
            <v>ĀDAŽI PROJEKTS SIA</v>
          </cell>
        </row>
        <row r="10">
          <cell r="A10" t="str">
            <v>Ādažu 1.fotogrupa, Diāna Taube</v>
          </cell>
        </row>
        <row r="11">
          <cell r="A11" t="str">
            <v>Ādažu aptieka SIA</v>
          </cell>
        </row>
        <row r="12">
          <cell r="A12" t="str">
            <v>Ādažu Brīvā Valdorfa skola, Biedrība</v>
          </cell>
        </row>
        <row r="13">
          <cell r="A13" t="str">
            <v>Ādažu fotogrāfu biedrība - Sabiedriska organizācija</v>
          </cell>
        </row>
        <row r="14">
          <cell r="A14" t="str">
            <v>ĀDAŽU GLĀBŠANAS DIENESTS PSIA</v>
          </cell>
        </row>
        <row r="15">
          <cell r="A15" t="str">
            <v>Ādažu Hidromehanizācija SIA</v>
          </cell>
        </row>
        <row r="16">
          <cell r="A16" t="str">
            <v>ĀDAŽU ĪPAŠUMI SIA</v>
          </cell>
        </row>
        <row r="17">
          <cell r="A17" t="str">
            <v>ĀDAŽU METĀLS Sia</v>
          </cell>
        </row>
        <row r="18">
          <cell r="A18" t="str">
            <v>ĀDAŽU NAMSAIMNIEKS SIA</v>
          </cell>
        </row>
        <row r="19">
          <cell r="A19" t="str">
            <v>Ādažu novada vēlēšanu komisija</v>
          </cell>
        </row>
        <row r="20">
          <cell r="A20" t="str">
            <v>Ādažu slimnīca PSIA</v>
          </cell>
        </row>
        <row r="21">
          <cell r="A21" t="str">
            <v>ĀDAŽU SPORTA CENTRS SIA</v>
          </cell>
        </row>
        <row r="22">
          <cell r="A22" t="str">
            <v>ĀDAŽU ŪDENS SIA</v>
          </cell>
        </row>
        <row r="23">
          <cell r="A23" t="str">
            <v>AGD GRUPA SIA</v>
          </cell>
        </row>
        <row r="24">
          <cell r="A24" t="str">
            <v xml:space="preserve">Agita Vīra </v>
          </cell>
        </row>
        <row r="25">
          <cell r="A25" t="str">
            <v>AGLV SIA</v>
          </cell>
        </row>
        <row r="26">
          <cell r="A26" t="str">
            <v>Agnese Prokofjeva</v>
          </cell>
        </row>
        <row r="27">
          <cell r="A27" t="str">
            <v>Agneta Akseņenko</v>
          </cell>
        </row>
        <row r="28">
          <cell r="A28" t="str">
            <v>AGNIERS SIA</v>
          </cell>
        </row>
        <row r="29">
          <cell r="A29" t="str">
            <v>AGREINO SIA</v>
          </cell>
        </row>
        <row r="30">
          <cell r="A30" t="str">
            <v>Agris Kiršteins</v>
          </cell>
        </row>
        <row r="31">
          <cell r="A31" t="str">
            <v>Agris Ļitvinovs</v>
          </cell>
        </row>
        <row r="32">
          <cell r="A32" t="str">
            <v>Agris Upīts</v>
          </cell>
        </row>
        <row r="33">
          <cell r="A33" t="str">
            <v>Aģentūra Radars SIA</v>
          </cell>
        </row>
        <row r="34">
          <cell r="A34" t="str">
            <v>Aīda Kalniņa</v>
          </cell>
        </row>
        <row r="35">
          <cell r="A35" t="str">
            <v>Aija Ausēja-Rudzīte</v>
          </cell>
        </row>
        <row r="36">
          <cell r="A36" t="str">
            <v>AIVARS VITKOVSKIS</v>
          </cell>
        </row>
        <row r="37">
          <cell r="A37" t="str">
            <v>Aivija Amaris SIA</v>
          </cell>
        </row>
        <row r="38">
          <cell r="A38" t="str">
            <v>AJ Produkti AS</v>
          </cell>
        </row>
        <row r="39">
          <cell r="A39" t="str">
            <v>AKKA LAA</v>
          </cell>
        </row>
        <row r="40">
          <cell r="A40" t="str">
            <v>AKMENS APSTRĀDES CENTRS AKM SIA</v>
          </cell>
        </row>
        <row r="41">
          <cell r="A41" t="str">
            <v>ALAN LTD SIA</v>
          </cell>
        </row>
        <row r="42">
          <cell r="A42" t="str">
            <v>ALARMA SERVISS SIA</v>
          </cell>
        </row>
        <row r="43">
          <cell r="A43" t="str">
            <v>ALDO Grupa SIA</v>
          </cell>
        </row>
        <row r="44">
          <cell r="A44" t="str">
            <v>ALEJA D SIA</v>
          </cell>
        </row>
        <row r="45">
          <cell r="A45" t="str">
            <v>ALEKSANDRS JALANECKIS</v>
          </cell>
        </row>
        <row r="46">
          <cell r="A46" t="str">
            <v>ALEKSANDRS KARATAJEVS</v>
          </cell>
        </row>
        <row r="47">
          <cell r="A47" t="str">
            <v>ALEKSANDRS KORJAKINS</v>
          </cell>
        </row>
        <row r="48">
          <cell r="A48" t="str">
            <v>Aleksandrs Kulakovs</v>
          </cell>
        </row>
        <row r="49">
          <cell r="A49" t="str">
            <v>Aleksandrs Sidorovs</v>
          </cell>
        </row>
        <row r="50">
          <cell r="A50" t="str">
            <v>ALEKSIS-M SIA</v>
          </cell>
        </row>
        <row r="51">
          <cell r="A51" t="str">
            <v>ALENTA SIA</v>
          </cell>
        </row>
        <row r="52">
          <cell r="A52" t="str">
            <v>ALT AUTO SIA</v>
          </cell>
        </row>
        <row r="53">
          <cell r="A53" t="str">
            <v>ALT NOMA</v>
          </cell>
        </row>
        <row r="54">
          <cell r="A54" t="str">
            <v>Alūksnes novada pašvaldības Izglītības pārvalde</v>
          </cell>
        </row>
        <row r="55">
          <cell r="A55" t="str">
            <v>Aļona Kļevcova</v>
          </cell>
        </row>
        <row r="56">
          <cell r="A56" t="str">
            <v>AMARO SIA</v>
          </cell>
        </row>
        <row r="57">
          <cell r="A57" t="str">
            <v xml:space="preserve">Amatierteātris "Kontakts" - Nereģistrēta iedzīvojāju grupa </v>
          </cell>
        </row>
        <row r="58">
          <cell r="A58" t="str">
            <v>AMBER LINE SIA</v>
          </cell>
        </row>
        <row r="59">
          <cell r="A59" t="str">
            <v>ANDRA STAĻĢA firma "ELEKTROREMONTS" SIA</v>
          </cell>
        </row>
        <row r="60">
          <cell r="A60" t="str">
            <v>ANDRIS BALTACIS</v>
          </cell>
        </row>
        <row r="61">
          <cell r="A61" t="str">
            <v>Andris Podziņš</v>
          </cell>
        </row>
        <row r="62">
          <cell r="A62" t="str">
            <v>Androna SIA</v>
          </cell>
        </row>
        <row r="63">
          <cell r="A63" t="str">
            <v>Anita Caune</v>
          </cell>
        </row>
        <row r="64">
          <cell r="A64" t="str">
            <v>ANITA KRŪZMANE</v>
          </cell>
        </row>
        <row r="65">
          <cell r="A65" t="str">
            <v>ANITRA SIA</v>
          </cell>
        </row>
        <row r="66">
          <cell r="A66" t="str">
            <v>Aniva SIA</v>
          </cell>
        </row>
        <row r="67">
          <cell r="A67" t="str">
            <v>ANPA SIA</v>
          </cell>
        </row>
        <row r="68">
          <cell r="A68" t="str">
            <v>ANTARS SIA</v>
          </cell>
        </row>
        <row r="69">
          <cell r="A69" t="str">
            <v>Apes novada dome</v>
          </cell>
        </row>
        <row r="70">
          <cell r="A70" t="str">
            <v>Apgāds Zvaigzne ABC SIA</v>
          </cell>
        </row>
        <row r="71">
          <cell r="A71" t="str">
            <v>AQUA-BRAMBIS SIA</v>
          </cell>
        </row>
        <row r="72">
          <cell r="A72" t="str">
            <v>ARCHITECTUS SIA</v>
          </cell>
        </row>
        <row r="73">
          <cell r="A73" t="str">
            <v>ARCO DEVELOPMENT SIA</v>
          </cell>
        </row>
        <row r="74">
          <cell r="A74" t="str">
            <v>ARHITECTUS SIA</v>
          </cell>
        </row>
        <row r="75">
          <cell r="A75" t="str">
            <v>ARĪTS SIA</v>
          </cell>
        </row>
        <row r="76">
          <cell r="A76" t="str">
            <v>Armands Bāliņš</v>
          </cell>
        </row>
        <row r="77">
          <cell r="A77" t="str">
            <v>ARPOS SIA</v>
          </cell>
        </row>
        <row r="78">
          <cell r="A78" t="str">
            <v>ARTŪRS MANGULIS</v>
          </cell>
        </row>
        <row r="79">
          <cell r="A79" t="str">
            <v>Artūrs Putnis</v>
          </cell>
        </row>
        <row r="80">
          <cell r="A80" t="str">
            <v>a-skola SIA</v>
          </cell>
        </row>
        <row r="81">
          <cell r="A81" t="str">
            <v>ATLASE SIA</v>
          </cell>
        </row>
        <row r="82">
          <cell r="A82" t="str">
            <v>Atmodas Nereģistrēta iedzīvotāju grupa, Andrejs Petskojs</v>
          </cell>
        </row>
        <row r="83">
          <cell r="A83" t="str">
            <v>AUDIT ADVICE SIA</v>
          </cell>
        </row>
        <row r="84">
          <cell r="A84" t="str">
            <v xml:space="preserve">Audzītes, Nereģistrēto iedzīvotāju grupa, Linda Cintiņa </v>
          </cell>
        </row>
        <row r="85">
          <cell r="A85" t="str">
            <v>AUSMA BEĶERE</v>
          </cell>
        </row>
        <row r="86">
          <cell r="A86" t="str">
            <v>AUTOOGA SIA</v>
          </cell>
        </row>
        <row r="87">
          <cell r="A87" t="str">
            <v>Ažiņa k/f Mārkets SIA</v>
          </cell>
        </row>
        <row r="88">
          <cell r="A88" t="str">
            <v>Babītes novada pašvaldība</v>
          </cell>
        </row>
        <row r="89">
          <cell r="A89" t="str">
            <v>Baiba Blūzma</v>
          </cell>
        </row>
        <row r="90">
          <cell r="A90" t="str">
            <v>BALDONE V.S.A.C.</v>
          </cell>
        </row>
        <row r="91">
          <cell r="A91" t="str">
            <v>Baldones novada dome</v>
          </cell>
        </row>
        <row r="92">
          <cell r="A92" t="str">
            <v>BALDZE SIA</v>
          </cell>
        </row>
        <row r="93">
          <cell r="A93" t="str">
            <v>BALTA AAS</v>
          </cell>
        </row>
        <row r="94">
          <cell r="A94" t="str">
            <v>BALTAIS FONDS  S/O</v>
          </cell>
        </row>
        <row r="95">
          <cell r="A95" t="str">
            <v>BALTENEKO  SIA</v>
          </cell>
        </row>
        <row r="96">
          <cell r="A96" t="str">
            <v>BALTENEKO SIA</v>
          </cell>
        </row>
        <row r="97">
          <cell r="A97" t="str">
            <v>Baltezera Fani, Nereģistrēto iedzīvotāju grupa, Gundega Miglava</v>
          </cell>
        </row>
        <row r="98">
          <cell r="A98" t="str">
            <v>Baltezera pērle SIA</v>
          </cell>
        </row>
        <row r="99">
          <cell r="A99" t="str">
            <v>BALTIC CONSTRUCTION ENTERPRISE SIA</v>
          </cell>
        </row>
        <row r="100">
          <cell r="A100" t="str">
            <v>Baltijas  Banknote SIA</v>
          </cell>
        </row>
        <row r="101">
          <cell r="A101" t="str">
            <v>BALTIJAS AUTOLĪZINGS SIA</v>
          </cell>
        </row>
        <row r="102">
          <cell r="A102" t="str">
            <v>BALTIJAS BASEINI SIA</v>
          </cell>
        </row>
        <row r="103">
          <cell r="A103" t="str">
            <v>BALTIJAS KOMUNIKĀCIJU CENTRS SIA</v>
          </cell>
        </row>
        <row r="104">
          <cell r="A104" t="str">
            <v>BALTSURVEY SIA</v>
          </cell>
        </row>
        <row r="105">
          <cell r="A105" t="str">
            <v>BĀRDAIŅI-1 SIA</v>
          </cell>
        </row>
        <row r="106">
          <cell r="A106" t="str">
            <v>Bauskas novada dome</v>
          </cell>
        </row>
        <row r="107">
          <cell r="A107" t="str">
            <v>BDO INVEST-RĪGA AS</v>
          </cell>
        </row>
        <row r="108">
          <cell r="A108" t="str">
            <v>Bentley Systems Europe B.V.</v>
          </cell>
        </row>
        <row r="109">
          <cell r="A109" t="str">
            <v>Bermiz SIA</v>
          </cell>
        </row>
        <row r="110">
          <cell r="A110" t="str">
            <v>Beverīnas novada pašvaldība</v>
          </cell>
        </row>
        <row r="111">
          <cell r="A111" t="str">
            <v>BG SIA</v>
          </cell>
        </row>
        <row r="112">
          <cell r="A112" t="str">
            <v>Biedrība " Futbola skola "Garkalne""</v>
          </cell>
        </row>
        <row r="113">
          <cell r="A113" t="str">
            <v>Biedrība " Juglas Dzīvnieku aizsardzības grupa "</v>
          </cell>
        </row>
        <row r="114">
          <cell r="A114" t="str">
            <v>Biedrība " Sporta klubs "KUMITE""</v>
          </cell>
        </row>
        <row r="115">
          <cell r="A115" t="str">
            <v>Biedrība "DZĪVESSPĒKS"</v>
          </cell>
        </row>
        <row r="116">
          <cell r="A116" t="str">
            <v>Biedrība "Latvijas Badmintona federācija"</v>
          </cell>
        </row>
        <row r="117">
          <cell r="A117" t="str">
            <v>Biedrība "Latvijas Izpildītāju un producentu apvienība"</v>
          </cell>
        </row>
        <row r="118">
          <cell r="A118" t="str">
            <v>Biedrība "Mednieku klubs"Laveri"</v>
          </cell>
        </row>
        <row r="119">
          <cell r="A119" t="str">
            <v>Biedrība "Privātā vidusskola ĀBVS"</v>
          </cell>
        </row>
        <row r="120">
          <cell r="A120" t="str">
            <v>Biedrība "Svētku aģentūra Santa"</v>
          </cell>
        </row>
        <row r="121">
          <cell r="A121" t="str">
            <v>Biedrība Autortiesību un komunicēšanās konsultāciju aģentūra</v>
          </cell>
        </row>
        <row r="122">
          <cell r="A122" t="str">
            <v>Biedrība" Futbola klubs "Ādaži""</v>
          </cell>
        </row>
        <row r="123">
          <cell r="A123" t="str">
            <v>Biedrība"Maxsharks sports "</v>
          </cell>
        </row>
        <row r="124">
          <cell r="A124" t="str">
            <v>BIĶERNIEKU KOMPLEKSĀ SPORTA BĀZE VAS</v>
          </cell>
        </row>
        <row r="125">
          <cell r="A125" t="str">
            <v>BIOR Pārikas drošības, dzīvnieku veselības un vides zinātniskais institūts</v>
          </cell>
        </row>
        <row r="126">
          <cell r="A126" t="str">
            <v>BIRUTA VIMBA</v>
          </cell>
        </row>
        <row r="127">
          <cell r="A127" t="str">
            <v>BIRUTAS BIROJS SIA</v>
          </cell>
        </row>
        <row r="128">
          <cell r="A128" t="str">
            <v>BIZNESA KOMPLEKSS SIA KIF</v>
          </cell>
        </row>
        <row r="129">
          <cell r="A129" t="str">
            <v>BOLDEKS SIA</v>
          </cell>
        </row>
        <row r="130">
          <cell r="A130" t="str">
            <v>BRASA SBS SIA</v>
          </cell>
        </row>
        <row r="131">
          <cell r="A131" t="str">
            <v>BRINUM-X SIA</v>
          </cell>
        </row>
        <row r="132">
          <cell r="A132" t="str">
            <v>BRUKS SIA</v>
          </cell>
        </row>
        <row r="133">
          <cell r="A133" t="str">
            <v>BT PROJEKTS SIA</v>
          </cell>
        </row>
        <row r="134">
          <cell r="A134" t="str">
            <v>BTA AAS</v>
          </cell>
        </row>
        <row r="135">
          <cell r="A135" t="str">
            <v>BTA Insurance Company SE</v>
          </cell>
        </row>
        <row r="136">
          <cell r="A136" t="str">
            <v>BUSINESS PARTNER SIA</v>
          </cell>
        </row>
        <row r="137">
          <cell r="A137" t="str">
            <v>CAMELIA SIA</v>
          </cell>
        </row>
        <row r="138">
          <cell r="A138" t="str">
            <v>CARDO SIA</v>
          </cell>
        </row>
        <row r="139">
          <cell r="A139" t="str">
            <v>Carnikavas novada dome</v>
          </cell>
        </row>
        <row r="140">
          <cell r="A140" t="str">
            <v>CEĻOJUMU KLUBS RSP biedrība</v>
          </cell>
        </row>
        <row r="141">
          <cell r="A141" t="str">
            <v>CEĻOTĀJU VEIKALS VIA Baltica IK</v>
          </cell>
        </row>
        <row r="142">
          <cell r="A142" t="str">
            <v xml:space="preserve">Ceļu satiksmes drošības direkcija </v>
          </cell>
        </row>
        <row r="143">
          <cell r="A143" t="str">
            <v>Centrālā finanšu un līgumu aģentūra</v>
          </cell>
        </row>
        <row r="144">
          <cell r="A144" t="str">
            <v>Cerebellum SIA</v>
          </cell>
        </row>
        <row r="145">
          <cell r="A145" t="str">
            <v>Cēsu novada pašvaldība</v>
          </cell>
        </row>
        <row r="146">
          <cell r="A146" t="str">
            <v>CIEDRA A SIA</v>
          </cell>
        </row>
        <row r="147">
          <cell r="A147" t="str">
            <v>CONVENTS LAW Office</v>
          </cell>
        </row>
        <row r="148">
          <cell r="A148" t="str">
            <v>CV-ONLINE LATVIA SIA</v>
          </cell>
        </row>
        <row r="149">
          <cell r="A149" t="str">
            <v>Da &amp; Jo  SIA</v>
          </cell>
        </row>
        <row r="150">
          <cell r="A150" t="str">
            <v>DACE DIENAVA</v>
          </cell>
        </row>
        <row r="151">
          <cell r="A151" t="str">
            <v>Dace Medniece</v>
          </cell>
        </row>
        <row r="152">
          <cell r="A152" t="str">
            <v>DAGI SIA</v>
          </cell>
        </row>
        <row r="153">
          <cell r="A153" t="str">
            <v>DAGNIJA PUĶĪTE</v>
          </cell>
        </row>
        <row r="154">
          <cell r="A154" t="str">
            <v>Daiļrade RC SIA</v>
          </cell>
        </row>
        <row r="155">
          <cell r="A155" t="str">
            <v>DAINA KALNIŅA</v>
          </cell>
        </row>
        <row r="156">
          <cell r="A156" t="str">
            <v>DAINA SALMIŅA</v>
          </cell>
        </row>
        <row r="157">
          <cell r="A157" t="str">
            <v xml:space="preserve">DAINIS PIEBALGS </v>
          </cell>
        </row>
        <row r="158">
          <cell r="A158" t="str">
            <v>Dainis Popovs</v>
          </cell>
        </row>
        <row r="159">
          <cell r="A159" t="str">
            <v>DAIRA SIA</v>
          </cell>
        </row>
        <row r="160">
          <cell r="A160" t="str">
            <v>DALA SIA</v>
          </cell>
        </row>
        <row r="161">
          <cell r="A161" t="str">
            <v>DANFO MASTER SIA</v>
          </cell>
        </row>
        <row r="162">
          <cell r="A162" t="str">
            <v>DANTRA SIA</v>
          </cell>
        </row>
        <row r="163">
          <cell r="A163" t="str">
            <v>DARBA APĢĒRBU SERVISS SIA</v>
          </cell>
        </row>
        <row r="164">
          <cell r="A164" t="str">
            <v>Dartes SIA</v>
          </cell>
        </row>
        <row r="165">
          <cell r="A165" t="str">
            <v>DĀRZA GURU SIA</v>
          </cell>
        </row>
        <row r="166">
          <cell r="A166" t="str">
            <v>DAS SIA</v>
          </cell>
        </row>
        <row r="167">
          <cell r="A167" t="str">
            <v>DASKO SIA</v>
          </cell>
        </row>
        <row r="168">
          <cell r="A168" t="str">
            <v>Datateks SIA</v>
          </cell>
        </row>
        <row r="169">
          <cell r="A169" t="str">
            <v>DAUGAVPILS ENERGOCELTNIEKS SIA</v>
          </cell>
        </row>
        <row r="170">
          <cell r="A170" t="str">
            <v>Dāvanu karte SIA</v>
          </cell>
        </row>
        <row r="171">
          <cell r="A171" t="str">
            <v>DDBC SIA</v>
          </cell>
        </row>
        <row r="172">
          <cell r="A172" t="str">
            <v>DDV SIA</v>
          </cell>
        </row>
        <row r="173">
          <cell r="A173" t="str">
            <v>DEIMS SIA</v>
          </cell>
        </row>
        <row r="174">
          <cell r="A174" t="str">
            <v>Delta Audio SIA</v>
          </cell>
        </row>
        <row r="175">
          <cell r="A175" t="str">
            <v>Delta Urban SIA</v>
          </cell>
        </row>
        <row r="176">
          <cell r="A176" t="str">
            <v>DEMOKRĀTI LV PP</v>
          </cell>
        </row>
        <row r="177">
          <cell r="A177" t="str">
            <v>DEPO DIY SIA</v>
          </cell>
        </row>
        <row r="178">
          <cell r="A178" t="str">
            <v>DEX SIA</v>
          </cell>
        </row>
        <row r="179">
          <cell r="A179" t="str">
            <v xml:space="preserve">DEZINFA SIA </v>
          </cell>
        </row>
        <row r="180">
          <cell r="A180" t="str">
            <v>DIĀNA SALENIECE</v>
          </cell>
        </row>
        <row r="181">
          <cell r="A181" t="str">
            <v>DIETA LTD SIA</v>
          </cell>
        </row>
        <row r="182">
          <cell r="A182" t="str">
            <v>DITAS BALČUS TEĀTRIS - DIVAS ACIS Biedrība</v>
          </cell>
        </row>
        <row r="183">
          <cell r="A183" t="str">
            <v>DK INVEST SIA</v>
          </cell>
        </row>
        <row r="184">
          <cell r="A184" t="str">
            <v>DLG DATORS SIA</v>
          </cell>
        </row>
        <row r="185">
          <cell r="A185" t="str">
            <v>DN SISTĒMAS SIA</v>
          </cell>
        </row>
        <row r="186">
          <cell r="A186" t="str">
            <v>Dobeles novada Izglītibas pārvalde</v>
          </cell>
        </row>
        <row r="187">
          <cell r="A187" t="str">
            <v>DOMI grupe</v>
          </cell>
        </row>
        <row r="188">
          <cell r="A188" t="str">
            <v>Domiņs SIA</v>
          </cell>
        </row>
        <row r="189">
          <cell r="A189" t="str">
            <v>DRAMATURGU TEĀTRIS Biedrība</v>
          </cell>
        </row>
        <row r="190">
          <cell r="A190" t="str">
            <v>Drošība AM SIA</v>
          </cell>
        </row>
        <row r="191">
          <cell r="A191" t="str">
            <v>DZINTARS GIRGENSONS</v>
          </cell>
        </row>
        <row r="192">
          <cell r="A192" t="str">
            <v>Dzintars Kronbergs</v>
          </cell>
        </row>
        <row r="193">
          <cell r="A193" t="str">
            <v>Dzintars Osis</v>
          </cell>
        </row>
        <row r="194">
          <cell r="A194" t="str">
            <v>ECO RUBBER</v>
          </cell>
        </row>
        <row r="195">
          <cell r="A195" t="str">
            <v>ECOVIS CONVENTS Law Office SIA</v>
          </cell>
        </row>
        <row r="196">
          <cell r="A196" t="str">
            <v>EDDI SIA</v>
          </cell>
        </row>
        <row r="197">
          <cell r="A197" t="str">
            <v>Eden Springs Latvia SIA</v>
          </cell>
        </row>
        <row r="198">
          <cell r="A198" t="str">
            <v>Edīte Johansone</v>
          </cell>
        </row>
        <row r="199">
          <cell r="A199" t="str">
            <v>Edmunda Veizāna deju skola IK</v>
          </cell>
        </row>
        <row r="200">
          <cell r="A200" t="str">
            <v>EDMUNDS VEIZĀNS Modes deju studija IK</v>
          </cell>
        </row>
        <row r="201">
          <cell r="A201" t="str">
            <v>EDVANS SIA</v>
          </cell>
        </row>
        <row r="202">
          <cell r="A202" t="str">
            <v>EDVEST  SIA</v>
          </cell>
        </row>
        <row r="203">
          <cell r="A203" t="str">
            <v>EGO projekts SIA</v>
          </cell>
        </row>
        <row r="204">
          <cell r="A204" t="str">
            <v>EGONS SIMSONS</v>
          </cell>
        </row>
        <row r="205">
          <cell r="A205" t="str">
            <v>EIGERS PROJEKTI SIA</v>
          </cell>
        </row>
        <row r="206">
          <cell r="A206" t="str">
            <v>EIMURU TĪKLI SIA</v>
          </cell>
        </row>
        <row r="207">
          <cell r="A207" t="str">
            <v>Eiroeksperts SIA</v>
          </cell>
        </row>
        <row r="208">
          <cell r="A208" t="str">
            <v>EIROPARKS SIA</v>
          </cell>
        </row>
        <row r="209">
          <cell r="A209" t="str">
            <v>EIROPARKS SIA</v>
          </cell>
        </row>
        <row r="210">
          <cell r="A210" t="str">
            <v>EIROPAS CEĻOJUMU CENTRS SIA</v>
          </cell>
        </row>
        <row r="211">
          <cell r="A211" t="str">
            <v>EIROPAS FONDU KONSULTANTI SIA</v>
          </cell>
        </row>
        <row r="212">
          <cell r="A212" t="str">
            <v>EKOPARTNERIS SIA</v>
          </cell>
        </row>
        <row r="213">
          <cell r="A213" t="str">
            <v>EKSPRESS-ĀDAŽI SIA</v>
          </cell>
        </row>
        <row r="214">
          <cell r="A214" t="str">
            <v>Elektriķis SIA</v>
          </cell>
        </row>
        <row r="215">
          <cell r="A215" t="str">
            <v>ELEKTROMONTĀŽA SIA</v>
          </cell>
        </row>
        <row r="216">
          <cell r="A216" t="str">
            <v>ELĪNA PUĶITE</v>
          </cell>
        </row>
        <row r="217">
          <cell r="A217" t="str">
            <v>ELVA BALTIC SIA</v>
          </cell>
        </row>
        <row r="218">
          <cell r="A218" t="str">
            <v>ELVA BALTIC SIA</v>
          </cell>
        </row>
        <row r="219">
          <cell r="A219" t="str">
            <v>EMERALD BALTIC SIA</v>
          </cell>
        </row>
        <row r="220">
          <cell r="A220" t="str">
            <v>EMOSS SIA</v>
          </cell>
        </row>
        <row r="221">
          <cell r="A221" t="str">
            <v>EPS AS</v>
          </cell>
        </row>
        <row r="222">
          <cell r="A222" t="str">
            <v>ERGO Latvija AAS</v>
          </cell>
        </row>
        <row r="223">
          <cell r="A223" t="str">
            <v>ERGO Latvija dzīvība AAS</v>
          </cell>
        </row>
        <row r="224">
          <cell r="A224" t="str">
            <v>ERMITĀŽAS RISINĀJUMI SIA</v>
          </cell>
        </row>
        <row r="225">
          <cell r="A225" t="str">
            <v>Ervīns Musts</v>
          </cell>
        </row>
        <row r="226">
          <cell r="A226" t="str">
            <v>ESNET SIA</v>
          </cell>
        </row>
        <row r="227">
          <cell r="A227" t="str">
            <v>ET Sistēmas SIA</v>
          </cell>
        </row>
        <row r="228">
          <cell r="A228" t="str">
            <v>EuroLatCapital SIA</v>
          </cell>
        </row>
        <row r="229">
          <cell r="A229" t="str">
            <v>EVA-SERVISS SIA</v>
          </cell>
        </row>
        <row r="230">
          <cell r="A230" t="str">
            <v>Everita Kāpa</v>
          </cell>
        </row>
        <row r="231">
          <cell r="A231" t="str">
            <v>EVIJA BELICKA</v>
          </cell>
        </row>
        <row r="232">
          <cell r="A232" t="str">
            <v>EWE SIA</v>
          </cell>
        </row>
        <row r="233">
          <cell r="A233" t="str">
            <v>EXODUS TV IK</v>
          </cell>
        </row>
        <row r="234">
          <cell r="A234" t="str">
            <v>FABLEX SIA</v>
          </cell>
        </row>
        <row r="235">
          <cell r="A235" t="str">
            <v>FEELANCER SIA</v>
          </cell>
        </row>
        <row r="236">
          <cell r="A236" t="str">
            <v>FIAS SIA</v>
          </cell>
        </row>
        <row r="237">
          <cell r="A237" t="str">
            <v>FIDEA SIA</v>
          </cell>
        </row>
        <row r="238">
          <cell r="A238" t="str">
            <v>Filings.lv SIA</v>
          </cell>
        </row>
        <row r="239">
          <cell r="A239" t="str">
            <v>Filmu studija Jūra SIA</v>
          </cell>
        </row>
        <row r="240">
          <cell r="A240" t="str">
            <v>Finanšu akadēmija SIA</v>
          </cell>
        </row>
        <row r="241">
          <cell r="A241" t="str">
            <v>FIRM</v>
          </cell>
        </row>
        <row r="242">
          <cell r="A242" t="str">
            <v>Firma ELEKTRIĶIS SIA</v>
          </cell>
        </row>
        <row r="243">
          <cell r="A243" t="str">
            <v>FM Ādaži SIA</v>
          </cell>
        </row>
        <row r="244">
          <cell r="A244" t="str">
            <v>FN-SERVISS  SIA</v>
          </cell>
        </row>
        <row r="245">
          <cell r="A245" t="str">
            <v>FONTES VADĪBAS KONSULTĀCIJAS</v>
          </cell>
        </row>
        <row r="246">
          <cell r="A246" t="str">
            <v>FUNERAL SERVICE  Latvia SIA</v>
          </cell>
        </row>
        <row r="247">
          <cell r="A247" t="str">
            <v>Futbola klubs "Ādaži" Biedrība</v>
          </cell>
        </row>
        <row r="248">
          <cell r="A248" t="str">
            <v>G KOLIZEJS SIA</v>
          </cell>
        </row>
        <row r="249">
          <cell r="A249" t="str">
            <v>GAILĪTIS-G SIA</v>
          </cell>
        </row>
        <row r="250">
          <cell r="A250" t="str">
            <v>GALAPRO IK</v>
          </cell>
        </row>
        <row r="251">
          <cell r="A251" t="str">
            <v>Garāžu īpašnieku Kooperatīva sabiedrība "KADAGA 2"</v>
          </cell>
        </row>
        <row r="252">
          <cell r="A252" t="str">
            <v>Garkalnes novada dome</v>
          </cell>
        </row>
        <row r="253">
          <cell r="A253" t="str">
            <v>Garkalnes ūdens SIA</v>
          </cell>
        </row>
        <row r="254">
          <cell r="A254" t="str">
            <v>Gaujas centrs SIA</v>
          </cell>
        </row>
        <row r="255">
          <cell r="A255" t="str">
            <v>Gaujas Partnerība Biedrība</v>
          </cell>
        </row>
        <row r="256">
          <cell r="A256" t="str">
            <v>GCI Latvia SIA</v>
          </cell>
        </row>
        <row r="257">
          <cell r="A257" t="str">
            <v>Getliņi EKO SIA</v>
          </cell>
        </row>
        <row r="258">
          <cell r="A258" t="str">
            <v>GIBSONS GRUPA SIA</v>
          </cell>
        </row>
        <row r="259">
          <cell r="A259" t="str">
            <v>GJENSIDIGE Baltic AAS</v>
          </cell>
        </row>
        <row r="260">
          <cell r="A260" t="str">
            <v>GLUDI LM</v>
          </cell>
        </row>
        <row r="261">
          <cell r="A261" t="str">
            <v>Grāmatu draugs Pluss SIA</v>
          </cell>
        </row>
        <row r="262">
          <cell r="A262" t="str">
            <v>GRANDUS SIA</v>
          </cell>
        </row>
        <row r="263">
          <cell r="A263" t="str">
            <v>GRĪDU SERVISS SIA</v>
          </cell>
        </row>
        <row r="264">
          <cell r="A264" t="str">
            <v>GT 19 SIA</v>
          </cell>
        </row>
        <row r="265">
          <cell r="A265" t="str">
            <v>Guard 4 you SIA</v>
          </cell>
        </row>
        <row r="266">
          <cell r="A266" t="str">
            <v>Gulbenes novada dome</v>
          </cell>
        </row>
        <row r="267">
          <cell r="A267" t="str">
            <v>GUNĀRS AVOTIŅŠ</v>
          </cell>
        </row>
        <row r="268">
          <cell r="A268" t="str">
            <v>GUNDARS PĒTERSONS</v>
          </cell>
        </row>
        <row r="269">
          <cell r="A269" t="str">
            <v>Gundars Pētersons</v>
          </cell>
        </row>
        <row r="270">
          <cell r="A270" t="str">
            <v>Gunta Briede</v>
          </cell>
        </row>
        <row r="271">
          <cell r="A271" t="str">
            <v>Gunta Puriņa</v>
          </cell>
        </row>
        <row r="272">
          <cell r="A272" t="str">
            <v>Gunta Skuja</v>
          </cell>
        </row>
        <row r="273">
          <cell r="A273" t="str">
            <v>Guntis Martuzāns</v>
          </cell>
        </row>
        <row r="274">
          <cell r="A274" t="str">
            <v>Guntis Podziņš</v>
          </cell>
        </row>
        <row r="275">
          <cell r="A275" t="str">
            <v>Guntis Porietis</v>
          </cell>
        </row>
        <row r="276">
          <cell r="A276" t="str">
            <v>Guntra Ozola</v>
          </cell>
        </row>
        <row r="277">
          <cell r="A277" t="str">
            <v>GUSTIŅI SIA</v>
          </cell>
        </row>
        <row r="278">
          <cell r="A278" t="str">
            <v>ĢEO EKO RISINĀJUMI SIA</v>
          </cell>
        </row>
        <row r="279">
          <cell r="A279" t="str">
            <v>Ģirts Lūsis</v>
          </cell>
        </row>
        <row r="280">
          <cell r="A280" t="str">
            <v>HANSABANKA AS</v>
          </cell>
        </row>
        <row r="281">
          <cell r="A281" t="str">
            <v>HEDOS SIA</v>
          </cell>
        </row>
        <row r="282">
          <cell r="A282" t="str">
            <v>HIDRO-LAVERI SIA</v>
          </cell>
        </row>
        <row r="283">
          <cell r="A283" t="str">
            <v>HIDRO-LAVERI SIA</v>
          </cell>
        </row>
        <row r="284">
          <cell r="A284" t="str">
            <v>HPJ SIA</v>
          </cell>
        </row>
        <row r="285">
          <cell r="A285" t="str">
            <v>HUMS SIA</v>
          </cell>
        </row>
        <row r="286">
          <cell r="A286" t="str">
            <v xml:space="preserve">HUMUS SIA </v>
          </cell>
        </row>
        <row r="287">
          <cell r="A287" t="str">
            <v>HYDRO STADIUM ĀDAŽI SIA</v>
          </cell>
        </row>
        <row r="288">
          <cell r="A288" t="str">
            <v>I KLUBS SIA</v>
          </cell>
        </row>
        <row r="289">
          <cell r="A289" t="str">
            <v>Iekšlietu ministrijas Informācijas centrs</v>
          </cell>
        </row>
        <row r="290">
          <cell r="A290" t="str">
            <v>IEVA NEIKENA</v>
          </cell>
        </row>
        <row r="291">
          <cell r="A291" t="str">
            <v>Ieva Neikena</v>
          </cell>
        </row>
        <row r="292">
          <cell r="A292" t="str">
            <v>IEVA ROVE</v>
          </cell>
        </row>
        <row r="293">
          <cell r="A293" t="str">
            <v>Ieva Roze</v>
          </cell>
        </row>
        <row r="294">
          <cell r="A294" t="str">
            <v>IF P&amp;C Insurance AS</v>
          </cell>
        </row>
        <row r="295">
          <cell r="A295" t="str">
            <v>IGO FOMINS</v>
          </cell>
        </row>
        <row r="296">
          <cell r="A296" t="str">
            <v>Igors Spirkovičs</v>
          </cell>
        </row>
        <row r="297">
          <cell r="A297" t="str">
            <v>IKS SPORTS SIA</v>
          </cell>
        </row>
        <row r="298">
          <cell r="A298" t="str">
            <v>Ikšķiles novada pašvaldība</v>
          </cell>
        </row>
        <row r="299">
          <cell r="A299" t="str">
            <v>Ilze Celmiņa</v>
          </cell>
        </row>
        <row r="300">
          <cell r="A300" t="str">
            <v>Ilze Jansone</v>
          </cell>
        </row>
        <row r="301">
          <cell r="A301" t="str">
            <v>IMPEL SERVIKS  SIA</v>
          </cell>
        </row>
        <row r="302">
          <cell r="A302" t="str">
            <v>Inčukalna novada dome</v>
          </cell>
        </row>
        <row r="303">
          <cell r="A303" t="str">
            <v>Indrustrial partner service Ltd SIA</v>
          </cell>
        </row>
        <row r="304">
          <cell r="A304" t="str">
            <v>Ineta Lancmane</v>
          </cell>
        </row>
        <row r="305">
          <cell r="A305" t="str">
            <v>Infovide SIA</v>
          </cell>
        </row>
        <row r="306">
          <cell r="A306" t="str">
            <v>Inga Balaševa</v>
          </cell>
        </row>
        <row r="307">
          <cell r="A307" t="str">
            <v xml:space="preserve">Inga Pērkona </v>
          </cell>
        </row>
        <row r="308">
          <cell r="A308" t="str">
            <v>INGA SKRAUCE</v>
          </cell>
        </row>
        <row r="309">
          <cell r="A309" t="str">
            <v>INGRĪDA KNAPE-EGLE</v>
          </cell>
        </row>
        <row r="310">
          <cell r="A310" t="str">
            <v>INGRĪDA KNAPE-EGLE</v>
          </cell>
        </row>
        <row r="311">
          <cell r="A311" t="str">
            <v>INGUNA BAŠA, Latvijas Zvērinātu advokātu kolēģija</v>
          </cell>
        </row>
        <row r="312">
          <cell r="A312" t="str">
            <v>Ingūna Kozlovska</v>
          </cell>
        </row>
        <row r="313">
          <cell r="A313" t="str">
            <v>INKOMERC K SIA</v>
          </cell>
        </row>
        <row r="314">
          <cell r="A314" t="str">
            <v>INTER RINO SIA</v>
          </cell>
        </row>
        <row r="315">
          <cell r="A315" t="str">
            <v>INTERINFO LATVIJĀ SIA</v>
          </cell>
        </row>
        <row r="316">
          <cell r="A316" t="str">
            <v xml:space="preserve">INTRAD SIA </v>
          </cell>
        </row>
        <row r="317">
          <cell r="A317" t="str">
            <v xml:space="preserve">INTRAD SIA </v>
          </cell>
        </row>
        <row r="318">
          <cell r="A318" t="str">
            <v>INŽENIERTEHNISKĀS SISTĒMAS SIA</v>
          </cell>
        </row>
        <row r="319">
          <cell r="A319" t="str">
            <v>Irina Žuravļova</v>
          </cell>
        </row>
        <row r="320">
          <cell r="A320" t="str">
            <v>Irita Skaistkalne</v>
          </cell>
        </row>
        <row r="321">
          <cell r="A321" t="str">
            <v>IRVE SIA</v>
          </cell>
        </row>
        <row r="322">
          <cell r="A322" t="str">
            <v>Ivars Grīnbergs</v>
          </cell>
        </row>
        <row r="323">
          <cell r="A323" t="str">
            <v>IVETA MĀLIŅA</v>
          </cell>
        </row>
        <row r="324">
          <cell r="A324" t="str">
            <v>IVETA PELCMANE</v>
          </cell>
        </row>
        <row r="325">
          <cell r="A325" t="str">
            <v>IVONNA  SIA</v>
          </cell>
        </row>
        <row r="326">
          <cell r="A326" t="str">
            <v>Izolde Eņģele</v>
          </cell>
        </row>
        <row r="327">
          <cell r="A327" t="str">
            <v>Izteiksme SIA</v>
          </cell>
        </row>
        <row r="328">
          <cell r="A328" t="str">
            <v>J. PISLEGINS SIA</v>
          </cell>
        </row>
        <row r="329">
          <cell r="A329" t="str">
            <v>Jaguārs Ā,Garāžu īpašnieku kooperatīva sabiedrība</v>
          </cell>
        </row>
        <row r="330">
          <cell r="A330" t="str">
            <v>Jānis Čuders</v>
          </cell>
        </row>
        <row r="331">
          <cell r="A331" t="str">
            <v xml:space="preserve">Jānis Dundurs </v>
          </cell>
        </row>
        <row r="332">
          <cell r="A332" t="str">
            <v>Jānis Krasikovs</v>
          </cell>
        </row>
        <row r="333">
          <cell r="A333" t="str">
            <v>Jānis Kveders</v>
          </cell>
        </row>
        <row r="334">
          <cell r="A334" t="str">
            <v>Jānis Kveders</v>
          </cell>
        </row>
        <row r="335">
          <cell r="A335" t="str">
            <v>Jānis Pampe</v>
          </cell>
        </row>
        <row r="336">
          <cell r="A336" t="str">
            <v>JĀNIS STRAUTMANIS</v>
          </cell>
        </row>
        <row r="337">
          <cell r="A337" t="str">
            <v>Jānis Tiļčiks</v>
          </cell>
        </row>
        <row r="338">
          <cell r="A338" t="str">
            <v>JĀNIS UN PARTNERI SIA</v>
          </cell>
        </row>
        <row r="339">
          <cell r="A339" t="str">
            <v>JĀNIS VĪGUPS</v>
          </cell>
        </row>
        <row r="340">
          <cell r="A340" t="str">
            <v xml:space="preserve">Jauniešu koris "Mundus", Nereģistrēto iedzīvotāju grupa, Ieva Blumberga </v>
          </cell>
        </row>
        <row r="341">
          <cell r="A341" t="str">
            <v>Jēkabpils pilsētas pašvaldība</v>
          </cell>
        </row>
        <row r="342">
          <cell r="A342" t="str">
            <v>Jekaterina Kondrotenko</v>
          </cell>
        </row>
        <row r="343">
          <cell r="A343" t="str">
            <v>Jelgavas novada pašvaldība</v>
          </cell>
        </row>
        <row r="344">
          <cell r="A344" t="str">
            <v>Jelgavas pilsētas pašvaldības iestāde "Jelgavas izglītības pārvalde"</v>
          </cell>
        </row>
        <row r="345">
          <cell r="A345" t="str">
            <v>Jevgenijs Jeršovs</v>
          </cell>
        </row>
        <row r="346">
          <cell r="A346" t="str">
            <v>Jevgeņija Piņkovska</v>
          </cell>
        </row>
        <row r="347">
          <cell r="A347" t="str">
            <v>JS Company SIA</v>
          </cell>
        </row>
        <row r="348">
          <cell r="A348" t="str">
            <v>JUDĪTE VĒVELE</v>
          </cell>
        </row>
        <row r="349">
          <cell r="A349" t="str">
            <v>Juglas Dzīvnieku aizsardzības grupa, Biedrība</v>
          </cell>
        </row>
        <row r="350">
          <cell r="A350" t="str">
            <v>Junior Achievement-Young Enterprise Latvija Biedrība</v>
          </cell>
        </row>
        <row r="351">
          <cell r="A351" t="str">
            <v>Junior Achievement-Young Enterprise Latvijas Biznesa izglītības biedrība</v>
          </cell>
        </row>
        <row r="352">
          <cell r="A352" t="str">
            <v>JURA BABRA Leļļu teātris "TIMS" IK</v>
          </cell>
        </row>
        <row r="353">
          <cell r="A353" t="str">
            <v>JURIS EDVĪNS EGLĪTIS</v>
          </cell>
        </row>
        <row r="354">
          <cell r="A354" t="str">
            <v>Juris Millers</v>
          </cell>
        </row>
        <row r="355">
          <cell r="A355" t="str">
            <v>Juris Osis</v>
          </cell>
        </row>
        <row r="356">
          <cell r="A356" t="str">
            <v>JŪRMALAS MEŽAPARKI SIA</v>
          </cell>
        </row>
        <row r="357">
          <cell r="A357" t="str">
            <v>Jūrmalas pilsētas dome</v>
          </cell>
        </row>
        <row r="358">
          <cell r="A358" t="str">
            <v>JUS Biedrība</v>
          </cell>
        </row>
        <row r="359">
          <cell r="A359" t="str">
            <v>JZ SIA</v>
          </cell>
        </row>
        <row r="360">
          <cell r="A360" t="str">
            <v>KACIS SIA</v>
          </cell>
        </row>
        <row r="361">
          <cell r="A361" t="str">
            <v>KADAGA SIA</v>
          </cell>
        </row>
        <row r="362">
          <cell r="A362" t="str">
            <v>KAFE SERVISS SIA</v>
          </cell>
        </row>
        <row r="363">
          <cell r="A363" t="str">
            <v>Kalna Salas ZS</v>
          </cell>
        </row>
        <row r="364">
          <cell r="A364" t="str">
            <v>Karina Tinamagomedova</v>
          </cell>
        </row>
        <row r="365">
          <cell r="A365" t="str">
            <v>Karivero IK</v>
          </cell>
        </row>
        <row r="366">
          <cell r="A366" t="str">
            <v>Karlson Plus SIA</v>
          </cell>
        </row>
        <row r="367">
          <cell r="A367" t="str">
            <v>Karšu izdevniecība JĀŅU SĒTA SIA</v>
          </cell>
        </row>
        <row r="368">
          <cell r="A368" t="str">
            <v>Kazimirs Bunto</v>
          </cell>
        </row>
        <row r="369">
          <cell r="A369" t="str">
            <v>KIANG SIA</v>
          </cell>
        </row>
        <row r="370">
          <cell r="A370" t="str">
            <v>Kivi Real Estate SIA</v>
          </cell>
        </row>
        <row r="371">
          <cell r="A371" t="str">
            <v>Kjāra Musta</v>
          </cell>
        </row>
        <row r="372">
          <cell r="A372" t="str">
            <v>Klavieru darbnīca IK</v>
          </cell>
        </row>
        <row r="373">
          <cell r="A373" t="str">
            <v>KNIFS 4 SIA</v>
          </cell>
        </row>
        <row r="374">
          <cell r="A374" t="str">
            <v>KOCĒNU SPORTA KLUBS Biedrība</v>
          </cell>
        </row>
        <row r="375">
          <cell r="A375" t="str">
            <v>Komerccentrs DATI grupa SIA</v>
          </cell>
        </row>
        <row r="376">
          <cell r="A376" t="str">
            <v>Kompānija VITRUM SIA</v>
          </cell>
        </row>
        <row r="377">
          <cell r="A377" t="str">
            <v>KONDITOREJA SARACĒNS SIA</v>
          </cell>
        </row>
        <row r="378">
          <cell r="A378" t="str">
            <v>KONE lifti Latvija SIA</v>
          </cell>
        </row>
        <row r="379">
          <cell r="A379" t="str">
            <v>Koninklijke Nederlandsche Heidemaatschappij</v>
          </cell>
        </row>
        <row r="380">
          <cell r="A380" t="str">
            <v>KONSTANTĪNS URECKIS</v>
          </cell>
        </row>
        <row r="381">
          <cell r="A381" t="str">
            <v>Konstruktionsgruppe Bauen Latvija SIA</v>
          </cell>
        </row>
        <row r="382">
          <cell r="A382" t="str">
            <v>Korande SIA</v>
          </cell>
        </row>
        <row r="383">
          <cell r="A383" t="str">
            <v>Korupcijas novēršanas un apkarošanas birojs</v>
          </cell>
        </row>
        <row r="384">
          <cell r="A384" t="str">
            <v>KOTA.NU SIA</v>
          </cell>
        </row>
        <row r="385">
          <cell r="A385" t="str">
            <v xml:space="preserve">Krimuldas novada dome </v>
          </cell>
        </row>
        <row r="386">
          <cell r="A386" t="str">
            <v>KRIPTO SIA</v>
          </cell>
        </row>
        <row r="387">
          <cell r="A387" t="str">
            <v>KRISTAPS LĪCIS</v>
          </cell>
        </row>
        <row r="388">
          <cell r="A388" t="str">
            <v>KRISTBERGS SIA</v>
          </cell>
        </row>
        <row r="389">
          <cell r="A389" t="str">
            <v>KRŪZE UN LŪSIS SIA</v>
          </cell>
        </row>
        <row r="390">
          <cell r="A390" t="str">
            <v>KULTŪRAS CENTRS "ALTERO VILLA" Biedrība</v>
          </cell>
        </row>
        <row r="391">
          <cell r="A391" t="str">
            <v>KULTŪRAS INFORMĀCIJAS SISTĒMAS VA</v>
          </cell>
        </row>
        <row r="392">
          <cell r="A392" t="str">
            <v>KURI SIA</v>
          </cell>
        </row>
        <row r="393">
          <cell r="A393" t="str">
            <v xml:space="preserve">KURI SIA </v>
          </cell>
        </row>
        <row r="394">
          <cell r="A394" t="str">
            <v>KURT KOENING SIA</v>
          </cell>
        </row>
        <row r="395">
          <cell r="A395" t="str">
            <v>Kvadrs celtniecības firma SIA</v>
          </cell>
        </row>
        <row r="396">
          <cell r="A396" t="str">
            <v>Ķeguma novada dome</v>
          </cell>
        </row>
        <row r="397">
          <cell r="A397" t="str">
            <v>ĶEKAVAS NOVADA DOME</v>
          </cell>
        </row>
        <row r="398">
          <cell r="A398" t="str">
            <v>L TIPS SIA</v>
          </cell>
        </row>
        <row r="399">
          <cell r="A399" t="str">
            <v>L&amp;T SIA</v>
          </cell>
        </row>
        <row r="400">
          <cell r="A400" t="str">
            <v>Labas Vides Producenti SIA</v>
          </cell>
        </row>
        <row r="401">
          <cell r="A401" t="str">
            <v xml:space="preserve">Labochema - Latvija SIA </v>
          </cell>
        </row>
        <row r="402">
          <cell r="A402" t="str">
            <v>LAFINA AS</v>
          </cell>
        </row>
        <row r="403">
          <cell r="A403" t="str">
            <v>LAIK SIA</v>
          </cell>
        </row>
        <row r="404">
          <cell r="A404" t="str">
            <v>Laila Raiskuma</v>
          </cell>
        </row>
        <row r="405">
          <cell r="A405" t="str">
            <v>LAKRS Arodbiedrība</v>
          </cell>
        </row>
        <row r="406">
          <cell r="A406" t="str">
            <v>LAK-Y BĀRS SIA</v>
          </cell>
        </row>
        <row r="407">
          <cell r="A407" t="str">
            <v>LAMTER SIA</v>
          </cell>
        </row>
        <row r="408">
          <cell r="A408" t="str">
            <v>Lapidem SIA, Normunds Nerets</v>
          </cell>
        </row>
        <row r="409">
          <cell r="A409" t="str">
            <v>LATINTERTEHSERVISS  A/S</v>
          </cell>
        </row>
        <row r="410">
          <cell r="A410" t="str">
            <v>LATSFILMA SIA</v>
          </cell>
        </row>
        <row r="411">
          <cell r="A411" t="str">
            <v>LATTELECOM SIA</v>
          </cell>
        </row>
        <row r="412">
          <cell r="A412" t="str">
            <v>LATVENERGO AS</v>
          </cell>
        </row>
        <row r="413">
          <cell r="A413" t="str">
            <v>LATVIJA STATOIL SIA</v>
          </cell>
        </row>
        <row r="414">
          <cell r="A414" t="str">
            <v>Latvijas autoceļu uzturētājs AS</v>
          </cell>
        </row>
        <row r="415">
          <cell r="A415" t="str">
            <v>Latvijas autoceļu uzturētājs AS</v>
          </cell>
        </row>
        <row r="416">
          <cell r="A416" t="str">
            <v>Latvijas Badmintona federācija Biedrība</v>
          </cell>
        </row>
        <row r="417">
          <cell r="A417" t="str">
            <v>LATVIJAS BĒRNU FONDS</v>
          </cell>
        </row>
        <row r="418">
          <cell r="A418" t="str">
            <v>LATVIJAS DABAS FONDS Nodibinājums</v>
          </cell>
        </row>
        <row r="419">
          <cell r="A419" t="str">
            <v>LATVIJAS DRAMATURGU ĢILDE BIEDRĪBA</v>
          </cell>
        </row>
        <row r="420">
          <cell r="A420" t="str">
            <v>LATVIJAS FINIERIS AS</v>
          </cell>
        </row>
        <row r="421">
          <cell r="A421" t="str">
            <v>LATVIJAS GĀZE AS</v>
          </cell>
        </row>
        <row r="422">
          <cell r="A422" t="str">
            <v>Latvijas Grāmata SIA</v>
          </cell>
        </row>
        <row r="423">
          <cell r="A423" t="str">
            <v>LATVIJAS ĢEOLOĢIJAS INFORMĀCIJAS AĢENTŪRA.</v>
          </cell>
        </row>
        <row r="424">
          <cell r="A424" t="str">
            <v>LATVIJAS INVESTĪCIJU UN ATTĪSTĪBAS AĢENTŪRA VA</v>
          </cell>
        </row>
        <row r="425">
          <cell r="A425" t="str">
            <v>LATVIJAS KINOLOĢISKĀS fed. DZĪVNIEKU AIZSARDZĪBAS BIEDRĪBA</v>
          </cell>
        </row>
        <row r="426">
          <cell r="A426" t="str">
            <v>LATVIJAS KRĀJBANKA</v>
          </cell>
        </row>
        <row r="427">
          <cell r="A427" t="str">
            <v>LATVIJAS LAUKU KONSULTĀCIJU UN IZGLĪTĪBAS CENTRS SIA</v>
          </cell>
        </row>
        <row r="428">
          <cell r="A428" t="str">
            <v>LATVIJAS LEĻĻU TEĀTRIS SIA</v>
          </cell>
        </row>
        <row r="429">
          <cell r="A429" t="str">
            <v>LATVIJAS MOBILAIS TELEFONS SIA</v>
          </cell>
        </row>
        <row r="430">
          <cell r="A430" t="str">
            <v>Latvijas Nacionālā arhīva Siguldas zonālais arhīvs</v>
          </cell>
        </row>
        <row r="431">
          <cell r="A431" t="str">
            <v>LATVIJAS PASTS VAS</v>
          </cell>
        </row>
        <row r="432">
          <cell r="A432" t="str">
            <v>Latvijas Pašvaldību savienība Biedrība</v>
          </cell>
        </row>
        <row r="433">
          <cell r="A433" t="str">
            <v>Latvijas Republikas Kultūras ministrija</v>
          </cell>
        </row>
        <row r="434">
          <cell r="A434" t="str">
            <v>Latvijas Republikas Valsts Kase</v>
          </cell>
        </row>
        <row r="435">
          <cell r="A435" t="str">
            <v>Latvijas rūpnieku tehniskās drošības ekspertu apvienība SIA</v>
          </cell>
        </row>
        <row r="436">
          <cell r="A436" t="str">
            <v>LATVIJAS TĀLRUNIS SIA</v>
          </cell>
        </row>
        <row r="437">
          <cell r="A437" t="str">
            <v>LATVIJAS VALSTS CEĻI VAS</v>
          </cell>
        </row>
        <row r="438">
          <cell r="A438" t="str">
            <v>LATVIJAS VIDES,ĢEOLOĢIJAS UNMETERELOĢIJAS AĢENTŪRA VA</v>
          </cell>
        </row>
        <row r="439">
          <cell r="A439" t="str">
            <v>LAURA EGLĪTE</v>
          </cell>
        </row>
        <row r="440">
          <cell r="A440" t="str">
            <v>LAURA LŪSE</v>
          </cell>
        </row>
        <row r="441">
          <cell r="A441" t="str">
            <v>LBS-Konsultants SIA</v>
          </cell>
        </row>
        <row r="442">
          <cell r="A442" t="str">
            <v>Leader Media SIA</v>
          </cell>
        </row>
        <row r="443">
          <cell r="A443" t="str">
            <v>LEĢENDA GOLD SIA</v>
          </cell>
        </row>
        <row r="444">
          <cell r="A444" t="str">
            <v>LEJĀŅI SIA</v>
          </cell>
        </row>
        <row r="445">
          <cell r="A445" t="str">
            <v>LeKS-auto SIA</v>
          </cell>
        </row>
        <row r="446">
          <cell r="A446" t="str">
            <v>LERIX SIA</v>
          </cell>
        </row>
        <row r="447">
          <cell r="A447" t="str">
            <v>LETA SIA</v>
          </cell>
        </row>
        <row r="448">
          <cell r="A448" t="str">
            <v>LETCLEAN SIA</v>
          </cell>
        </row>
        <row r="449">
          <cell r="A449" t="str">
            <v>LEV Invest Projektēšanas un investīciju kompānija SIA</v>
          </cell>
        </row>
        <row r="450">
          <cell r="A450" t="str">
            <v>Liduga SIA</v>
          </cell>
        </row>
        <row r="451">
          <cell r="A451" t="str">
            <v>LIELAIS LAUKS SIA</v>
          </cell>
        </row>
        <row r="452">
          <cell r="A452" t="str">
            <v>Lielvārds SIA</v>
          </cell>
        </row>
        <row r="453">
          <cell r="A453" t="str">
            <v>Liene Krūze</v>
          </cell>
        </row>
        <row r="454">
          <cell r="A454" t="str">
            <v>LIEPĀJAS LEĻĻU TEĀTRIS SIA</v>
          </cell>
        </row>
        <row r="455">
          <cell r="A455" t="str">
            <v>Līga Cipruse</v>
          </cell>
        </row>
        <row r="456">
          <cell r="A456" t="str">
            <v>Līga Suvorova</v>
          </cell>
        </row>
        <row r="457">
          <cell r="A457" t="str">
            <v>Limbažu novada pašvaldība</v>
          </cell>
        </row>
        <row r="458">
          <cell r="A458" t="str">
            <v>LINDA CINTIŅA</v>
          </cell>
        </row>
        <row r="459">
          <cell r="A459" t="str">
            <v>LINDA KALNIŅA</v>
          </cell>
        </row>
        <row r="460">
          <cell r="A460" t="str">
            <v>Linda Mocebekere, Sociālo tehnoloģiju augstskola SIA</v>
          </cell>
        </row>
        <row r="461">
          <cell r="A461" t="str">
            <v>LĪNIJAS SIA</v>
          </cell>
        </row>
        <row r="462">
          <cell r="A462" t="str">
            <v>LIVLAND SIA</v>
          </cell>
        </row>
        <row r="463">
          <cell r="A463" t="str">
            <v>LIW SPA salons SIA</v>
          </cell>
        </row>
        <row r="464">
          <cell r="A464" t="str">
            <v>LPP/LC Partija</v>
          </cell>
        </row>
        <row r="465">
          <cell r="A465" t="str">
            <v>LR AIZSARDZĪBAS MINISTRIJA</v>
          </cell>
        </row>
        <row r="466">
          <cell r="A466" t="str">
            <v>LR AIZSARDZĪBAS MINISTRIJAS NACIONĀLO BRUŅOTO SPĒKU RNC</v>
          </cell>
        </row>
        <row r="467">
          <cell r="A467" t="str">
            <v>LR IeM Valsts policijas Rīgas reģiona pārvalde</v>
          </cell>
        </row>
        <row r="468">
          <cell r="A468" t="str">
            <v>LR Izglītības un zinātnes ministrija</v>
          </cell>
        </row>
        <row r="469">
          <cell r="A469" t="str">
            <v>LR KULTŪRAS MINISTRIJA</v>
          </cell>
        </row>
        <row r="470">
          <cell r="A470" t="str">
            <v>LR LABKLĀJĪBAS MINISTRIJA</v>
          </cell>
        </row>
        <row r="471">
          <cell r="A471" t="str">
            <v>LR VALSTS KASE</v>
          </cell>
        </row>
        <row r="472">
          <cell r="A472" t="str">
            <v>LR VIDES MINISTRIJA</v>
          </cell>
        </row>
        <row r="473">
          <cell r="A473" t="str">
            <v>Ludzas novada pašvaldība</v>
          </cell>
        </row>
        <row r="474">
          <cell r="A474" t="str">
            <v>LURSOFT IT  SIA</v>
          </cell>
        </row>
        <row r="475">
          <cell r="A475" t="str">
            <v>M. Rožlapas iedzīvotāji - Nereģistrētas iedzīvotāju grupas</v>
          </cell>
        </row>
        <row r="476">
          <cell r="A476" t="str">
            <v>M-2 SIA</v>
          </cell>
        </row>
        <row r="477">
          <cell r="A477" t="str">
            <v>Madonas novada pašvaldība</v>
          </cell>
        </row>
        <row r="478">
          <cell r="A478" t="str">
            <v>MAGISTRE VITAE SIA</v>
          </cell>
        </row>
        <row r="479">
          <cell r="A479" t="str">
            <v>MAGNUM NT  SIA</v>
          </cell>
        </row>
        <row r="480">
          <cell r="A480" t="str">
            <v>MAILMASTER SIA</v>
          </cell>
        </row>
        <row r="481">
          <cell r="A481" t="str">
            <v>MAKŠĶERNIEKU KLUBS PASAULE SIA</v>
          </cell>
        </row>
        <row r="482">
          <cell r="A482" t="str">
            <v>MANTRA SIA</v>
          </cell>
        </row>
        <row r="483">
          <cell r="A483" t="str">
            <v>MARINA DANGO</v>
          </cell>
        </row>
        <row r="484">
          <cell r="A484" t="str">
            <v>MARIO MM SIA</v>
          </cell>
        </row>
        <row r="485">
          <cell r="A485" t="str">
            <v>MĀRIS PODNIEKS</v>
          </cell>
        </row>
        <row r="486">
          <cell r="A486" t="str">
            <v>Mark IT Latvija</v>
          </cell>
        </row>
        <row r="487">
          <cell r="A487" t="str">
            <v>Mārtiņš Osis</v>
          </cell>
        </row>
        <row r="488">
          <cell r="A488" t="str">
            <v>Mārupes novada dome</v>
          </cell>
        </row>
        <row r="489">
          <cell r="A489" t="str">
            <v>Mazajiem Ādažniekiem - Nereģistrēta iedzīvotāju grupa</v>
          </cell>
        </row>
        <row r="490">
          <cell r="A490" t="str">
            <v>McĀbols poligrāfija SIA</v>
          </cell>
        </row>
        <row r="491">
          <cell r="A491" t="str">
            <v>MEBEKOM SIA</v>
          </cell>
        </row>
        <row r="492">
          <cell r="A492" t="str">
            <v>MĒBEĻU DIZAINA FABRIKA SIA</v>
          </cell>
        </row>
        <row r="493">
          <cell r="A493" t="str">
            <v>MĒBEĻU GRUPA SIA</v>
          </cell>
        </row>
        <row r="494">
          <cell r="A494" t="str">
            <v>Medida-Latvija SIA</v>
          </cell>
        </row>
        <row r="495">
          <cell r="A495" t="str">
            <v>MELIORPROJEKTS VSIA</v>
          </cell>
        </row>
        <row r="496">
          <cell r="A496" t="str">
            <v>Menerega Baltic SIA</v>
          </cell>
        </row>
        <row r="497">
          <cell r="A497" t="str">
            <v>Menerga Rīga SIA</v>
          </cell>
        </row>
        <row r="498">
          <cell r="A498" t="str">
            <v>Mērniecības Datu Centrs SIA</v>
          </cell>
        </row>
        <row r="499">
          <cell r="A499" t="str">
            <v>Mēs Jaunbērziņiem - Nereģistrēta iedzīvotāju grupa</v>
          </cell>
        </row>
        <row r="500">
          <cell r="A500" t="str">
            <v>Mēs Jaunbērziņiem, Diāna Taube</v>
          </cell>
        </row>
        <row r="501">
          <cell r="A501" t="str">
            <v>MID BALTIC REALTY filiāle SIA</v>
          </cell>
        </row>
        <row r="502">
          <cell r="A502" t="str">
            <v>MIKROKODS SIA</v>
          </cell>
        </row>
        <row r="503">
          <cell r="A503" t="str">
            <v>MINAPA SIA</v>
          </cell>
        </row>
        <row r="504">
          <cell r="A504" t="str">
            <v>Mirdza Emsiņa</v>
          </cell>
        </row>
        <row r="505">
          <cell r="A505" t="str">
            <v>MKLA Sia</v>
          </cell>
        </row>
        <row r="506">
          <cell r="A506" t="str">
            <v>Modris Krūmiņš</v>
          </cell>
        </row>
        <row r="507">
          <cell r="A507" t="str">
            <v xml:space="preserve">Modris Nuka </v>
          </cell>
        </row>
        <row r="508">
          <cell r="A508" t="str">
            <v>MODUS-R SIA</v>
          </cell>
        </row>
        <row r="509">
          <cell r="A509" t="str">
            <v>MONESIS SIA</v>
          </cell>
        </row>
        <row r="510">
          <cell r="A510" t="str">
            <v>MONITORINGS GJ SIA</v>
          </cell>
        </row>
        <row r="511">
          <cell r="A511" t="str">
            <v>MUDURI SIA</v>
          </cell>
        </row>
        <row r="512">
          <cell r="A512" t="str">
            <v>MULTIMARK SIA</v>
          </cell>
        </row>
        <row r="513">
          <cell r="A513" t="str">
            <v>MUNCY SIA</v>
          </cell>
        </row>
        <row r="514">
          <cell r="A514" t="str">
            <v>Mūsu mērnieks SIA</v>
          </cell>
        </row>
        <row r="515">
          <cell r="A515" t="str">
            <v>Mūzika Baltika SIA</v>
          </cell>
        </row>
        <row r="516">
          <cell r="A516" t="str">
            <v>MŪZIKAS KOLEKCIJA IK</v>
          </cell>
        </row>
        <row r="517">
          <cell r="A517" t="str">
            <v xml:space="preserve">N&amp;D SIA </v>
          </cell>
        </row>
        <row r="518">
          <cell r="A518" t="str">
            <v xml:space="preserve">Nauris Eglītis </v>
          </cell>
        </row>
        <row r="519">
          <cell r="A519" t="str">
            <v xml:space="preserve">NAVIN SIA </v>
          </cell>
        </row>
        <row r="520">
          <cell r="A520" t="str">
            <v>NEATKARĪGIE PROJEKTI Biedrība</v>
          </cell>
        </row>
        <row r="521">
          <cell r="A521" t="str">
            <v>NEKUSTAMO ĪPAŠUMU SABIEDRĪBA TEMPS SIA</v>
          </cell>
        </row>
        <row r="522">
          <cell r="A522" t="str">
            <v>NEKUSTAMO ĪPAŠUMU SERVISS SIA</v>
          </cell>
        </row>
        <row r="523">
          <cell r="A523" t="str">
            <v>Nereģistrēta iedzīvotāju grupa " Kultūras censoņi"</v>
          </cell>
        </row>
        <row r="524">
          <cell r="A524" t="str">
            <v>NETT SIA</v>
          </cell>
        </row>
        <row r="525">
          <cell r="A525" t="str">
            <v>NEWS AGENCY SIA</v>
          </cell>
        </row>
        <row r="526">
          <cell r="A526" t="str">
            <v>NEXT SIA</v>
          </cell>
        </row>
        <row r="527">
          <cell r="A527" t="str">
            <v>Nikolajs Ņesterovs</v>
          </cell>
        </row>
        <row r="528">
          <cell r="A528" t="str">
            <v>NIPPON AUTO SIA</v>
          </cell>
        </row>
        <row r="529">
          <cell r="A529" t="str">
            <v>NODARBINĀTĪBAS VALSTS AĢENTŪRA Rīgas reģionālā filiāle</v>
          </cell>
        </row>
        <row r="530">
          <cell r="A530" t="str">
            <v>Nodibinājums "Latvijas Bērnu fonds"</v>
          </cell>
        </row>
        <row r="531">
          <cell r="A531" t="str">
            <v xml:space="preserve">Nora Zviedre </v>
          </cell>
        </row>
        <row r="532">
          <cell r="A532" t="str">
            <v>NORDE SIA</v>
          </cell>
        </row>
        <row r="533">
          <cell r="A533" t="str">
            <v>NORTS SIA</v>
          </cell>
        </row>
        <row r="534">
          <cell r="A534" t="str">
            <v>NV Stils</v>
          </cell>
        </row>
        <row r="535">
          <cell r="A535" t="str">
            <v>Ogres novada pašvaldība</v>
          </cell>
        </row>
        <row r="536">
          <cell r="A536" t="str">
            <v>OJĀRS JANSONS</v>
          </cell>
        </row>
        <row r="537">
          <cell r="A537" t="str">
            <v>Olaines novada pašvaldība</v>
          </cell>
        </row>
        <row r="538">
          <cell r="A538" t="str">
            <v>ORTEGA SIA</v>
          </cell>
        </row>
        <row r="539">
          <cell r="A539" t="str">
            <v>Paspārne Biedrība Krīzes centrs ģimenēm ar bērniem</v>
          </cell>
        </row>
        <row r="540">
          <cell r="A540" t="str">
            <v>PATNIS UN PARTNERI SIA</v>
          </cell>
        </row>
        <row r="541">
          <cell r="A541" t="str">
            <v>Pētergailis SIA</v>
          </cell>
        </row>
        <row r="542">
          <cell r="A542" t="str">
            <v>Pēteris Balzāns</v>
          </cell>
        </row>
        <row r="543">
          <cell r="A543" t="str">
            <v>Pēteris Špakovs</v>
          </cell>
        </row>
        <row r="544">
          <cell r="A544" t="str">
            <v>Pētnieku darbnīca SIA</v>
          </cell>
        </row>
        <row r="545">
          <cell r="A545" t="str">
            <v>Pierīgas izglītības, kultūras un sporta pārvalde</v>
          </cell>
        </row>
        <row r="546">
          <cell r="A546" t="str">
            <v>PILSONĪBAS UN MIGRĀCIJAS LIETU PĀRVALDE</v>
          </cell>
        </row>
        <row r="547">
          <cell r="A547" t="str">
            <v>PLATFORMA SIA</v>
          </cell>
        </row>
        <row r="548">
          <cell r="A548" t="str">
            <v>Plūsma SIA</v>
          </cell>
        </row>
        <row r="549">
          <cell r="A549" t="str">
            <v>PĻAVNIEKI BSAC</v>
          </cell>
        </row>
        <row r="550">
          <cell r="A550" t="str">
            <v>Podnieku kaimiņi, Nereģistrēto iedzīvotāju grupa, Ernests Dreimanis</v>
          </cell>
        </row>
        <row r="551">
          <cell r="A551" t="str">
            <v>POST TEHNOLOGIES LATVIA SIA</v>
          </cell>
        </row>
        <row r="552">
          <cell r="A552" t="str">
            <v>PRĀNO KO SIA</v>
          </cell>
        </row>
        <row r="553">
          <cell r="A553" t="str">
            <v>Priekules novada dome</v>
          </cell>
        </row>
        <row r="554">
          <cell r="A554" t="str">
            <v>PRIVĀTĀ VIDUSSKOLA ĀBVS biedrība</v>
          </cell>
        </row>
        <row r="555">
          <cell r="A555" t="str">
            <v>PROGRESSIO, Nereģistrēto iedzīvotāju grupa, Inga Skrauce</v>
          </cell>
        </row>
        <row r="556">
          <cell r="A556" t="str">
            <v>PUTNU BALLE IK</v>
          </cell>
        </row>
        <row r="557">
          <cell r="A557" t="str">
            <v>QPD Latvija SIA</v>
          </cell>
        </row>
        <row r="558">
          <cell r="A558" t="str">
            <v>R.Grūbes Konsultāciju birojs SIA</v>
          </cell>
        </row>
        <row r="559">
          <cell r="A559" t="str">
            <v>Radošu speciālistu grupa, Nereģistrēto iedzīvotāju grupa, Līga Ermansone</v>
          </cell>
        </row>
        <row r="560">
          <cell r="A560" t="str">
            <v>Raimonds Zaķis</v>
          </cell>
        </row>
        <row r="561">
          <cell r="A561" t="str">
            <v>Raitis Sirmais</v>
          </cell>
        </row>
        <row r="562">
          <cell r="A562" t="str">
            <v>RAUTAKESKO AS</v>
          </cell>
        </row>
        <row r="563">
          <cell r="A563" t="str">
            <v>RDL Mīzikas Centrs SIA</v>
          </cell>
        </row>
        <row r="564">
          <cell r="A564" t="str">
            <v>RDL SIA</v>
          </cell>
        </row>
        <row r="565">
          <cell r="A565" t="str">
            <v>Regīna Petkuse</v>
          </cell>
        </row>
        <row r="566">
          <cell r="A566" t="str">
            <v>Reģionālie projekti SIA</v>
          </cell>
        </row>
        <row r="567">
          <cell r="A567" t="str">
            <v>Reģionu Partija Politiskā partija</v>
          </cell>
        </row>
        <row r="568">
          <cell r="A568" t="str">
            <v>REKLĀMAS AĢENTŪRA ALFA CENTRS SIA</v>
          </cell>
        </row>
        <row r="569">
          <cell r="A569" t="str">
            <v>Rekrutēšanas un jaunsardzes centrs</v>
          </cell>
        </row>
        <row r="570">
          <cell r="A570" t="str">
            <v>RELAKS TŪRE</v>
          </cell>
        </row>
        <row r="571">
          <cell r="A571" t="str">
            <v>REMARKS INŽENIERU TĪKLI SIA</v>
          </cell>
        </row>
        <row r="572">
          <cell r="A572" t="str">
            <v>REMARKS NEKUSTAMIE ĪPAŠUMI SIA</v>
          </cell>
        </row>
        <row r="573">
          <cell r="A573" t="str">
            <v>Remeos SIA</v>
          </cell>
        </row>
        <row r="574">
          <cell r="A574" t="str">
            <v>Remido SIA</v>
          </cell>
        </row>
        <row r="575">
          <cell r="A575" t="str">
            <v xml:space="preserve">RENESCO SIA </v>
          </cell>
        </row>
        <row r="576">
          <cell r="A576" t="str">
            <v>Restcom SIA</v>
          </cell>
        </row>
        <row r="577">
          <cell r="A577" t="str">
            <v>Rēzeknes gaļas kombināts SIA</v>
          </cell>
        </row>
        <row r="578">
          <cell r="A578" t="str">
            <v>RĒZEKNES PILSĒTAS KULTŪRAS NAMS</v>
          </cell>
        </row>
        <row r="579">
          <cell r="A579" t="str">
            <v>RG INVEST SIA</v>
          </cell>
        </row>
        <row r="580">
          <cell r="A580" t="str">
            <v>RIAS SIA</v>
          </cell>
        </row>
        <row r="581">
          <cell r="A581" t="str">
            <v>RIAS SIA</v>
          </cell>
        </row>
        <row r="582">
          <cell r="A582" t="str">
            <v>RIDEMO SIA</v>
          </cell>
        </row>
        <row r="583">
          <cell r="A583" t="str">
            <v>Riebiņu novada dome</v>
          </cell>
        </row>
        <row r="584">
          <cell r="A584" t="str">
            <v>RIGABURGER SIA</v>
          </cell>
        </row>
        <row r="585">
          <cell r="A585" t="str">
            <v>RĪGAS APRIŅĶA AVĪZE SIA</v>
          </cell>
        </row>
        <row r="586">
          <cell r="A586" t="str">
            <v>RĪGAS CEĻA BŪVE SIA</v>
          </cell>
        </row>
        <row r="587">
          <cell r="A587" t="str">
            <v>Rīgas domes Izglītības, kultūras un sporta departaments</v>
          </cell>
        </row>
        <row r="588">
          <cell r="A588" t="str">
            <v>RĪGAS LAKU UN KRĀSU RŪPNĪCA SIA</v>
          </cell>
        </row>
        <row r="589">
          <cell r="A589" t="str">
            <v>Rīgas Pedagoģijas un izglītības vadības akadēmija</v>
          </cell>
        </row>
        <row r="590">
          <cell r="A590" t="str">
            <v>Rīgas piena kombināts AS</v>
          </cell>
        </row>
        <row r="591">
          <cell r="A591" t="str">
            <v>Rīgas pilsētas pašvaldības Informācijas tehnoloģiju centrs</v>
          </cell>
        </row>
        <row r="592">
          <cell r="A592" t="str">
            <v>Rīgas plānošanas reģions</v>
          </cell>
        </row>
        <row r="593">
          <cell r="A593" t="str">
            <v>RĪGAS RAJONA NOVADU APVIENĪBA PP</v>
          </cell>
        </row>
        <row r="594">
          <cell r="A594" t="str">
            <v>RĪGAS RAJONA PADOME</v>
          </cell>
        </row>
        <row r="595">
          <cell r="A595" t="str">
            <v>RĪGAS REĢIONA ATTĪSTĪBAS AĢENTŪRA NODIBINĀJUMS</v>
          </cell>
        </row>
        <row r="596">
          <cell r="A596" t="str">
            <v>Rīgas Tehniskā koledža</v>
          </cell>
        </row>
        <row r="597">
          <cell r="A597" t="str">
            <v>Rīgas Tehniskā koledža</v>
          </cell>
        </row>
        <row r="598">
          <cell r="A598" t="str">
            <v>Rīgas ūdens SIA</v>
          </cell>
        </row>
        <row r="599">
          <cell r="A599" t="str">
            <v>RĪGAS ZĪMOGU FABRIKA SIA</v>
          </cell>
        </row>
        <row r="600">
          <cell r="A600" t="str">
            <v xml:space="preserve">Ri-ki SIA </v>
          </cell>
        </row>
        <row r="601">
          <cell r="A601" t="str">
            <v>RIMPEKS KP SIA</v>
          </cell>
        </row>
        <row r="602">
          <cell r="A602" t="str">
            <v>RIPESS SIA</v>
          </cell>
        </row>
        <row r="603">
          <cell r="A603" t="str">
            <v>RITA DAĢE</v>
          </cell>
        </row>
        <row r="604">
          <cell r="A604" t="str">
            <v>Rita Makejeva</v>
          </cell>
        </row>
        <row r="605">
          <cell r="A605" t="str">
            <v>ROLVIKS SIA</v>
          </cell>
        </row>
        <row r="606">
          <cell r="A606" t="str">
            <v>Ronalds Jaunzems</v>
          </cell>
        </row>
        <row r="607">
          <cell r="A607" t="str">
            <v>Ropažu novada dome</v>
          </cell>
        </row>
        <row r="608">
          <cell r="A608" t="str">
            <v>RO-SEIDO</v>
          </cell>
        </row>
        <row r="609">
          <cell r="A609" t="str">
            <v>RŪĶIS BL IU</v>
          </cell>
        </row>
        <row r="610">
          <cell r="A610" t="str">
            <v>RUP SIA</v>
          </cell>
        </row>
        <row r="611">
          <cell r="A611" t="str">
            <v>Ruslans AG SIA</v>
          </cell>
        </row>
        <row r="612">
          <cell r="A612" t="str">
            <v>SADALES TĪKLS AS</v>
          </cell>
        </row>
        <row r="613">
          <cell r="A613" t="str">
            <v>Salacgrīvas novada dome</v>
          </cell>
        </row>
        <row r="614">
          <cell r="A614" t="str">
            <v>SALDUMU TIRDZNIECĪBA SIA</v>
          </cell>
        </row>
        <row r="615">
          <cell r="A615" t="str">
            <v>Saldus novada pašvaldība</v>
          </cell>
        </row>
        <row r="616">
          <cell r="A616" t="str">
            <v>SALONS STALLIS SIA</v>
          </cell>
        </row>
        <row r="617">
          <cell r="A617" t="str">
            <v>SAN Motors SIA</v>
          </cell>
        </row>
        <row r="618">
          <cell r="A618" t="str">
            <v>SANDA MEINARTE</v>
          </cell>
        </row>
        <row r="619">
          <cell r="A619" t="str">
            <v>SANISTAL SIA</v>
          </cell>
        </row>
        <row r="620">
          <cell r="A620" t="str">
            <v>Sanita Megere-Klevinska</v>
          </cell>
        </row>
        <row r="621">
          <cell r="A621" t="str">
            <v>SANTA 98 SIA</v>
          </cell>
        </row>
        <row r="622">
          <cell r="A622" t="str">
            <v>Sapņotājas - Nereģistrētas iedzīvotāju grupas</v>
          </cell>
        </row>
        <row r="623">
          <cell r="A623" t="str">
            <v>Sarmīte Baķe</v>
          </cell>
        </row>
        <row r="624">
          <cell r="A624" t="str">
            <v>Satina SIA</v>
          </cell>
        </row>
        <row r="625">
          <cell r="A625" t="str">
            <v>SATTVIKA IK</v>
          </cell>
        </row>
        <row r="626">
          <cell r="A626" t="str">
            <v>Saules Vilnis SIA</v>
          </cell>
        </row>
        <row r="627">
          <cell r="A627" t="str">
            <v>SAULKRASTU MEŽI SIA</v>
          </cell>
        </row>
        <row r="628">
          <cell r="A628" t="str">
            <v>Saulkrastu novada dome</v>
          </cell>
        </row>
        <row r="629">
          <cell r="A629" t="str">
            <v>Savstarpējo attiecību institūts Biedrība</v>
          </cell>
        </row>
        <row r="630">
          <cell r="A630" t="str">
            <v>SEB banka AS Siguldas filiāle</v>
          </cell>
        </row>
        <row r="631">
          <cell r="A631" t="str">
            <v>SEB bankas Āgenskalna filiāle AS</v>
          </cell>
        </row>
        <row r="632">
          <cell r="A632" t="str">
            <v>SEB Dzīvības apdrošināšana AAS</v>
          </cell>
        </row>
        <row r="633">
          <cell r="A633" t="str">
            <v>SEGA AC SIA</v>
          </cell>
        </row>
        <row r="634">
          <cell r="A634" t="str">
            <v>Sekura stils SIA</v>
          </cell>
        </row>
        <row r="635">
          <cell r="A635" t="str">
            <v>SELDING SIA</v>
          </cell>
        </row>
        <row r="636">
          <cell r="A636" t="str">
            <v>SENA-L SIA</v>
          </cell>
        </row>
        <row r="637">
          <cell r="A637" t="str">
            <v>Sergeju Ivanova</v>
          </cell>
        </row>
        <row r="638">
          <cell r="A638" t="str">
            <v>SETTING SIA</v>
          </cell>
        </row>
        <row r="639">
          <cell r="A639" t="str">
            <v>SIGULDAS LAUKU KONSULTĀCIJAS BIROJS filiāle SIA</v>
          </cell>
        </row>
        <row r="640">
          <cell r="A640" t="str">
            <v>Siguldas novada dome</v>
          </cell>
        </row>
        <row r="641">
          <cell r="A641" t="str">
            <v>SILTUMS JUMS SIA</v>
          </cell>
        </row>
        <row r="642">
          <cell r="A642" t="str">
            <v>Silvis Grīnbergs</v>
          </cell>
        </row>
        <row r="643">
          <cell r="A643" t="str">
            <v xml:space="preserve">Skrīveru Saldumi SIA </v>
          </cell>
        </row>
        <row r="644">
          <cell r="A644" t="str">
            <v>Sociālais aprūpes centrs "Baldone" SIA</v>
          </cell>
        </row>
        <row r="645">
          <cell r="A645" t="str">
            <v>SOLANO SIA</v>
          </cell>
        </row>
        <row r="646">
          <cell r="A646" t="str">
            <v>SOUND SYSTEMS SIA</v>
          </cell>
        </row>
        <row r="647">
          <cell r="A647" t="str">
            <v>SPĒKA PASAULE Biedrība</v>
          </cell>
        </row>
        <row r="648">
          <cell r="A648" t="str">
            <v>SPLENDIT SIA</v>
          </cell>
        </row>
        <row r="649">
          <cell r="A649" t="str">
            <v>SPORTA HALLE SIA</v>
          </cell>
        </row>
        <row r="650">
          <cell r="A650" t="str">
            <v>SPORTA KLUBS UPESCIEMS Biedrība</v>
          </cell>
        </row>
        <row r="651">
          <cell r="A651" t="str">
            <v>Sporta skola "Garkalne" Biedrība</v>
          </cell>
        </row>
        <row r="652">
          <cell r="A652" t="str">
            <v>Stopiņu novada dome</v>
          </cell>
        </row>
        <row r="653">
          <cell r="A653" t="str">
            <v>Strautkalni - Nereģistrētas iedzīvotāju grupas</v>
          </cell>
        </row>
        <row r="654">
          <cell r="A654" t="str">
            <v>STUDIO LV SIA</v>
          </cell>
        </row>
        <row r="655">
          <cell r="A655" t="str">
            <v>Subates Romas Katoļu draudzes Sociālās aprūpes iestāde " Miera nams"</v>
          </cell>
        </row>
        <row r="656">
          <cell r="A656" t="str">
            <v>Sun Re.public SIA</v>
          </cell>
        </row>
        <row r="657">
          <cell r="A657" t="str">
            <v>SVĒTKU AĢENTŪRA SANTA Biedrība</v>
          </cell>
        </row>
        <row r="658">
          <cell r="A658" t="str">
            <v>Svetlana Artemjeva</v>
          </cell>
        </row>
        <row r="659">
          <cell r="A659" t="str">
            <v>Swedbank Autoparku Vadība SIA</v>
          </cell>
        </row>
        <row r="660">
          <cell r="A660" t="str">
            <v>Šmitu deju skola SIA</v>
          </cell>
        </row>
        <row r="661">
          <cell r="A661" t="str">
            <v xml:space="preserve">T.T.R. SIA </v>
          </cell>
        </row>
        <row r="662">
          <cell r="A662" t="str">
            <v>Tamāra Kosmačeva</v>
          </cell>
        </row>
        <row r="663">
          <cell r="A663" t="str">
            <v>TATJANA AMOSOVA</v>
          </cell>
        </row>
        <row r="664">
          <cell r="A664" t="str">
            <v>TCB Sistēmas SIA</v>
          </cell>
        </row>
        <row r="665">
          <cell r="A665" t="str">
            <v>TELE MEDIA SIA</v>
          </cell>
        </row>
        <row r="666">
          <cell r="A666" t="str">
            <v>TIESU ADMINISTRĀCIJA</v>
          </cell>
        </row>
        <row r="667">
          <cell r="A667" t="str">
            <v>TietoEnator Alise SIA</v>
          </cell>
        </row>
        <row r="668">
          <cell r="A668" t="str">
            <v>TILTS SIA</v>
          </cell>
        </row>
        <row r="669">
          <cell r="A669" t="str">
            <v xml:space="preserve">Tīrības nams SIA </v>
          </cell>
        </row>
        <row r="670">
          <cell r="A670" t="str">
            <v>TOPO SOLUTIONS SIA</v>
          </cell>
        </row>
        <row r="671">
          <cell r="A671" t="str">
            <v>Total Eesti OU</v>
          </cell>
        </row>
        <row r="672">
          <cell r="A672" t="str">
            <v xml:space="preserve">TRIO SMAIDA SIA </v>
          </cell>
        </row>
        <row r="673">
          <cell r="A673" t="str">
            <v>Troja SIA</v>
          </cell>
        </row>
        <row r="674">
          <cell r="A674" t="str">
            <v>TUKUMA GAĻAS CENTRS SIA</v>
          </cell>
        </row>
        <row r="675">
          <cell r="A675" t="str">
            <v>Tukuma novada Izglītības pārvalde</v>
          </cell>
        </row>
        <row r="676">
          <cell r="A676" t="str">
            <v>Ūdensrozes Ādažu novada makšķernieku biedrība</v>
          </cell>
        </row>
        <row r="677">
          <cell r="A677" t="str">
            <v>UĢIS ROZE</v>
          </cell>
        </row>
        <row r="678">
          <cell r="A678" t="str">
            <v>UNI TOURS SIA</v>
          </cell>
        </row>
        <row r="679">
          <cell r="A679" t="str">
            <v>UNISERVIS SIA</v>
          </cell>
        </row>
        <row r="680">
          <cell r="A680" t="str">
            <v>UNIVERSS SIA</v>
          </cell>
        </row>
        <row r="681">
          <cell r="A681" t="str">
            <v>Valdis Lapiņš</v>
          </cell>
        </row>
        <row r="682">
          <cell r="A682" t="str">
            <v>Valdis Perro</v>
          </cell>
        </row>
        <row r="683">
          <cell r="A683" t="str">
            <v>VALEMAR SIA</v>
          </cell>
        </row>
        <row r="684">
          <cell r="A684" t="str">
            <v>Valentīna Nagle</v>
          </cell>
        </row>
        <row r="685">
          <cell r="A685" t="str">
            <v xml:space="preserve">VALKS SIA </v>
          </cell>
        </row>
        <row r="686">
          <cell r="A686" t="str">
            <v>Valmieras pilsētas pašvaldība</v>
          </cell>
        </row>
        <row r="687">
          <cell r="A687" t="str">
            <v>Valsts aizsardzības militāro objektu un iepirkumu centrs</v>
          </cell>
        </row>
        <row r="688">
          <cell r="A688" t="str">
            <v>VALSTS AUGU AIZSARDZĪBAS DIENESTS</v>
          </cell>
        </row>
        <row r="689">
          <cell r="A689" t="str">
            <v>VALSTS IZGLĪTĪBAS ATTĪSTĪBAS AĢENTŪRA</v>
          </cell>
        </row>
        <row r="690">
          <cell r="A690" t="str">
            <v>Valsts izglītības satura centrs</v>
          </cell>
        </row>
        <row r="691">
          <cell r="A691" t="str">
            <v>VALSTS PROBĀCIJAS DIENESTS Rīgas raj. TSV Salaspils fil</v>
          </cell>
        </row>
        <row r="692">
          <cell r="A692" t="str">
            <v>Valsts reģionālās attīstības aģentūra</v>
          </cell>
        </row>
        <row r="693">
          <cell r="A693" t="str">
            <v>VALSTS SOCIĀLĀS APDROŠINĀŠANAS AĢENTŪRA</v>
          </cell>
        </row>
        <row r="694">
          <cell r="A694" t="str">
            <v>Valsts sociālās aprūpes centrs "Rīga"</v>
          </cell>
        </row>
        <row r="695">
          <cell r="A695" t="str">
            <v>VALSTS ZEMES DIENESTS</v>
          </cell>
        </row>
        <row r="696">
          <cell r="A696" t="str">
            <v>Varakļānu novada pašvaldība</v>
          </cell>
        </row>
        <row r="697">
          <cell r="A697" t="str">
            <v>VAS "Ceļu satiksmes drošības direkcija"</v>
          </cell>
        </row>
        <row r="698">
          <cell r="A698" t="str">
            <v>Vecāki - bērni - Nereģistrēta iedzīvotāju grupa</v>
          </cell>
        </row>
        <row r="699">
          <cell r="A699" t="str">
            <v>VECGAUJAS KOOPERATĪVĀ sabiedrība KS</v>
          </cell>
        </row>
        <row r="700">
          <cell r="A700" t="str">
            <v>VEC-KADERI Z/S</v>
          </cell>
        </row>
        <row r="701">
          <cell r="A701" t="str">
            <v>VEIJA SIA</v>
          </cell>
        </row>
        <row r="702">
          <cell r="A702" t="str">
            <v>Velta Skangale</v>
          </cell>
        </row>
        <row r="703">
          <cell r="A703" t="str">
            <v>VENDEN SIA</v>
          </cell>
        </row>
        <row r="704">
          <cell r="A704" t="str">
            <v>VENDOMATIC SIA</v>
          </cell>
        </row>
        <row r="705">
          <cell r="A705" t="str">
            <v>VENTMONTĀŽA SIA</v>
          </cell>
        </row>
        <row r="706">
          <cell r="A706" t="str">
            <v>Ventspils novada dome</v>
          </cell>
        </row>
        <row r="707">
          <cell r="A707" t="str">
            <v>Ventspils pilsētas dome Izglītības pārvalde</v>
          </cell>
        </row>
        <row r="708">
          <cell r="A708" t="str">
            <v>Vera Salieniece</v>
          </cell>
        </row>
        <row r="709">
          <cell r="A709" t="str">
            <v>Vērtēšanas Konsultantu grupa SIA</v>
          </cell>
        </row>
        <row r="710">
          <cell r="A710" t="str">
            <v>Vēsma Vālodze</v>
          </cell>
        </row>
        <row r="711">
          <cell r="A711" t="str">
            <v>Vestabalt SIA</v>
          </cell>
        </row>
        <row r="712">
          <cell r="A712" t="str">
            <v>VIDE EXPO IK</v>
          </cell>
        </row>
        <row r="713">
          <cell r="A713" t="str">
            <v>VIDES GEO SIA</v>
          </cell>
        </row>
        <row r="714">
          <cell r="A714" t="str">
            <v>VIDZEMES BIROJU GRUPA SIA</v>
          </cell>
        </row>
        <row r="715">
          <cell r="A715" t="str">
            <v xml:space="preserve">Vidzemes serviss SIA </v>
          </cell>
        </row>
        <row r="716">
          <cell r="A716" t="str">
            <v>Viesītes novada dome</v>
          </cell>
        </row>
        <row r="717">
          <cell r="A717" t="str">
            <v>VIESTURS EGLĪTIS</v>
          </cell>
        </row>
        <row r="718">
          <cell r="A718" t="str">
            <v>Vija Antone</v>
          </cell>
        </row>
        <row r="719">
          <cell r="A719" t="str">
            <v>VIJA DZINTARE</v>
          </cell>
        </row>
        <row r="720">
          <cell r="A720" t="str">
            <v>VIKTORIJA GŪTMANE</v>
          </cell>
        </row>
        <row r="721">
          <cell r="A721" t="str">
            <v>VIKTORS OSTROVSKIS</v>
          </cell>
        </row>
        <row r="722">
          <cell r="A722" t="str">
            <v>Vilnis Bogdanovs</v>
          </cell>
        </row>
        <row r="723">
          <cell r="A723" t="str">
            <v>Vilnis Jēkabsons</v>
          </cell>
        </row>
        <row r="724">
          <cell r="A724" t="str">
            <v>Viļakas novada dome</v>
          </cell>
        </row>
        <row r="725">
          <cell r="A725" t="str">
            <v>VIMLAT GROUP</v>
          </cell>
        </row>
        <row r="726">
          <cell r="A726" t="str">
            <v>VINDEKS SIA</v>
          </cell>
        </row>
        <row r="727">
          <cell r="A727" t="str">
            <v>Vīri kā ozoli, Nereģistrēto iedzīvotāju grupa, Juris Brīnums</v>
          </cell>
        </row>
        <row r="728">
          <cell r="A728" t="str">
            <v>VIRŠI-A AS</v>
          </cell>
        </row>
        <row r="729">
          <cell r="A729" t="str">
            <v>VISPĀRĒJĀS IZGLĪTĪBAS KVALITĀTES NOVĒRTĒŠANAS aģentūra</v>
          </cell>
        </row>
        <row r="730">
          <cell r="A730" t="str">
            <v>VISS PLUSĀ Sia</v>
          </cell>
        </row>
        <row r="731">
          <cell r="A731" t="str">
            <v>VITA mārkets SIA</v>
          </cell>
        </row>
        <row r="732">
          <cell r="A732" t="str">
            <v>Vitāliju Kondrašova</v>
          </cell>
        </row>
        <row r="733">
          <cell r="A733" t="str">
            <v>VLASTA STADLEROVA</v>
          </cell>
        </row>
        <row r="734">
          <cell r="A734" t="str">
            <v>VMT POINT SIA</v>
          </cell>
        </row>
        <row r="735">
          <cell r="A735" t="str">
            <v>VOLDEMĀRS SIA</v>
          </cell>
        </row>
        <row r="736">
          <cell r="A736" t="str">
            <v>VSKB Vide SIA</v>
          </cell>
        </row>
        <row r="737">
          <cell r="A737" t="str">
            <v>VVD SIA</v>
          </cell>
        </row>
        <row r="738">
          <cell r="A738" t="str">
            <v>WESEMANN SIA</v>
          </cell>
        </row>
        <row r="739">
          <cell r="A739" t="str">
            <v>X-ART SIA</v>
          </cell>
        </row>
        <row r="740">
          <cell r="A740" t="str">
            <v>YIT Tehsistem SIA</v>
          </cell>
        </row>
        <row r="741">
          <cell r="A741" t="str">
            <v xml:space="preserve">Zandis Musts </v>
          </cell>
        </row>
        <row r="742">
          <cell r="A742" t="str">
            <v>Zane Banka</v>
          </cell>
        </row>
        <row r="743">
          <cell r="A743" t="str">
            <v>Zane Savicka</v>
          </cell>
        </row>
        <row r="744">
          <cell r="A744" t="str">
            <v>ZELTA SMILTIS SIA</v>
          </cell>
        </row>
        <row r="745">
          <cell r="A745" t="str">
            <v>zemnieku saimniecība "Priedkalni A"</v>
          </cell>
        </row>
        <row r="746">
          <cell r="A746" t="str">
            <v>ZIEDOT Fonds</v>
          </cell>
        </row>
        <row r="747">
          <cell r="A747" t="str">
            <v>ZIEMEĻU NAFTA SIA</v>
          </cell>
        </row>
        <row r="748">
          <cell r="A748" t="str">
            <v>Zinaīda Ruskule</v>
          </cell>
        </row>
        <row r="749">
          <cell r="A749" t="str">
            <v>Zingus SIA</v>
          </cell>
        </row>
        <row r="750">
          <cell r="A750" t="str">
            <v>ZM KALVA Ceļojumu birojs</v>
          </cell>
        </row>
        <row r="751">
          <cell r="A751" t="str">
            <v>Kristīne Dadzīte</v>
          </cell>
        </row>
        <row r="752">
          <cell r="A752" t="str">
            <v>ZZ DATS SIA</v>
          </cell>
        </row>
        <row r="753">
          <cell r="A753" t="str">
            <v>Valsts meža dienests</v>
          </cell>
        </row>
        <row r="754">
          <cell r="A754" t="str">
            <v>Lilita Krūmiņa</v>
          </cell>
        </row>
        <row r="755">
          <cell r="A755" t="str">
            <v>Valters Sīpols</v>
          </cell>
        </row>
        <row r="756">
          <cell r="A756" t="str">
            <v>Miķelis Fišers</v>
          </cell>
        </row>
        <row r="757">
          <cell r="A757" t="str">
            <v>Kate Lukstiņa</v>
          </cell>
        </row>
        <row r="758">
          <cell r="A758" t="str">
            <v>Gunita Lukstiņa</v>
          </cell>
        </row>
        <row r="759">
          <cell r="A759" t="str">
            <v>Ieva Lukstiņa</v>
          </cell>
        </row>
        <row r="760">
          <cell r="A760" t="str">
            <v>Valērijs Bulāns</v>
          </cell>
        </row>
        <row r="761">
          <cell r="A761" t="str">
            <v>Imants Pētersons</v>
          </cell>
        </row>
        <row r="762">
          <cell r="A762" t="str">
            <v>LĀSA-100 SIA</v>
          </cell>
        </row>
        <row r="763">
          <cell r="A763" t="str">
            <v>VN BALTEZERS SIA</v>
          </cell>
        </row>
        <row r="764">
          <cell r="A764" t="str">
            <v>Biedrība "Montessori bērnu māja"</v>
          </cell>
        </row>
        <row r="765">
          <cell r="A765" t="str">
            <v>Inta Dagile</v>
          </cell>
        </row>
        <row r="766">
          <cell r="A766" t="str">
            <v>Engures novada Dome</v>
          </cell>
        </row>
        <row r="767">
          <cell r="A767" t="str">
            <v>Līguna SIA</v>
          </cell>
        </row>
        <row r="768">
          <cell r="A768" t="str">
            <v>Larisa Karpenko</v>
          </cell>
        </row>
        <row r="769">
          <cell r="A769" t="str">
            <v>FRESH ONE SIA</v>
          </cell>
        </row>
        <row r="770">
          <cell r="A770" t="str">
            <v xml:space="preserve">Rīgas pilsētas pašvaldības </v>
          </cell>
        </row>
        <row r="771">
          <cell r="A771" t="str">
            <v>Armands Krasts</v>
          </cell>
        </row>
        <row r="772">
          <cell r="A772" t="str">
            <v>Lolita Zandberga</v>
          </cell>
        </row>
        <row r="773">
          <cell r="A773" t="str">
            <v>Tamāra Šivare</v>
          </cell>
        </row>
        <row r="774">
          <cell r="A774" t="str">
            <v>Sigita Djubina</v>
          </cell>
        </row>
        <row r="775">
          <cell r="A775" t="str">
            <v>Diāna Kurzemviece</v>
          </cell>
        </row>
        <row r="776">
          <cell r="A776" t="str">
            <v>Ober Haus Real Estate SIA</v>
          </cell>
        </row>
        <row r="777">
          <cell r="A777" t="str">
            <v>Dagdas novada pašvaldība</v>
          </cell>
        </row>
        <row r="778">
          <cell r="A778" t="str">
            <v>Dace Felkere</v>
          </cell>
        </row>
        <row r="779">
          <cell r="A779" t="str">
            <v>Silvija Nora Kalniņa</v>
          </cell>
        </row>
        <row r="780">
          <cell r="A780" t="str">
            <v>Ģirts Darkevics</v>
          </cell>
        </row>
        <row r="781">
          <cell r="A781" t="str">
            <v>Sanda Tūtere</v>
          </cell>
        </row>
        <row r="782">
          <cell r="A782" t="str">
            <v>Jolanta Stērniniece</v>
          </cell>
        </row>
        <row r="783">
          <cell r="A783" t="str">
            <v>Svetlana Jansone</v>
          </cell>
        </row>
        <row r="784">
          <cell r="A784" t="str">
            <v>Ritvars Kristapaitis</v>
          </cell>
        </row>
        <row r="785">
          <cell r="A785" t="str">
            <v>Dace Šinkūna</v>
          </cell>
        </row>
        <row r="786">
          <cell r="A786" t="str">
            <v>Agnese Zdanovska</v>
          </cell>
        </row>
        <row r="787">
          <cell r="A787" t="str">
            <v xml:space="preserve">Jānis Prauliņš </v>
          </cell>
        </row>
        <row r="788">
          <cell r="A788" t="str">
            <v>Daiga Buhholce</v>
          </cell>
        </row>
        <row r="789">
          <cell r="A789" t="str">
            <v>Dace Pence</v>
          </cell>
        </row>
        <row r="790">
          <cell r="A790" t="str">
            <v>Andris Misiņš</v>
          </cell>
        </row>
        <row r="791">
          <cell r="A791" t="str">
            <v>Liāna Jurēvica</v>
          </cell>
        </row>
        <row r="792">
          <cell r="A792" t="str">
            <v>RANTZOWS SPORT SIA</v>
          </cell>
        </row>
        <row r="793">
          <cell r="A793" t="str">
            <v>Citadele banka A/S</v>
          </cell>
        </row>
        <row r="794">
          <cell r="A794" t="str">
            <v>LUKoil Baltija R  SIA</v>
          </cell>
        </row>
        <row r="795">
          <cell r="A795" t="str">
            <v>Nilex SIA</v>
          </cell>
        </row>
        <row r="796">
          <cell r="A796" t="str">
            <v>Indra Feldmane</v>
          </cell>
        </row>
        <row r="797">
          <cell r="A797" t="str">
            <v>Pārtikas drošības, dzīvnieku veselības un vides zinātnes institūts "BOIR"</v>
          </cell>
        </row>
        <row r="798">
          <cell r="A798" t="str">
            <v>Inga Briede</v>
          </cell>
        </row>
        <row r="799">
          <cell r="A799" t="str">
            <v>Fransa SIA</v>
          </cell>
        </row>
        <row r="800">
          <cell r="A800" t="str">
            <v>Jānis Upmalis</v>
          </cell>
        </row>
        <row r="801">
          <cell r="A801" t="str">
            <v>Gaujas mala SIA</v>
          </cell>
        </row>
        <row r="802">
          <cell r="A802" t="str">
            <v>Lattelecom Technology SIA</v>
          </cell>
        </row>
        <row r="803">
          <cell r="A803" t="str">
            <v>Vecumnieku novada dome</v>
          </cell>
        </row>
        <row r="804">
          <cell r="A804" t="str">
            <v>Aizkraukles novada pašvaldība</v>
          </cell>
        </row>
        <row r="805">
          <cell r="A805" t="str">
            <v>Lielvārdes novada pašvaldība</v>
          </cell>
        </row>
        <row r="806">
          <cell r="A806" t="str">
            <v>Ilgvars Pavlovskis</v>
          </cell>
        </row>
        <row r="807">
          <cell r="A807" t="str">
            <v>Sauna Katram SIA</v>
          </cell>
        </row>
        <row r="808">
          <cell r="A808" t="str">
            <v>APGĀDS IMANTA SIA</v>
          </cell>
        </row>
        <row r="809">
          <cell r="A809" t="str">
            <v>ASKATS SIA</v>
          </cell>
        </row>
        <row r="810">
          <cell r="A810" t="str">
            <v>K&amp;U SIA</v>
          </cell>
        </row>
        <row r="811">
          <cell r="A811" t="str">
            <v>SEB banka AS</v>
          </cell>
        </row>
        <row r="812">
          <cell r="A812" t="str">
            <v>Mazais Baltezers SIA</v>
          </cell>
        </row>
        <row r="813">
          <cell r="A813" t="str">
            <v>Ivars Titovs</v>
          </cell>
        </row>
        <row r="814">
          <cell r="A814" t="str">
            <v>Ādažu Nami SIA</v>
          </cell>
        </row>
        <row r="815">
          <cell r="A815" t="str">
            <v>Roberts Rihards Kronbergs</v>
          </cell>
        </row>
        <row r="816">
          <cell r="A816" t="str">
            <v>Rolands Rojs Kronbergs</v>
          </cell>
        </row>
        <row r="817">
          <cell r="A817" t="str">
            <v>Ingūna Kronberga</v>
          </cell>
        </row>
      </sheetData>
      <sheetData sheetId="2" refreshError="1"/>
      <sheetData sheetId="3" refreshError="1">
        <row r="3">
          <cell r="A3" t="str">
            <v>Līgumi-juridiskās personas</v>
          </cell>
        </row>
        <row r="4">
          <cell r="A4" t="str">
            <v>Līgumi-fiziskas personas</v>
          </cell>
        </row>
        <row r="5">
          <cell r="A5" t="str">
            <v>Līgumi par nomu (iznomātāji)</v>
          </cell>
        </row>
        <row r="6">
          <cell r="A6" t="str">
            <v>Līgumi-jur./fiz. personas (D)</v>
          </cell>
        </row>
        <row r="7">
          <cell r="A7" t="str">
            <v>Līgumi par nomu (nomnieki)</v>
          </cell>
        </row>
        <row r="8">
          <cell r="A8" t="str">
            <v>Zemes noma (nomnieki)</v>
          </cell>
        </row>
        <row r="9">
          <cell r="A9" t="str">
            <v>Vienošanās</v>
          </cell>
        </row>
        <row r="10">
          <cell r="A10" t="str">
            <v>Licences</v>
          </cell>
        </row>
        <row r="11">
          <cell r="A11" t="str">
            <v>Pirkuma līgumi</v>
          </cell>
        </row>
        <row r="12">
          <cell r="A12" t="str">
            <v>Aizņēmuma līgumi</v>
          </cell>
        </row>
        <row r="13">
          <cell r="A13" t="str">
            <v>Līgumi-celtn. un kapit.remonts</v>
          </cell>
        </row>
        <row r="14">
          <cell r="A14" t="str">
            <v>Kredītlīgumi ar Valsts Kasi</v>
          </cell>
        </row>
        <row r="15">
          <cell r="A15" t="str">
            <v>Līgumi - par materiālo atbildību</v>
          </cell>
        </row>
        <row r="16">
          <cell r="A16" t="str">
            <v>Uzņēmuma Līgums</v>
          </cell>
        </row>
        <row r="17">
          <cell r="A17" t="str">
            <v xml:space="preserve">Dāvinājuma (ziedojuma) </v>
          </cell>
        </row>
        <row r="18">
          <cell r="A18" t="str">
            <v>Personīgā transportlīdzekļa izmantošanas līgums</v>
          </cell>
        </row>
        <row r="33">
          <cell r="A33" t="str">
            <v>L</v>
          </cell>
        </row>
      </sheetData>
      <sheetData sheetId="4" refreshError="1">
        <row r="1">
          <cell r="A1">
            <v>0</v>
          </cell>
        </row>
        <row r="2">
          <cell r="A2" t="str">
            <v>Pieņemšanas-nodošanas akts</v>
          </cell>
        </row>
        <row r="3">
          <cell r="A3" t="str">
            <v>Akts</v>
          </cell>
        </row>
        <row r="4">
          <cell r="A4" t="str">
            <v>Lēmums</v>
          </cell>
        </row>
        <row r="5">
          <cell r="A5" t="str">
            <v>Izziņa</v>
          </cell>
        </row>
        <row r="6">
          <cell r="A6" t="str">
            <v>Tāme</v>
          </cell>
        </row>
        <row r="7">
          <cell r="A7" t="str">
            <v>Protokols</v>
          </cell>
        </row>
        <row r="8">
          <cell r="A8" t="str">
            <v>Pieteikuma veidlapas</v>
          </cell>
        </row>
        <row r="9">
          <cell r="A9" t="str">
            <v>Pilnvara</v>
          </cell>
        </row>
        <row r="10">
          <cell r="A10" t="str">
            <v>Pielikums</v>
          </cell>
        </row>
        <row r="11">
          <cell r="A11" t="str">
            <v>iesniegums</v>
          </cell>
        </row>
        <row r="12">
          <cell r="A12" t="str">
            <v>piedāvājums</v>
          </cell>
        </row>
        <row r="13">
          <cell r="A13" t="str">
            <v>Reģistrācijas apliecība</v>
          </cell>
        </row>
        <row r="14">
          <cell r="A14" t="str">
            <v>Rīkojums</v>
          </cell>
        </row>
        <row r="15">
          <cell r="A15" t="str">
            <v>Aizdevuma atmaksas grafiks</v>
          </cell>
        </row>
      </sheetData>
      <sheetData sheetId="5" refreshError="1">
        <row r="1">
          <cell r="A1">
            <v>0</v>
          </cell>
        </row>
        <row r="2">
          <cell r="A2" t="str">
            <v>par izdarīto darbu</v>
          </cell>
        </row>
        <row r="3">
          <cell r="A3" t="str">
            <v>pēc rēķina</v>
          </cell>
        </row>
        <row r="4">
          <cell r="A4" t="str">
            <v>mēnesī</v>
          </cell>
        </row>
        <row r="5">
          <cell r="A5" t="str">
            <v>pēc PPR</v>
          </cell>
        </row>
        <row r="6">
          <cell r="A6" t="str">
            <v>par reizi</v>
          </cell>
        </row>
        <row r="7">
          <cell r="A7" t="str">
            <v>mēnesī par km**2</v>
          </cell>
        </row>
        <row r="8">
          <cell r="A8" t="str">
            <v>pēc specifikācijas</v>
          </cell>
        </row>
        <row r="9">
          <cell r="A9" t="str">
            <v>gadā</v>
          </cell>
        </row>
        <row r="10">
          <cell r="A10" t="str">
            <v>stundā</v>
          </cell>
        </row>
        <row r="11">
          <cell r="A11" t="str">
            <v>par 1 bērnu</v>
          </cell>
        </row>
        <row r="12">
          <cell r="A12" t="str">
            <v>45 minūtes</v>
          </cell>
        </row>
        <row r="13">
          <cell r="A13" t="str">
            <v>diennakts</v>
          </cell>
        </row>
        <row r="14">
          <cell r="A14" t="str">
            <v>e-pasta rēķins</v>
          </cell>
        </row>
        <row r="15">
          <cell r="A15" t="str">
            <v>ceļazīme</v>
          </cell>
        </row>
        <row r="16">
          <cell r="A16" t="str">
            <v>par kvadrātmetru</v>
          </cell>
        </row>
        <row r="17">
          <cell r="A17" t="str">
            <v>kopējā līguma summa</v>
          </cell>
        </row>
        <row r="18">
          <cell r="A18" t="str">
            <v>par 1 lietas apstrādi</v>
          </cell>
        </row>
        <row r="19">
          <cell r="A19" t="str">
            <v>mēnesi  par m2</v>
          </cell>
        </row>
        <row r="20">
          <cell r="A20" t="str">
            <v>Dāvinājums</v>
          </cell>
        </row>
        <row r="21">
          <cell r="A21" t="str">
            <v>Ls/kWh</v>
          </cell>
        </row>
        <row r="22">
          <cell r="A22" t="str">
            <v>papildus darbi</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raksts"/>
      <sheetName val="Firma"/>
      <sheetName val="Izsniedzejs"/>
      <sheetName val="Ligumi"/>
      <sheetName val="Darijums"/>
      <sheetName val="Apmaksa"/>
    </sheetNames>
    <sheetDataSet>
      <sheetData sheetId="0"/>
      <sheetData sheetId="1" refreshError="1">
        <row r="1">
          <cell r="A1" t="str">
            <v>Uzņēmums / Persona</v>
          </cell>
        </row>
        <row r="2">
          <cell r="A2" t="str">
            <v xml:space="preserve"> </v>
          </cell>
        </row>
        <row r="3">
          <cell r="A3" t="str">
            <v>A.B.V. SIA</v>
          </cell>
        </row>
        <row r="4">
          <cell r="A4" t="str">
            <v>4.krēsli SIA</v>
          </cell>
        </row>
        <row r="5">
          <cell r="A5" t="str">
            <v>A.Lapsiņas uzņēmums Apgāds skolai</v>
          </cell>
        </row>
        <row r="6">
          <cell r="A6" t="str">
            <v>AB BAMBUSS SIA</v>
          </cell>
        </row>
        <row r="7">
          <cell r="A7" t="str">
            <v>ABORA SIA</v>
          </cell>
        </row>
        <row r="8">
          <cell r="A8" t="str">
            <v>Adazi Bio Power SIA</v>
          </cell>
        </row>
        <row r="9">
          <cell r="A9" t="str">
            <v>ĀDAŽI PROJEKTS SIA</v>
          </cell>
        </row>
        <row r="10">
          <cell r="A10" t="str">
            <v>Ādažu 1.fotogrupa, Diāna Taube</v>
          </cell>
        </row>
        <row r="11">
          <cell r="A11" t="str">
            <v>Ādažu aptieka SIA</v>
          </cell>
        </row>
        <row r="12">
          <cell r="A12" t="str">
            <v>Ādažu Brīvā Valdorfa skola, Biedrība</v>
          </cell>
        </row>
        <row r="13">
          <cell r="A13" t="str">
            <v>Ādažu fotogrāfu biedrība - Sabiedriska organizācija</v>
          </cell>
        </row>
        <row r="14">
          <cell r="A14" t="str">
            <v>ĀDAŽU GLĀBŠANAS DIENESTS PSIA</v>
          </cell>
        </row>
        <row r="15">
          <cell r="A15" t="str">
            <v>Ādažu Hidromehanizācija SIA</v>
          </cell>
        </row>
        <row r="16">
          <cell r="A16" t="str">
            <v>ĀDAŽU ĪPAŠUMI SIA</v>
          </cell>
        </row>
        <row r="17">
          <cell r="A17" t="str">
            <v>ĀDAŽU METĀLS Sia</v>
          </cell>
        </row>
        <row r="18">
          <cell r="A18" t="str">
            <v>ĀDAŽU NAMSAIMNIEKS SIA</v>
          </cell>
        </row>
        <row r="19">
          <cell r="A19" t="str">
            <v>Ādažu novada vēlēšanu komisija</v>
          </cell>
        </row>
        <row r="20">
          <cell r="A20" t="str">
            <v>Ādažu slimnīca PSIA</v>
          </cell>
        </row>
        <row r="21">
          <cell r="A21" t="str">
            <v>ĀDAŽU SPORTA CENTRS SIA</v>
          </cell>
        </row>
        <row r="22">
          <cell r="A22" t="str">
            <v>ĀDAŽU ŪDENS SIA</v>
          </cell>
        </row>
        <row r="23">
          <cell r="A23" t="str">
            <v>AGD GRUPA SIA</v>
          </cell>
        </row>
        <row r="24">
          <cell r="A24" t="str">
            <v xml:space="preserve">Agita Vīra </v>
          </cell>
        </row>
        <row r="25">
          <cell r="A25" t="str">
            <v>AGLV SIA</v>
          </cell>
        </row>
        <row r="26">
          <cell r="A26" t="str">
            <v>Agnese Prokofjeva</v>
          </cell>
        </row>
        <row r="27">
          <cell r="A27" t="str">
            <v>Agneta Akseņenko</v>
          </cell>
        </row>
        <row r="28">
          <cell r="A28" t="str">
            <v>AGNIERS SIA</v>
          </cell>
        </row>
        <row r="29">
          <cell r="A29" t="str">
            <v>AGREINO SIA</v>
          </cell>
        </row>
        <row r="30">
          <cell r="A30" t="str">
            <v>Agris Kiršteins</v>
          </cell>
        </row>
        <row r="31">
          <cell r="A31" t="str">
            <v>Agris Ļitvinovs</v>
          </cell>
        </row>
        <row r="32">
          <cell r="A32" t="str">
            <v>Agris Upīts</v>
          </cell>
        </row>
        <row r="33">
          <cell r="A33" t="str">
            <v>Aģentūra Radars SIA</v>
          </cell>
        </row>
        <row r="34">
          <cell r="A34" t="str">
            <v>Aīda Kalniņa</v>
          </cell>
        </row>
        <row r="35">
          <cell r="A35" t="str">
            <v>Aija Ausēja-Rudzīte</v>
          </cell>
        </row>
        <row r="36">
          <cell r="A36" t="str">
            <v>AIVARS VITKOVSKIS</v>
          </cell>
        </row>
        <row r="37">
          <cell r="A37" t="str">
            <v>Aivija Amaris SIA</v>
          </cell>
        </row>
        <row r="38">
          <cell r="A38" t="str">
            <v>AJ Produkti AS</v>
          </cell>
        </row>
        <row r="39">
          <cell r="A39" t="str">
            <v>AKKA LAA</v>
          </cell>
        </row>
        <row r="40">
          <cell r="A40" t="str">
            <v>AKMENS APSTRĀDES CENTRS AKM SIA</v>
          </cell>
        </row>
        <row r="41">
          <cell r="A41" t="str">
            <v>ALAN LTD SIA</v>
          </cell>
        </row>
        <row r="42">
          <cell r="A42" t="str">
            <v>ALARMA SERVISS SIA</v>
          </cell>
        </row>
        <row r="43">
          <cell r="A43" t="str">
            <v>ALDO Grupa SIA</v>
          </cell>
        </row>
        <row r="44">
          <cell r="A44" t="str">
            <v>ALEJA D SIA</v>
          </cell>
        </row>
        <row r="45">
          <cell r="A45" t="str">
            <v>ALEKSANDRS JALANECKIS</v>
          </cell>
        </row>
        <row r="46">
          <cell r="A46" t="str">
            <v>ALEKSANDRS KARATAJEVS</v>
          </cell>
        </row>
        <row r="47">
          <cell r="A47" t="str">
            <v>ALEKSANDRS KORJAKINS</v>
          </cell>
        </row>
        <row r="48">
          <cell r="A48" t="str">
            <v>Aleksandrs Kulakovs</v>
          </cell>
        </row>
        <row r="49">
          <cell r="A49" t="str">
            <v>Aleksandrs Sidorovs</v>
          </cell>
        </row>
        <row r="50">
          <cell r="A50" t="str">
            <v>ALEKSIS-M SIA</v>
          </cell>
        </row>
        <row r="51">
          <cell r="A51" t="str">
            <v>ALENTA SIA</v>
          </cell>
        </row>
        <row r="52">
          <cell r="A52" t="str">
            <v>ALT AUTO SIA</v>
          </cell>
        </row>
        <row r="53">
          <cell r="A53" t="str">
            <v>ALT NOMA</v>
          </cell>
        </row>
        <row r="54">
          <cell r="A54" t="str">
            <v>Alūksnes novada pašvaldības Izglītības pārvalde</v>
          </cell>
        </row>
        <row r="55">
          <cell r="A55" t="str">
            <v>Aļona Kļevcova</v>
          </cell>
        </row>
        <row r="56">
          <cell r="A56" t="str">
            <v>AMARO SIA</v>
          </cell>
        </row>
        <row r="57">
          <cell r="A57" t="str">
            <v xml:space="preserve">Amatierteātris "Kontakts" - Nereģistrēta iedzīvojāju grupa </v>
          </cell>
        </row>
        <row r="58">
          <cell r="A58" t="str">
            <v>AMBER LINE SIA</v>
          </cell>
        </row>
        <row r="59">
          <cell r="A59" t="str">
            <v>ANDRA STAĻĢA firma "ELEKTROREMONTS" SIA</v>
          </cell>
        </row>
        <row r="60">
          <cell r="A60" t="str">
            <v>ANDRIS BALTACIS</v>
          </cell>
        </row>
        <row r="61">
          <cell r="A61" t="str">
            <v>Andris Podziņš</v>
          </cell>
        </row>
        <row r="62">
          <cell r="A62" t="str">
            <v>Androna SIA</v>
          </cell>
        </row>
        <row r="63">
          <cell r="A63" t="str">
            <v>Anita Caune</v>
          </cell>
        </row>
        <row r="64">
          <cell r="A64" t="str">
            <v>ANITA KRŪZMANE</v>
          </cell>
        </row>
        <row r="65">
          <cell r="A65" t="str">
            <v>ANITRA SIA</v>
          </cell>
        </row>
        <row r="66">
          <cell r="A66" t="str">
            <v>Aniva SIA</v>
          </cell>
        </row>
        <row r="67">
          <cell r="A67" t="str">
            <v>ANPA SIA</v>
          </cell>
        </row>
        <row r="68">
          <cell r="A68" t="str">
            <v>ANTARS SIA</v>
          </cell>
        </row>
        <row r="69">
          <cell r="A69" t="str">
            <v>Apes novada dome</v>
          </cell>
        </row>
        <row r="70">
          <cell r="A70" t="str">
            <v>Apgāds Zvaigzne ABC SIA</v>
          </cell>
        </row>
        <row r="71">
          <cell r="A71" t="str">
            <v>AQUA-BRAMBIS SIA</v>
          </cell>
        </row>
        <row r="72">
          <cell r="A72" t="str">
            <v>ARCHITECTUS SIA</v>
          </cell>
        </row>
        <row r="73">
          <cell r="A73" t="str">
            <v>ARCO DEVELOPMENT SIA</v>
          </cell>
        </row>
        <row r="74">
          <cell r="A74" t="str">
            <v>ARHITECTUS SIA</v>
          </cell>
        </row>
        <row r="75">
          <cell r="A75" t="str">
            <v>ARĪTS SIA</v>
          </cell>
        </row>
        <row r="76">
          <cell r="A76" t="str">
            <v>Armands Bāliņš</v>
          </cell>
        </row>
        <row r="77">
          <cell r="A77" t="str">
            <v>ARPOS SIA</v>
          </cell>
        </row>
        <row r="78">
          <cell r="A78" t="str">
            <v>ARTŪRS MANGULIS</v>
          </cell>
        </row>
        <row r="79">
          <cell r="A79" t="str">
            <v>Artūrs Putnis</v>
          </cell>
        </row>
        <row r="80">
          <cell r="A80" t="str">
            <v>a-skola SIA</v>
          </cell>
        </row>
        <row r="81">
          <cell r="A81" t="str">
            <v>ATLASE SIA</v>
          </cell>
        </row>
        <row r="82">
          <cell r="A82" t="str">
            <v>Atmodas Nereģistrēta iedzīvotāju grupa, Andrejs Petskojs</v>
          </cell>
        </row>
        <row r="83">
          <cell r="A83" t="str">
            <v>AUDIT ADVICE SIA</v>
          </cell>
        </row>
        <row r="84">
          <cell r="A84" t="str">
            <v xml:space="preserve">Audzītes, Nereģistrēto iedzīvotāju grupa, Linda Cintiņa </v>
          </cell>
        </row>
        <row r="85">
          <cell r="A85" t="str">
            <v>AUSMA BEĶERE</v>
          </cell>
        </row>
        <row r="86">
          <cell r="A86" t="str">
            <v>AUTOOGA SIA</v>
          </cell>
        </row>
        <row r="87">
          <cell r="A87" t="str">
            <v>Ažiņa k/f Mārkets SIA</v>
          </cell>
        </row>
        <row r="88">
          <cell r="A88" t="str">
            <v>Babītes novada pašvaldība</v>
          </cell>
        </row>
        <row r="89">
          <cell r="A89" t="str">
            <v>Baiba Blūzma</v>
          </cell>
        </row>
        <row r="90">
          <cell r="A90" t="str">
            <v>BALDONE V.S.A.C.</v>
          </cell>
        </row>
        <row r="91">
          <cell r="A91" t="str">
            <v>Baldones novada dome</v>
          </cell>
        </row>
        <row r="92">
          <cell r="A92" t="str">
            <v>BALDZE SIA</v>
          </cell>
        </row>
        <row r="93">
          <cell r="A93" t="str">
            <v>BALTA AAS</v>
          </cell>
        </row>
        <row r="94">
          <cell r="A94" t="str">
            <v>BALTAIS FONDS  S/O</v>
          </cell>
        </row>
        <row r="95">
          <cell r="A95" t="str">
            <v>BALTENEKO  SIA</v>
          </cell>
        </row>
        <row r="96">
          <cell r="A96" t="str">
            <v>BALTENEKO SIA</v>
          </cell>
        </row>
        <row r="97">
          <cell r="A97" t="str">
            <v>Baltezera Fani, Nereģistrēto iedzīvotāju grupa, Gundega Miglava</v>
          </cell>
        </row>
        <row r="98">
          <cell r="A98" t="str">
            <v>Baltezera pērle SIA</v>
          </cell>
        </row>
        <row r="99">
          <cell r="A99" t="str">
            <v>BALTIC CONSTRUCTION ENTERPRISE SIA</v>
          </cell>
        </row>
        <row r="100">
          <cell r="A100" t="str">
            <v>Baltijas  Banknote SIA</v>
          </cell>
        </row>
        <row r="101">
          <cell r="A101" t="str">
            <v>BALTIJAS AUTOLĪZINGS SIA</v>
          </cell>
        </row>
        <row r="102">
          <cell r="A102" t="str">
            <v>BALTIJAS BASEINI SIA</v>
          </cell>
        </row>
        <row r="103">
          <cell r="A103" t="str">
            <v>BALTIJAS KOMUNIKĀCIJU CENTRS SIA</v>
          </cell>
        </row>
        <row r="104">
          <cell r="A104" t="str">
            <v>BALTSURVEY SIA</v>
          </cell>
        </row>
        <row r="105">
          <cell r="A105" t="str">
            <v>BĀRDAIŅI-1 SIA</v>
          </cell>
        </row>
        <row r="106">
          <cell r="A106" t="str">
            <v>Bauskas novada dome</v>
          </cell>
        </row>
        <row r="107">
          <cell r="A107" t="str">
            <v>BDO INVEST-RĪGA AS</v>
          </cell>
        </row>
        <row r="108">
          <cell r="A108" t="str">
            <v>Bentley Systems Europe B.V.</v>
          </cell>
        </row>
        <row r="109">
          <cell r="A109" t="str">
            <v>Bermiz SIA</v>
          </cell>
        </row>
        <row r="110">
          <cell r="A110" t="str">
            <v>Beverīnas novada pašvaldība</v>
          </cell>
        </row>
        <row r="111">
          <cell r="A111" t="str">
            <v>BG SIA</v>
          </cell>
        </row>
        <row r="112">
          <cell r="A112" t="str">
            <v>Biedrība " Futbola skola "Garkalne""</v>
          </cell>
        </row>
        <row r="113">
          <cell r="A113" t="str">
            <v>Biedrība " Juglas Dzīvnieku aizsardzības grupa "</v>
          </cell>
        </row>
        <row r="114">
          <cell r="A114" t="str">
            <v>Biedrība " Sporta klubs "KUMITE""</v>
          </cell>
        </row>
        <row r="115">
          <cell r="A115" t="str">
            <v>Biedrība "DZĪVESSPĒKS"</v>
          </cell>
        </row>
        <row r="116">
          <cell r="A116" t="str">
            <v>Biedrība "Latvijas Badmintona federācija"</v>
          </cell>
        </row>
        <row r="117">
          <cell r="A117" t="str">
            <v>Biedrība "Latvijas Izpildītāju un producentu apvienība"</v>
          </cell>
        </row>
        <row r="118">
          <cell r="A118" t="str">
            <v>Biedrība "Mednieku klubs"Laveri"</v>
          </cell>
        </row>
        <row r="119">
          <cell r="A119" t="str">
            <v>Biedrība "Privātā vidusskola ĀBVS"</v>
          </cell>
        </row>
        <row r="120">
          <cell r="A120" t="str">
            <v>Biedrība "Svētku aģentūra Santa"</v>
          </cell>
        </row>
        <row r="121">
          <cell r="A121" t="str">
            <v>Biedrība Autortiesību un komunicēšanās konsultāciju aģentūra</v>
          </cell>
        </row>
        <row r="122">
          <cell r="A122" t="str">
            <v>Biedrība" Futbola klubs "Ādaži""</v>
          </cell>
        </row>
        <row r="123">
          <cell r="A123" t="str">
            <v>Biedrība"Maxsharks sports "</v>
          </cell>
        </row>
        <row r="124">
          <cell r="A124" t="str">
            <v>BIĶERNIEKU KOMPLEKSĀ SPORTA BĀZE VAS</v>
          </cell>
        </row>
        <row r="125">
          <cell r="A125" t="str">
            <v>BIOR Pārikas drošības, dzīvnieku veselības un vides zinātniskais institūts</v>
          </cell>
        </row>
        <row r="126">
          <cell r="A126" t="str">
            <v>BIRUTA VIMBA</v>
          </cell>
        </row>
        <row r="127">
          <cell r="A127" t="str">
            <v>BIRUTAS BIROJS SIA</v>
          </cell>
        </row>
        <row r="128">
          <cell r="A128" t="str">
            <v>BIZNESA KOMPLEKSS SIA KIF</v>
          </cell>
        </row>
        <row r="129">
          <cell r="A129" t="str">
            <v>BOLDEKS SIA</v>
          </cell>
        </row>
        <row r="130">
          <cell r="A130" t="str">
            <v>BRASA SBS SIA</v>
          </cell>
        </row>
        <row r="131">
          <cell r="A131" t="str">
            <v>BRINUM-X SIA</v>
          </cell>
        </row>
        <row r="132">
          <cell r="A132" t="str">
            <v>BRUKS SIA</v>
          </cell>
        </row>
        <row r="133">
          <cell r="A133" t="str">
            <v>BT PROJEKTS SIA</v>
          </cell>
        </row>
        <row r="134">
          <cell r="A134" t="str">
            <v>BTA AAS</v>
          </cell>
        </row>
        <row r="135">
          <cell r="A135" t="str">
            <v>BTA Insurance Company SE</v>
          </cell>
        </row>
        <row r="136">
          <cell r="A136" t="str">
            <v>BUSINESS PARTNER SIA</v>
          </cell>
        </row>
        <row r="137">
          <cell r="A137" t="str">
            <v>CAMELIA SIA</v>
          </cell>
        </row>
        <row r="138">
          <cell r="A138" t="str">
            <v>CARDO SIA</v>
          </cell>
        </row>
        <row r="139">
          <cell r="A139" t="str">
            <v>Carnikavas novada dome</v>
          </cell>
        </row>
        <row r="140">
          <cell r="A140" t="str">
            <v>CEĻOJUMU KLUBS RSP biedrība</v>
          </cell>
        </row>
        <row r="141">
          <cell r="A141" t="str">
            <v>CEĻOTĀJU VEIKALS VIA Baltica IK</v>
          </cell>
        </row>
        <row r="142">
          <cell r="A142" t="str">
            <v xml:space="preserve">Ceļu satiksmes drošības direkcija </v>
          </cell>
        </row>
        <row r="143">
          <cell r="A143" t="str">
            <v>Centrālā finanšu un līgumu aģentūra</v>
          </cell>
        </row>
        <row r="144">
          <cell r="A144" t="str">
            <v>Cerebellum SIA</v>
          </cell>
        </row>
        <row r="145">
          <cell r="A145" t="str">
            <v>Cēsu novada pašvaldība</v>
          </cell>
        </row>
        <row r="146">
          <cell r="A146" t="str">
            <v>CIEDRA A SIA</v>
          </cell>
        </row>
        <row r="147">
          <cell r="A147" t="str">
            <v>CONVENTS LAW Office</v>
          </cell>
        </row>
        <row r="148">
          <cell r="A148" t="str">
            <v>CV-ONLINE LATVIA SIA</v>
          </cell>
        </row>
        <row r="149">
          <cell r="A149" t="str">
            <v>Da &amp; Jo  SIA</v>
          </cell>
        </row>
        <row r="150">
          <cell r="A150" t="str">
            <v>DACE DIENAVA</v>
          </cell>
        </row>
        <row r="151">
          <cell r="A151" t="str">
            <v>Dace Medniece</v>
          </cell>
        </row>
        <row r="152">
          <cell r="A152" t="str">
            <v>DAGI SIA</v>
          </cell>
        </row>
        <row r="153">
          <cell r="A153" t="str">
            <v>DAGNIJA PUĶĪTE</v>
          </cell>
        </row>
        <row r="154">
          <cell r="A154" t="str">
            <v>Daiļrade RC SIA</v>
          </cell>
        </row>
        <row r="155">
          <cell r="A155" t="str">
            <v>DAINA KALNIŅA</v>
          </cell>
        </row>
        <row r="156">
          <cell r="A156" t="str">
            <v>DAINA SALMIŅA</v>
          </cell>
        </row>
        <row r="157">
          <cell r="A157" t="str">
            <v xml:space="preserve">DAINIS PIEBALGS </v>
          </cell>
        </row>
        <row r="158">
          <cell r="A158" t="str">
            <v>Dainis Popovs</v>
          </cell>
        </row>
        <row r="159">
          <cell r="A159" t="str">
            <v>DAIRA SIA</v>
          </cell>
        </row>
        <row r="160">
          <cell r="A160" t="str">
            <v>DALA SIA</v>
          </cell>
        </row>
        <row r="161">
          <cell r="A161" t="str">
            <v>DANFO MASTER SIA</v>
          </cell>
        </row>
        <row r="162">
          <cell r="A162" t="str">
            <v>DANTRA SIA</v>
          </cell>
        </row>
        <row r="163">
          <cell r="A163" t="str">
            <v>DARBA APĢĒRBU SERVISS SIA</v>
          </cell>
        </row>
        <row r="164">
          <cell r="A164" t="str">
            <v>Dartes SIA</v>
          </cell>
        </row>
        <row r="165">
          <cell r="A165" t="str">
            <v>DĀRZA GURU SIA</v>
          </cell>
        </row>
        <row r="166">
          <cell r="A166" t="str">
            <v>DAS SIA</v>
          </cell>
        </row>
        <row r="167">
          <cell r="A167" t="str">
            <v>DASKO SIA</v>
          </cell>
        </row>
        <row r="168">
          <cell r="A168" t="str">
            <v>Datateks SIA</v>
          </cell>
        </row>
        <row r="169">
          <cell r="A169" t="str">
            <v>DAUGAVPILS ENERGOCELTNIEKS SIA</v>
          </cell>
        </row>
        <row r="170">
          <cell r="A170" t="str">
            <v>Dāvanu karte SIA</v>
          </cell>
        </row>
        <row r="171">
          <cell r="A171" t="str">
            <v>DDBC SIA</v>
          </cell>
        </row>
        <row r="172">
          <cell r="A172" t="str">
            <v>DDV SIA</v>
          </cell>
        </row>
        <row r="173">
          <cell r="A173" t="str">
            <v>DEIMS SIA</v>
          </cell>
        </row>
        <row r="174">
          <cell r="A174" t="str">
            <v>Delta Audio SIA</v>
          </cell>
        </row>
        <row r="175">
          <cell r="A175" t="str">
            <v>Delta Urban SIA</v>
          </cell>
        </row>
        <row r="176">
          <cell r="A176" t="str">
            <v>DEMOKRĀTI LV PP</v>
          </cell>
        </row>
        <row r="177">
          <cell r="A177" t="str">
            <v>DEPO DIY SIA</v>
          </cell>
        </row>
        <row r="178">
          <cell r="A178" t="str">
            <v>DEX SIA</v>
          </cell>
        </row>
        <row r="179">
          <cell r="A179" t="str">
            <v xml:space="preserve">DEZINFA SIA </v>
          </cell>
        </row>
        <row r="180">
          <cell r="A180" t="str">
            <v>DIĀNA SALENIECE</v>
          </cell>
        </row>
        <row r="181">
          <cell r="A181" t="str">
            <v>DIETA LTD SIA</v>
          </cell>
        </row>
        <row r="182">
          <cell r="A182" t="str">
            <v>DITAS BALČUS TEĀTRIS - DIVAS ACIS Biedrība</v>
          </cell>
        </row>
        <row r="183">
          <cell r="A183" t="str">
            <v>DK INVEST SIA</v>
          </cell>
        </row>
        <row r="184">
          <cell r="A184" t="str">
            <v>DLG DATORS SIA</v>
          </cell>
        </row>
        <row r="185">
          <cell r="A185" t="str">
            <v>DN SISTĒMAS SIA</v>
          </cell>
        </row>
        <row r="186">
          <cell r="A186" t="str">
            <v>Dobeles novada Izglītibas pārvalde</v>
          </cell>
        </row>
        <row r="187">
          <cell r="A187" t="str">
            <v>DOMI grupe</v>
          </cell>
        </row>
        <row r="188">
          <cell r="A188" t="str">
            <v>Domiņs SIA</v>
          </cell>
        </row>
        <row r="189">
          <cell r="A189" t="str">
            <v>DRAMATURGU TEĀTRIS Biedrība</v>
          </cell>
        </row>
        <row r="190">
          <cell r="A190" t="str">
            <v>Drošība AM SIA</v>
          </cell>
        </row>
        <row r="191">
          <cell r="A191" t="str">
            <v>DZINTARS GIRGENSONS</v>
          </cell>
        </row>
        <row r="192">
          <cell r="A192" t="str">
            <v>Dzintars Kronbergs</v>
          </cell>
        </row>
        <row r="193">
          <cell r="A193" t="str">
            <v>Dzintars Osis</v>
          </cell>
        </row>
        <row r="194">
          <cell r="A194" t="str">
            <v>ECO RUBBER</v>
          </cell>
        </row>
        <row r="195">
          <cell r="A195" t="str">
            <v>ECOVIS CONVENTS Law Office SIA</v>
          </cell>
        </row>
        <row r="196">
          <cell r="A196" t="str">
            <v>EDDI SIA</v>
          </cell>
        </row>
        <row r="197">
          <cell r="A197" t="str">
            <v>Eden Springs Latvia SIA</v>
          </cell>
        </row>
        <row r="198">
          <cell r="A198" t="str">
            <v>Edīte Johansone</v>
          </cell>
        </row>
        <row r="199">
          <cell r="A199" t="str">
            <v>Edmunda Veizāna deju skola IK</v>
          </cell>
        </row>
        <row r="200">
          <cell r="A200" t="str">
            <v>EDMUNDS VEIZĀNS Modes deju studija IK</v>
          </cell>
        </row>
        <row r="201">
          <cell r="A201" t="str">
            <v>EDVANS SIA</v>
          </cell>
        </row>
        <row r="202">
          <cell r="A202" t="str">
            <v>EDVEST  SIA</v>
          </cell>
        </row>
        <row r="203">
          <cell r="A203" t="str">
            <v>EGO projekts SIA</v>
          </cell>
        </row>
        <row r="204">
          <cell r="A204" t="str">
            <v>EGONS SIMSONS</v>
          </cell>
        </row>
        <row r="205">
          <cell r="A205" t="str">
            <v>EIGERS PROJEKTI SIA</v>
          </cell>
        </row>
        <row r="206">
          <cell r="A206" t="str">
            <v>EIMURU TĪKLI SIA</v>
          </cell>
        </row>
        <row r="207">
          <cell r="A207" t="str">
            <v>Eiroeksperts SIA</v>
          </cell>
        </row>
        <row r="208">
          <cell r="A208" t="str">
            <v>EIROPARKS SIA</v>
          </cell>
        </row>
        <row r="209">
          <cell r="A209" t="str">
            <v>EIROPARKS SIA</v>
          </cell>
        </row>
        <row r="210">
          <cell r="A210" t="str">
            <v>EIROPAS CEĻOJUMU CENTRS SIA</v>
          </cell>
        </row>
        <row r="211">
          <cell r="A211" t="str">
            <v>EIROPAS FONDU KONSULTANTI SIA</v>
          </cell>
        </row>
        <row r="212">
          <cell r="A212" t="str">
            <v>EKOPARTNERIS SIA</v>
          </cell>
        </row>
        <row r="213">
          <cell r="A213" t="str">
            <v>EKSPRESS-ĀDAŽI SIA</v>
          </cell>
        </row>
        <row r="214">
          <cell r="A214" t="str">
            <v>Elektriķis SIA</v>
          </cell>
        </row>
        <row r="215">
          <cell r="A215" t="str">
            <v>ELEKTROMONTĀŽA SIA</v>
          </cell>
        </row>
        <row r="216">
          <cell r="A216" t="str">
            <v>ELĪNA PUĶITE</v>
          </cell>
        </row>
        <row r="217">
          <cell r="A217" t="str">
            <v>ELVA BALTIC SIA</v>
          </cell>
        </row>
        <row r="218">
          <cell r="A218" t="str">
            <v>ELVA BALTIC SIA</v>
          </cell>
        </row>
        <row r="219">
          <cell r="A219" t="str">
            <v>EMERALD BALTIC SIA</v>
          </cell>
        </row>
        <row r="220">
          <cell r="A220" t="str">
            <v>EMOSS SIA</v>
          </cell>
        </row>
        <row r="221">
          <cell r="A221" t="str">
            <v>EPS AS</v>
          </cell>
        </row>
        <row r="222">
          <cell r="A222" t="str">
            <v>ERGO Latvija AAS</v>
          </cell>
        </row>
        <row r="223">
          <cell r="A223" t="str">
            <v>ERGO Latvija dzīvība AAS</v>
          </cell>
        </row>
        <row r="224">
          <cell r="A224" t="str">
            <v>ERMITĀŽAS RISINĀJUMI SIA</v>
          </cell>
        </row>
        <row r="225">
          <cell r="A225" t="str">
            <v>Ervīns Musts</v>
          </cell>
        </row>
        <row r="226">
          <cell r="A226" t="str">
            <v>ESNET SIA</v>
          </cell>
        </row>
        <row r="227">
          <cell r="A227" t="str">
            <v>ET Sistēmas SIA</v>
          </cell>
        </row>
        <row r="228">
          <cell r="A228" t="str">
            <v>EuroLatCapital SIA</v>
          </cell>
        </row>
        <row r="229">
          <cell r="A229" t="str">
            <v>EVA-SERVISS SIA</v>
          </cell>
        </row>
        <row r="230">
          <cell r="A230" t="str">
            <v>Everita Kāpa</v>
          </cell>
        </row>
        <row r="231">
          <cell r="A231" t="str">
            <v>EVIJA BELICKA</v>
          </cell>
        </row>
        <row r="232">
          <cell r="A232" t="str">
            <v>EWE SIA</v>
          </cell>
        </row>
        <row r="233">
          <cell r="A233" t="str">
            <v>EXODUS TV IK</v>
          </cell>
        </row>
        <row r="234">
          <cell r="A234" t="str">
            <v>FABLEX SIA</v>
          </cell>
        </row>
        <row r="235">
          <cell r="A235" t="str">
            <v>FEELANCER SIA</v>
          </cell>
        </row>
        <row r="236">
          <cell r="A236" t="str">
            <v>FIAS SIA</v>
          </cell>
        </row>
        <row r="237">
          <cell r="A237" t="str">
            <v>FIDEA SIA</v>
          </cell>
        </row>
        <row r="238">
          <cell r="A238" t="str">
            <v>Filings.lv SIA</v>
          </cell>
        </row>
        <row r="239">
          <cell r="A239" t="str">
            <v>Filmu studija Jūra SIA</v>
          </cell>
        </row>
        <row r="240">
          <cell r="A240" t="str">
            <v>Finanšu akadēmija SIA</v>
          </cell>
        </row>
        <row r="241">
          <cell r="A241" t="str">
            <v>FIRM</v>
          </cell>
        </row>
        <row r="242">
          <cell r="A242" t="str">
            <v>Firma ELEKTRIĶIS SIA</v>
          </cell>
        </row>
        <row r="243">
          <cell r="A243" t="str">
            <v>FM Ādaži SIA</v>
          </cell>
        </row>
        <row r="244">
          <cell r="A244" t="str">
            <v>FN-SERVISS  SIA</v>
          </cell>
        </row>
        <row r="245">
          <cell r="A245" t="str">
            <v>FONTES VADĪBAS KONSULTĀCIJAS</v>
          </cell>
        </row>
        <row r="246">
          <cell r="A246" t="str">
            <v>FUNERAL SERVICE  Latvia SIA</v>
          </cell>
        </row>
        <row r="247">
          <cell r="A247" t="str">
            <v>Futbola klubs "Ādaži" Biedrība</v>
          </cell>
        </row>
        <row r="248">
          <cell r="A248" t="str">
            <v>G KOLIZEJS SIA</v>
          </cell>
        </row>
        <row r="249">
          <cell r="A249" t="str">
            <v>GAILĪTIS-G SIA</v>
          </cell>
        </row>
        <row r="250">
          <cell r="A250" t="str">
            <v>GALAPRO IK</v>
          </cell>
        </row>
        <row r="251">
          <cell r="A251" t="str">
            <v>Garāžu īpašnieku Kooperatīva sabiedrība "KADAGA 2"</v>
          </cell>
        </row>
        <row r="252">
          <cell r="A252" t="str">
            <v>Garkalnes novada dome</v>
          </cell>
        </row>
        <row r="253">
          <cell r="A253" t="str">
            <v>Garkalnes ūdens SIA</v>
          </cell>
        </row>
        <row r="254">
          <cell r="A254" t="str">
            <v>Gaujas centrs SIA</v>
          </cell>
        </row>
        <row r="255">
          <cell r="A255" t="str">
            <v>Gaujas Partnerība Biedrība</v>
          </cell>
        </row>
        <row r="256">
          <cell r="A256" t="str">
            <v>GCI Latvia SIA</v>
          </cell>
        </row>
        <row r="257">
          <cell r="A257" t="str">
            <v>Getliņi EKO SIA</v>
          </cell>
        </row>
        <row r="258">
          <cell r="A258" t="str">
            <v>GIBSONS GRUPA SIA</v>
          </cell>
        </row>
        <row r="259">
          <cell r="A259" t="str">
            <v>GJENSIDIGE Baltic AAS</v>
          </cell>
        </row>
        <row r="260">
          <cell r="A260" t="str">
            <v>GLUDI LM</v>
          </cell>
        </row>
        <row r="261">
          <cell r="A261" t="str">
            <v>Grāmatu draugs Pluss SIA</v>
          </cell>
        </row>
        <row r="262">
          <cell r="A262" t="str">
            <v>GRANDUS SIA</v>
          </cell>
        </row>
        <row r="263">
          <cell r="A263" t="str">
            <v>GRĪDU SERVISS SIA</v>
          </cell>
        </row>
        <row r="264">
          <cell r="A264" t="str">
            <v>GT 19 SIA</v>
          </cell>
        </row>
        <row r="265">
          <cell r="A265" t="str">
            <v>Guard 4 you SIA</v>
          </cell>
        </row>
        <row r="266">
          <cell r="A266" t="str">
            <v>Gulbenes novada dome</v>
          </cell>
        </row>
        <row r="267">
          <cell r="A267" t="str">
            <v>GUNĀRS AVOTIŅŠ</v>
          </cell>
        </row>
        <row r="268">
          <cell r="A268" t="str">
            <v>GUNDARS PĒTERSONS</v>
          </cell>
        </row>
        <row r="269">
          <cell r="A269" t="str">
            <v>Gundars Pētersons</v>
          </cell>
        </row>
        <row r="270">
          <cell r="A270" t="str">
            <v>Gunta Briede</v>
          </cell>
        </row>
        <row r="271">
          <cell r="A271" t="str">
            <v>Gunta Puriņa</v>
          </cell>
        </row>
        <row r="272">
          <cell r="A272" t="str">
            <v>Gunta Skuja</v>
          </cell>
        </row>
        <row r="273">
          <cell r="A273" t="str">
            <v>Guntis Martuzāns</v>
          </cell>
        </row>
        <row r="274">
          <cell r="A274" t="str">
            <v>Guntis Podziņš</v>
          </cell>
        </row>
        <row r="275">
          <cell r="A275" t="str">
            <v>Guntis Porietis</v>
          </cell>
        </row>
        <row r="276">
          <cell r="A276" t="str">
            <v>Guntra Ozola</v>
          </cell>
        </row>
        <row r="277">
          <cell r="A277" t="str">
            <v>GUSTIŅI SIA</v>
          </cell>
        </row>
        <row r="278">
          <cell r="A278" t="str">
            <v>ĢEO EKO RISINĀJUMI SIA</v>
          </cell>
        </row>
        <row r="279">
          <cell r="A279" t="str">
            <v>Ģirts Lūsis</v>
          </cell>
        </row>
        <row r="280">
          <cell r="A280" t="str">
            <v>HANSABANKA AS</v>
          </cell>
        </row>
        <row r="281">
          <cell r="A281" t="str">
            <v>HEDOS SIA</v>
          </cell>
        </row>
        <row r="282">
          <cell r="A282" t="str">
            <v>HIDRO-LAVERI SIA</v>
          </cell>
        </row>
        <row r="283">
          <cell r="A283" t="str">
            <v>HIDRO-LAVERI SIA</v>
          </cell>
        </row>
        <row r="284">
          <cell r="A284" t="str">
            <v>HPJ SIA</v>
          </cell>
        </row>
        <row r="285">
          <cell r="A285" t="str">
            <v>HUMS SIA</v>
          </cell>
        </row>
        <row r="286">
          <cell r="A286" t="str">
            <v xml:space="preserve">HUMUS SIA </v>
          </cell>
        </row>
        <row r="287">
          <cell r="A287" t="str">
            <v>HYDRO STADIUM ĀDAŽI SIA</v>
          </cell>
        </row>
        <row r="288">
          <cell r="A288" t="str">
            <v>I KLUBS SIA</v>
          </cell>
        </row>
        <row r="289">
          <cell r="A289" t="str">
            <v>Iekšlietu ministrijas Informācijas centrs</v>
          </cell>
        </row>
        <row r="290">
          <cell r="A290" t="str">
            <v>IEVA NEIKENA</v>
          </cell>
        </row>
        <row r="291">
          <cell r="A291" t="str">
            <v>Ieva Neikena</v>
          </cell>
        </row>
        <row r="292">
          <cell r="A292" t="str">
            <v>IEVA ROVE</v>
          </cell>
        </row>
        <row r="293">
          <cell r="A293" t="str">
            <v>Ieva Roze</v>
          </cell>
        </row>
        <row r="294">
          <cell r="A294" t="str">
            <v>IF P&amp;C Insurance AS</v>
          </cell>
        </row>
        <row r="295">
          <cell r="A295" t="str">
            <v>IGO FOMINS</v>
          </cell>
        </row>
        <row r="296">
          <cell r="A296" t="str">
            <v>Igors Spirkovičs</v>
          </cell>
        </row>
        <row r="297">
          <cell r="A297" t="str">
            <v>IKS SPORTS SIA</v>
          </cell>
        </row>
        <row r="298">
          <cell r="A298" t="str">
            <v>Ikšķiles novada pašvaldība</v>
          </cell>
        </row>
        <row r="299">
          <cell r="A299" t="str">
            <v>Ilze Celmiņa</v>
          </cell>
        </row>
        <row r="300">
          <cell r="A300" t="str">
            <v>Ilze Jansone</v>
          </cell>
        </row>
        <row r="301">
          <cell r="A301" t="str">
            <v>IMPEL SERVIKS  SIA</v>
          </cell>
        </row>
        <row r="302">
          <cell r="A302" t="str">
            <v>Inčukalna novada dome</v>
          </cell>
        </row>
        <row r="303">
          <cell r="A303" t="str">
            <v>Indrustrial partner service Ltd SIA</v>
          </cell>
        </row>
        <row r="304">
          <cell r="A304" t="str">
            <v>Ineta Lancmane</v>
          </cell>
        </row>
        <row r="305">
          <cell r="A305" t="str">
            <v>Infovide SIA</v>
          </cell>
        </row>
        <row r="306">
          <cell r="A306" t="str">
            <v>Inga Balaševa</v>
          </cell>
        </row>
        <row r="307">
          <cell r="A307" t="str">
            <v xml:space="preserve">Inga Pērkona </v>
          </cell>
        </row>
        <row r="308">
          <cell r="A308" t="str">
            <v>INGA SKRAUCE</v>
          </cell>
        </row>
        <row r="309">
          <cell r="A309" t="str">
            <v>INGRĪDA KNAPE-EGLE</v>
          </cell>
        </row>
        <row r="310">
          <cell r="A310" t="str">
            <v>INGRĪDA KNAPE-EGLE</v>
          </cell>
        </row>
        <row r="311">
          <cell r="A311" t="str">
            <v>INGUNA BAŠA, Latvijas Zvērinātu advokātu kolēģija</v>
          </cell>
        </row>
        <row r="312">
          <cell r="A312" t="str">
            <v>Ingūna Kozlovska</v>
          </cell>
        </row>
        <row r="313">
          <cell r="A313" t="str">
            <v>INKOMERC K SIA</v>
          </cell>
        </row>
        <row r="314">
          <cell r="A314" t="str">
            <v>INTER RINO SIA</v>
          </cell>
        </row>
        <row r="315">
          <cell r="A315" t="str">
            <v>INTERINFO LATVIJĀ SIA</v>
          </cell>
        </row>
        <row r="316">
          <cell r="A316" t="str">
            <v xml:space="preserve">INTRAD SIA </v>
          </cell>
        </row>
        <row r="317">
          <cell r="A317" t="str">
            <v xml:space="preserve">INTRAD SIA </v>
          </cell>
        </row>
        <row r="318">
          <cell r="A318" t="str">
            <v>INŽENIERTEHNISKĀS SISTĒMAS SIA</v>
          </cell>
        </row>
        <row r="319">
          <cell r="A319" t="str">
            <v>Irina Žuravļova</v>
          </cell>
        </row>
        <row r="320">
          <cell r="A320" t="str">
            <v>Irita Skaistkalne</v>
          </cell>
        </row>
        <row r="321">
          <cell r="A321" t="str">
            <v>IRVE SIA</v>
          </cell>
        </row>
        <row r="322">
          <cell r="A322" t="str">
            <v>Ivars Grīnbergs</v>
          </cell>
        </row>
        <row r="323">
          <cell r="A323" t="str">
            <v>IVETA MĀLIŅA</v>
          </cell>
        </row>
        <row r="324">
          <cell r="A324" t="str">
            <v>IVETA PELCMANE</v>
          </cell>
        </row>
        <row r="325">
          <cell r="A325" t="str">
            <v>IVONNA  SIA</v>
          </cell>
        </row>
        <row r="326">
          <cell r="A326" t="str">
            <v>Izolde Eņģele</v>
          </cell>
        </row>
        <row r="327">
          <cell r="A327" t="str">
            <v>Izteiksme SIA</v>
          </cell>
        </row>
        <row r="328">
          <cell r="A328" t="str">
            <v>J. PISLEGINS SIA</v>
          </cell>
        </row>
        <row r="329">
          <cell r="A329" t="str">
            <v>Jaguārs Ā,Garāžu īpašnieku kooperatīva sabiedrība</v>
          </cell>
        </row>
        <row r="330">
          <cell r="A330" t="str">
            <v>Jānis Čuders</v>
          </cell>
        </row>
        <row r="331">
          <cell r="A331" t="str">
            <v xml:space="preserve">Jānis Dundurs </v>
          </cell>
        </row>
        <row r="332">
          <cell r="A332" t="str">
            <v>Jānis Krasikovs</v>
          </cell>
        </row>
        <row r="333">
          <cell r="A333" t="str">
            <v>Jānis Kveders</v>
          </cell>
        </row>
        <row r="334">
          <cell r="A334" t="str">
            <v>Jānis Kveders</v>
          </cell>
        </row>
        <row r="335">
          <cell r="A335" t="str">
            <v>Jānis Pampe</v>
          </cell>
        </row>
        <row r="336">
          <cell r="A336" t="str">
            <v>JĀNIS STRAUTMANIS</v>
          </cell>
        </row>
        <row r="337">
          <cell r="A337" t="str">
            <v>Jānis Tiļčiks</v>
          </cell>
        </row>
        <row r="338">
          <cell r="A338" t="str">
            <v>JĀNIS UN PARTNERI SIA</v>
          </cell>
        </row>
        <row r="339">
          <cell r="A339" t="str">
            <v>JĀNIS VĪGUPS</v>
          </cell>
        </row>
        <row r="340">
          <cell r="A340" t="str">
            <v xml:space="preserve">Jauniešu koris "Mundus", Nereģistrēto iedzīvotāju grupa, Ieva Blumberga </v>
          </cell>
        </row>
        <row r="341">
          <cell r="A341" t="str">
            <v>Jēkabpils pilsētas pašvaldība</v>
          </cell>
        </row>
        <row r="342">
          <cell r="A342" t="str">
            <v>Jekaterina Kondrotenko</v>
          </cell>
        </row>
        <row r="343">
          <cell r="A343" t="str">
            <v>Jelgavas novada pašvaldība</v>
          </cell>
        </row>
        <row r="344">
          <cell r="A344" t="str">
            <v>Jelgavas pilsētas pašvaldības iestāde "Jelgavas izglītības pārvalde"</v>
          </cell>
        </row>
        <row r="345">
          <cell r="A345" t="str">
            <v>Jevgenijs Jeršovs</v>
          </cell>
        </row>
        <row r="346">
          <cell r="A346" t="str">
            <v>Jevgeņija Piņkovska</v>
          </cell>
        </row>
        <row r="347">
          <cell r="A347" t="str">
            <v>JS Company SIA</v>
          </cell>
        </row>
        <row r="348">
          <cell r="A348" t="str">
            <v>JUDĪTE VĒVELE</v>
          </cell>
        </row>
        <row r="349">
          <cell r="A349" t="str">
            <v>Juglas Dzīvnieku aizsardzības grupa, Biedrība</v>
          </cell>
        </row>
        <row r="350">
          <cell r="A350" t="str">
            <v>Junior Achievement-Young Enterprise Latvija Biedrība</v>
          </cell>
        </row>
        <row r="351">
          <cell r="A351" t="str">
            <v>Junior Achievement-Young Enterprise Latvijas Biznesa izglītības biedrība</v>
          </cell>
        </row>
        <row r="352">
          <cell r="A352" t="str">
            <v>JURA BABRA Leļļu teātris "TIMS" IK</v>
          </cell>
        </row>
        <row r="353">
          <cell r="A353" t="str">
            <v>JURIS EDVĪNS EGLĪTIS</v>
          </cell>
        </row>
        <row r="354">
          <cell r="A354" t="str">
            <v>Juris Millers</v>
          </cell>
        </row>
        <row r="355">
          <cell r="A355" t="str">
            <v>Juris Osis</v>
          </cell>
        </row>
        <row r="356">
          <cell r="A356" t="str">
            <v>JŪRMALAS MEŽAPARKI SIA</v>
          </cell>
        </row>
        <row r="357">
          <cell r="A357" t="str">
            <v>Jūrmalas pilsētas dome</v>
          </cell>
        </row>
        <row r="358">
          <cell r="A358" t="str">
            <v>JUS Biedrība</v>
          </cell>
        </row>
        <row r="359">
          <cell r="A359" t="str">
            <v>JZ SIA</v>
          </cell>
        </row>
        <row r="360">
          <cell r="A360" t="str">
            <v>KACIS SIA</v>
          </cell>
        </row>
        <row r="361">
          <cell r="A361" t="str">
            <v>KADAGA SIA</v>
          </cell>
        </row>
        <row r="362">
          <cell r="A362" t="str">
            <v>KAFE SERVISS SIA</v>
          </cell>
        </row>
        <row r="363">
          <cell r="A363" t="str">
            <v>Kalna Salas ZS</v>
          </cell>
        </row>
        <row r="364">
          <cell r="A364" t="str">
            <v>Karina Tinamagomedova</v>
          </cell>
        </row>
        <row r="365">
          <cell r="A365" t="str">
            <v>Karivero IK</v>
          </cell>
        </row>
        <row r="366">
          <cell r="A366" t="str">
            <v>Karlson Plus SIA</v>
          </cell>
        </row>
        <row r="367">
          <cell r="A367" t="str">
            <v>Karšu izdevniecība JĀŅU SĒTA SIA</v>
          </cell>
        </row>
        <row r="368">
          <cell r="A368" t="str">
            <v>Kazimirs Bunto</v>
          </cell>
        </row>
        <row r="369">
          <cell r="A369" t="str">
            <v>KIANG SIA</v>
          </cell>
        </row>
        <row r="370">
          <cell r="A370" t="str">
            <v>Kivi Real Estate SIA</v>
          </cell>
        </row>
        <row r="371">
          <cell r="A371" t="str">
            <v>Kjāra Musta</v>
          </cell>
        </row>
        <row r="372">
          <cell r="A372" t="str">
            <v>Klavieru darbnīca IK</v>
          </cell>
        </row>
        <row r="373">
          <cell r="A373" t="str">
            <v>KNIFS 4 SIA</v>
          </cell>
        </row>
        <row r="374">
          <cell r="A374" t="str">
            <v>KOCĒNU SPORTA KLUBS Biedrība</v>
          </cell>
        </row>
        <row r="375">
          <cell r="A375" t="str">
            <v>Komerccentrs DATI grupa SIA</v>
          </cell>
        </row>
        <row r="376">
          <cell r="A376" t="str">
            <v>Kompānija VITRUM SIA</v>
          </cell>
        </row>
        <row r="377">
          <cell r="A377" t="str">
            <v>KONDITOREJA SARACĒNS SIA</v>
          </cell>
        </row>
        <row r="378">
          <cell r="A378" t="str">
            <v>KONE lifti Latvija SIA</v>
          </cell>
        </row>
        <row r="379">
          <cell r="A379" t="str">
            <v>Koninklijke Nederlandsche Heidemaatschappij</v>
          </cell>
        </row>
        <row r="380">
          <cell r="A380" t="str">
            <v>KONSTANTĪNS URECKIS</v>
          </cell>
        </row>
        <row r="381">
          <cell r="A381" t="str">
            <v>Konstruktionsgruppe Bauen Latvija SIA</v>
          </cell>
        </row>
        <row r="382">
          <cell r="A382" t="str">
            <v>Korande SIA</v>
          </cell>
        </row>
        <row r="383">
          <cell r="A383" t="str">
            <v>Korupcijas novēršanas un apkarošanas birojs</v>
          </cell>
        </row>
        <row r="384">
          <cell r="A384" t="str">
            <v>KOTA.NU SIA</v>
          </cell>
        </row>
        <row r="385">
          <cell r="A385" t="str">
            <v xml:space="preserve">Krimuldas novada dome </v>
          </cell>
        </row>
        <row r="386">
          <cell r="A386" t="str">
            <v>KRIPTO SIA</v>
          </cell>
        </row>
        <row r="387">
          <cell r="A387" t="str">
            <v>KRISTAPS LĪCIS</v>
          </cell>
        </row>
        <row r="388">
          <cell r="A388" t="str">
            <v>KRISTBERGS SIA</v>
          </cell>
        </row>
        <row r="389">
          <cell r="A389" t="str">
            <v>KRŪZE UN LŪSIS SIA</v>
          </cell>
        </row>
        <row r="390">
          <cell r="A390" t="str">
            <v>KULTŪRAS CENTRS "ALTERO VILLA" Biedrība</v>
          </cell>
        </row>
        <row r="391">
          <cell r="A391" t="str">
            <v>KULTŪRAS INFORMĀCIJAS SISTĒMAS VA</v>
          </cell>
        </row>
        <row r="392">
          <cell r="A392" t="str">
            <v>KURI SIA</v>
          </cell>
        </row>
        <row r="393">
          <cell r="A393" t="str">
            <v xml:space="preserve">KURI SIA </v>
          </cell>
        </row>
        <row r="394">
          <cell r="A394" t="str">
            <v>KURT KOENING SIA</v>
          </cell>
        </row>
        <row r="395">
          <cell r="A395" t="str">
            <v>Kvadrs celtniecības firma SIA</v>
          </cell>
        </row>
        <row r="396">
          <cell r="A396" t="str">
            <v>Ķeguma novada dome</v>
          </cell>
        </row>
        <row r="397">
          <cell r="A397" t="str">
            <v>ĶEKAVAS NOVADA DOME</v>
          </cell>
        </row>
        <row r="398">
          <cell r="A398" t="str">
            <v>L TIPS SIA</v>
          </cell>
        </row>
        <row r="399">
          <cell r="A399" t="str">
            <v>L&amp;T SIA</v>
          </cell>
        </row>
        <row r="400">
          <cell r="A400" t="str">
            <v>Labas Vides Producenti SIA</v>
          </cell>
        </row>
        <row r="401">
          <cell r="A401" t="str">
            <v xml:space="preserve">Labochema - Latvija SIA </v>
          </cell>
        </row>
        <row r="402">
          <cell r="A402" t="str">
            <v>LAFINA AS</v>
          </cell>
        </row>
        <row r="403">
          <cell r="A403" t="str">
            <v>LAIK SIA</v>
          </cell>
        </row>
        <row r="404">
          <cell r="A404" t="str">
            <v>Laila Raiskuma</v>
          </cell>
        </row>
        <row r="405">
          <cell r="A405" t="str">
            <v>LAKRS Arodbiedrība</v>
          </cell>
        </row>
        <row r="406">
          <cell r="A406" t="str">
            <v>LAK-Y BĀRS SIA</v>
          </cell>
        </row>
        <row r="407">
          <cell r="A407" t="str">
            <v>LAMTER SIA</v>
          </cell>
        </row>
        <row r="408">
          <cell r="A408" t="str">
            <v>Lapidem SIA, Normunds Nerets</v>
          </cell>
        </row>
        <row r="409">
          <cell r="A409" t="str">
            <v>LATINTERTEHSERVISS  A/S</v>
          </cell>
        </row>
        <row r="410">
          <cell r="A410" t="str">
            <v>LATSFILMA SIA</v>
          </cell>
        </row>
        <row r="411">
          <cell r="A411" t="str">
            <v>LATTELECOM SIA</v>
          </cell>
        </row>
        <row r="412">
          <cell r="A412" t="str">
            <v>LATVENERGO AS</v>
          </cell>
        </row>
        <row r="413">
          <cell r="A413" t="str">
            <v>LATVIJA STATOIL SIA</v>
          </cell>
        </row>
        <row r="414">
          <cell r="A414" t="str">
            <v>Latvijas autoceļu uzturētājs AS</v>
          </cell>
        </row>
        <row r="415">
          <cell r="A415" t="str">
            <v>Latvijas autoceļu uzturētājs AS</v>
          </cell>
        </row>
        <row r="416">
          <cell r="A416" t="str">
            <v>Latvijas Badmintona federācija Biedrība</v>
          </cell>
        </row>
        <row r="417">
          <cell r="A417" t="str">
            <v>LATVIJAS BĒRNU FONDS</v>
          </cell>
        </row>
        <row r="418">
          <cell r="A418" t="str">
            <v>LATVIJAS DABAS FONDS Nodibinājums</v>
          </cell>
        </row>
        <row r="419">
          <cell r="A419" t="str">
            <v>LATVIJAS DRAMATURGU ĢILDE BIEDRĪBA</v>
          </cell>
        </row>
        <row r="420">
          <cell r="A420" t="str">
            <v>LATVIJAS FINIERIS AS</v>
          </cell>
        </row>
        <row r="421">
          <cell r="A421" t="str">
            <v>LATVIJAS GĀZE AS</v>
          </cell>
        </row>
        <row r="422">
          <cell r="A422" t="str">
            <v>Latvijas Grāmata SIA</v>
          </cell>
        </row>
        <row r="423">
          <cell r="A423" t="str">
            <v>LATVIJAS ĢEOLOĢIJAS INFORMĀCIJAS AĢENTŪRA.</v>
          </cell>
        </row>
        <row r="424">
          <cell r="A424" t="str">
            <v>LATVIJAS INVESTĪCIJU UN ATTĪSTĪBAS AĢENTŪRA VA</v>
          </cell>
        </row>
        <row r="425">
          <cell r="A425" t="str">
            <v>LATVIJAS KINOLOĢISKĀS fed. DZĪVNIEKU AIZSARDZĪBAS BIEDRĪBA</v>
          </cell>
        </row>
        <row r="426">
          <cell r="A426" t="str">
            <v>LATVIJAS KRĀJBANKA</v>
          </cell>
        </row>
        <row r="427">
          <cell r="A427" t="str">
            <v>LATVIJAS LAUKU KONSULTĀCIJU UN IZGLĪTĪBAS CENTRS SIA</v>
          </cell>
        </row>
        <row r="428">
          <cell r="A428" t="str">
            <v>LATVIJAS LEĻĻU TEĀTRIS SIA</v>
          </cell>
        </row>
        <row r="429">
          <cell r="A429" t="str">
            <v>LATVIJAS MOBILAIS TELEFONS SIA</v>
          </cell>
        </row>
        <row r="430">
          <cell r="A430" t="str">
            <v>Latvijas Nacionālā arhīva Siguldas zonālais arhīvs</v>
          </cell>
        </row>
        <row r="431">
          <cell r="A431" t="str">
            <v>LATVIJAS PASTS VAS</v>
          </cell>
        </row>
        <row r="432">
          <cell r="A432" t="str">
            <v>Latvijas Pašvaldību savienība Biedrība</v>
          </cell>
        </row>
        <row r="433">
          <cell r="A433" t="str">
            <v>Latvijas Republikas Kultūras ministrija</v>
          </cell>
        </row>
        <row r="434">
          <cell r="A434" t="str">
            <v>Latvijas Republikas Valsts Kase</v>
          </cell>
        </row>
        <row r="435">
          <cell r="A435" t="str">
            <v>Latvijas rūpnieku tehniskās drošības ekspertu apvienība SIA</v>
          </cell>
        </row>
        <row r="436">
          <cell r="A436" t="str">
            <v>LATVIJAS TĀLRUNIS SIA</v>
          </cell>
        </row>
        <row r="437">
          <cell r="A437" t="str">
            <v>LATVIJAS VALSTS CEĻI VAS</v>
          </cell>
        </row>
        <row r="438">
          <cell r="A438" t="str">
            <v>LATVIJAS VIDES,ĢEOLOĢIJAS UNMETERELOĢIJAS AĢENTŪRA VA</v>
          </cell>
        </row>
        <row r="439">
          <cell r="A439" t="str">
            <v>LAURA EGLĪTE</v>
          </cell>
        </row>
        <row r="440">
          <cell r="A440" t="str">
            <v>LAURA LŪSE</v>
          </cell>
        </row>
        <row r="441">
          <cell r="A441" t="str">
            <v>LBS-Konsultants SIA</v>
          </cell>
        </row>
        <row r="442">
          <cell r="A442" t="str">
            <v>Leader Media SIA</v>
          </cell>
        </row>
        <row r="443">
          <cell r="A443" t="str">
            <v>LEĢENDA GOLD SIA</v>
          </cell>
        </row>
        <row r="444">
          <cell r="A444" t="str">
            <v>LEJĀŅI SIA</v>
          </cell>
        </row>
        <row r="445">
          <cell r="A445" t="str">
            <v>LeKS-auto SIA</v>
          </cell>
        </row>
        <row r="446">
          <cell r="A446" t="str">
            <v>LERIX SIA</v>
          </cell>
        </row>
        <row r="447">
          <cell r="A447" t="str">
            <v>LETA SIA</v>
          </cell>
        </row>
        <row r="448">
          <cell r="A448" t="str">
            <v>LETCLEAN SIA</v>
          </cell>
        </row>
        <row r="449">
          <cell r="A449" t="str">
            <v>LEV Invest Projektēšanas un investīciju kompānija SIA</v>
          </cell>
        </row>
        <row r="450">
          <cell r="A450" t="str">
            <v>Liduga SIA</v>
          </cell>
        </row>
        <row r="451">
          <cell r="A451" t="str">
            <v>LIELAIS LAUKS SIA</v>
          </cell>
        </row>
        <row r="452">
          <cell r="A452" t="str">
            <v>Lielvārds SIA</v>
          </cell>
        </row>
        <row r="453">
          <cell r="A453" t="str">
            <v>Liene Krūze</v>
          </cell>
        </row>
        <row r="454">
          <cell r="A454" t="str">
            <v>LIEPĀJAS LEĻĻU TEĀTRIS SIA</v>
          </cell>
        </row>
        <row r="455">
          <cell r="A455" t="str">
            <v>Līga Cipruse</v>
          </cell>
        </row>
        <row r="456">
          <cell r="A456" t="str">
            <v>Līga Suvorova</v>
          </cell>
        </row>
        <row r="457">
          <cell r="A457" t="str">
            <v>Limbažu novada pašvaldība</v>
          </cell>
        </row>
        <row r="458">
          <cell r="A458" t="str">
            <v>LINDA CINTIŅA</v>
          </cell>
        </row>
        <row r="459">
          <cell r="A459" t="str">
            <v>LINDA KALNIŅA</v>
          </cell>
        </row>
        <row r="460">
          <cell r="A460" t="str">
            <v>Linda Mocebekere, Sociālo tehnoloģiju augstskola SIA</v>
          </cell>
        </row>
        <row r="461">
          <cell r="A461" t="str">
            <v>LĪNIJAS SIA</v>
          </cell>
        </row>
        <row r="462">
          <cell r="A462" t="str">
            <v>LIVLAND SIA</v>
          </cell>
        </row>
        <row r="463">
          <cell r="A463" t="str">
            <v>LIW SPA salons SIA</v>
          </cell>
        </row>
        <row r="464">
          <cell r="A464" t="str">
            <v>LPP/LC Partija</v>
          </cell>
        </row>
        <row r="465">
          <cell r="A465" t="str">
            <v>LR AIZSARDZĪBAS MINISTRIJA</v>
          </cell>
        </row>
        <row r="466">
          <cell r="A466" t="str">
            <v>LR AIZSARDZĪBAS MINISTRIJAS NACIONĀLO BRUŅOTO SPĒKU RNC</v>
          </cell>
        </row>
        <row r="467">
          <cell r="A467" t="str">
            <v>LR IeM Valsts policijas Rīgas reģiona pārvalde</v>
          </cell>
        </row>
        <row r="468">
          <cell r="A468" t="str">
            <v>LR Izglītības un zinātnes ministrija</v>
          </cell>
        </row>
        <row r="469">
          <cell r="A469" t="str">
            <v>LR KULTŪRAS MINISTRIJA</v>
          </cell>
        </row>
        <row r="470">
          <cell r="A470" t="str">
            <v>LR LABKLĀJĪBAS MINISTRIJA</v>
          </cell>
        </row>
        <row r="471">
          <cell r="A471" t="str">
            <v>LR VALSTS KASE</v>
          </cell>
        </row>
        <row r="472">
          <cell r="A472" t="str">
            <v>LR VIDES MINISTRIJA</v>
          </cell>
        </row>
        <row r="473">
          <cell r="A473" t="str">
            <v>Ludzas novada pašvaldība</v>
          </cell>
        </row>
        <row r="474">
          <cell r="A474" t="str">
            <v>LURSOFT IT  SIA</v>
          </cell>
        </row>
        <row r="475">
          <cell r="A475" t="str">
            <v>M. Rožlapas iedzīvotāji - Nereģistrētas iedzīvotāju grupas</v>
          </cell>
        </row>
        <row r="476">
          <cell r="A476" t="str">
            <v>M-2 SIA</v>
          </cell>
        </row>
        <row r="477">
          <cell r="A477" t="str">
            <v>Madonas novada pašvaldība</v>
          </cell>
        </row>
        <row r="478">
          <cell r="A478" t="str">
            <v>MAGISTRE VITAE SIA</v>
          </cell>
        </row>
        <row r="479">
          <cell r="A479" t="str">
            <v>MAGNUM NT  SIA</v>
          </cell>
        </row>
        <row r="480">
          <cell r="A480" t="str">
            <v>MAILMASTER SIA</v>
          </cell>
        </row>
        <row r="481">
          <cell r="A481" t="str">
            <v>MAKŠĶERNIEKU KLUBS PASAULE SIA</v>
          </cell>
        </row>
        <row r="482">
          <cell r="A482" t="str">
            <v>MANTRA SIA</v>
          </cell>
        </row>
        <row r="483">
          <cell r="A483" t="str">
            <v>MARINA DANGO</v>
          </cell>
        </row>
        <row r="484">
          <cell r="A484" t="str">
            <v>MARIO MM SIA</v>
          </cell>
        </row>
        <row r="485">
          <cell r="A485" t="str">
            <v>MĀRIS PODNIEKS</v>
          </cell>
        </row>
        <row r="486">
          <cell r="A486" t="str">
            <v>Mark IT Latvija</v>
          </cell>
        </row>
        <row r="487">
          <cell r="A487" t="str">
            <v>Mārtiņš Osis</v>
          </cell>
        </row>
        <row r="488">
          <cell r="A488" t="str">
            <v>Mārupes novada dome</v>
          </cell>
        </row>
        <row r="489">
          <cell r="A489" t="str">
            <v>Mazajiem Ādažniekiem - Nereģistrēta iedzīvotāju grupa</v>
          </cell>
        </row>
        <row r="490">
          <cell r="A490" t="str">
            <v>McĀbols poligrāfija SIA</v>
          </cell>
        </row>
        <row r="491">
          <cell r="A491" t="str">
            <v>MEBEKOM SIA</v>
          </cell>
        </row>
        <row r="492">
          <cell r="A492" t="str">
            <v>MĒBEĻU DIZAINA FABRIKA SIA</v>
          </cell>
        </row>
        <row r="493">
          <cell r="A493" t="str">
            <v>MĒBEĻU GRUPA SIA</v>
          </cell>
        </row>
        <row r="494">
          <cell r="A494" t="str">
            <v>Medida-Latvija SIA</v>
          </cell>
        </row>
        <row r="495">
          <cell r="A495" t="str">
            <v>MELIORPROJEKTS VSIA</v>
          </cell>
        </row>
        <row r="496">
          <cell r="A496" t="str">
            <v>Menerega Baltic SIA</v>
          </cell>
        </row>
        <row r="497">
          <cell r="A497" t="str">
            <v>Menerga Rīga SIA</v>
          </cell>
        </row>
        <row r="498">
          <cell r="A498" t="str">
            <v>Mērniecības Datu Centrs SIA</v>
          </cell>
        </row>
        <row r="499">
          <cell r="A499" t="str">
            <v>Mēs Jaunbērziņiem - Nereģistrēta iedzīvotāju grupa</v>
          </cell>
        </row>
        <row r="500">
          <cell r="A500" t="str">
            <v>Mēs Jaunbērziņiem, Diāna Taube</v>
          </cell>
        </row>
        <row r="501">
          <cell r="A501" t="str">
            <v>MID BALTIC REALTY filiāle SIA</v>
          </cell>
        </row>
        <row r="502">
          <cell r="A502" t="str">
            <v>MIKROKODS SIA</v>
          </cell>
        </row>
        <row r="503">
          <cell r="A503" t="str">
            <v>MINAPA SIA</v>
          </cell>
        </row>
        <row r="504">
          <cell r="A504" t="str">
            <v>Mirdza Emsiņa</v>
          </cell>
        </row>
        <row r="505">
          <cell r="A505" t="str">
            <v>MKLA Sia</v>
          </cell>
        </row>
        <row r="506">
          <cell r="A506" t="str">
            <v>Modris Krūmiņš</v>
          </cell>
        </row>
        <row r="507">
          <cell r="A507" t="str">
            <v xml:space="preserve">Modris Nuka </v>
          </cell>
        </row>
        <row r="508">
          <cell r="A508" t="str">
            <v>MODUS-R SIA</v>
          </cell>
        </row>
        <row r="509">
          <cell r="A509" t="str">
            <v>MONESIS SIA</v>
          </cell>
        </row>
        <row r="510">
          <cell r="A510" t="str">
            <v>MONITORINGS GJ SIA</v>
          </cell>
        </row>
        <row r="511">
          <cell r="A511" t="str">
            <v>MUDURI SIA</v>
          </cell>
        </row>
        <row r="512">
          <cell r="A512" t="str">
            <v>MULTIMARK SIA</v>
          </cell>
        </row>
        <row r="513">
          <cell r="A513" t="str">
            <v>MUNCY SIA</v>
          </cell>
        </row>
        <row r="514">
          <cell r="A514" t="str">
            <v>Mūsu mērnieks SIA</v>
          </cell>
        </row>
        <row r="515">
          <cell r="A515" t="str">
            <v>Mūzika Baltika SIA</v>
          </cell>
        </row>
        <row r="516">
          <cell r="A516" t="str">
            <v>MŪZIKAS KOLEKCIJA IK</v>
          </cell>
        </row>
        <row r="517">
          <cell r="A517" t="str">
            <v xml:space="preserve">N&amp;D SIA </v>
          </cell>
        </row>
        <row r="518">
          <cell r="A518" t="str">
            <v xml:space="preserve">Nauris Eglītis </v>
          </cell>
        </row>
        <row r="519">
          <cell r="A519" t="str">
            <v xml:space="preserve">NAVIN SIA </v>
          </cell>
        </row>
        <row r="520">
          <cell r="A520" t="str">
            <v>NEATKARĪGIE PROJEKTI Biedrība</v>
          </cell>
        </row>
        <row r="521">
          <cell r="A521" t="str">
            <v>NEKUSTAMO ĪPAŠUMU SABIEDRĪBA TEMPS SIA</v>
          </cell>
        </row>
        <row r="522">
          <cell r="A522" t="str">
            <v>NEKUSTAMO ĪPAŠUMU SERVISS SIA</v>
          </cell>
        </row>
        <row r="523">
          <cell r="A523" t="str">
            <v>Nereģistrēta iedzīvotāju grupa " Kultūras censoņi"</v>
          </cell>
        </row>
        <row r="524">
          <cell r="A524" t="str">
            <v>NETT SIA</v>
          </cell>
        </row>
        <row r="525">
          <cell r="A525" t="str">
            <v>NEWS AGENCY SIA</v>
          </cell>
        </row>
        <row r="526">
          <cell r="A526" t="str">
            <v>NEXT SIA</v>
          </cell>
        </row>
        <row r="527">
          <cell r="A527" t="str">
            <v>Nikolajs Ņesterovs</v>
          </cell>
        </row>
        <row r="528">
          <cell r="A528" t="str">
            <v>NIPPON AUTO SIA</v>
          </cell>
        </row>
        <row r="529">
          <cell r="A529" t="str">
            <v>NODARBINĀTĪBAS VALSTS AĢENTŪRA Rīgas reģionālā filiāle</v>
          </cell>
        </row>
        <row r="530">
          <cell r="A530" t="str">
            <v>Nodibinājums "Latvijas Bērnu fonds"</v>
          </cell>
        </row>
        <row r="531">
          <cell r="A531" t="str">
            <v xml:space="preserve">Nora Zviedre </v>
          </cell>
        </row>
        <row r="532">
          <cell r="A532" t="str">
            <v>NORDE SIA</v>
          </cell>
        </row>
        <row r="533">
          <cell r="A533" t="str">
            <v>NORTS SIA</v>
          </cell>
        </row>
        <row r="534">
          <cell r="A534" t="str">
            <v>NV Stils</v>
          </cell>
        </row>
        <row r="535">
          <cell r="A535" t="str">
            <v>Ogres novada pašvaldība</v>
          </cell>
        </row>
        <row r="536">
          <cell r="A536" t="str">
            <v>OJĀRS JANSONS</v>
          </cell>
        </row>
        <row r="537">
          <cell r="A537" t="str">
            <v>Olaines novada pašvaldība</v>
          </cell>
        </row>
        <row r="538">
          <cell r="A538" t="str">
            <v>ORTEGA SIA</v>
          </cell>
        </row>
        <row r="539">
          <cell r="A539" t="str">
            <v>Paspārne Biedrība Krīzes centrs ģimenēm ar bērniem</v>
          </cell>
        </row>
        <row r="540">
          <cell r="A540" t="str">
            <v>PATNIS UN PARTNERI SIA</v>
          </cell>
        </row>
        <row r="541">
          <cell r="A541" t="str">
            <v>Pētergailis SIA</v>
          </cell>
        </row>
        <row r="542">
          <cell r="A542" t="str">
            <v>Pēteris Balzāns</v>
          </cell>
        </row>
        <row r="543">
          <cell r="A543" t="str">
            <v>Pēteris Špakovs</v>
          </cell>
        </row>
        <row r="544">
          <cell r="A544" t="str">
            <v>Pētnieku darbnīca SIA</v>
          </cell>
        </row>
        <row r="545">
          <cell r="A545" t="str">
            <v>Pierīgas izglītības, kultūras un sporta pārvalde</v>
          </cell>
        </row>
        <row r="546">
          <cell r="A546" t="str">
            <v>PILSONĪBAS UN MIGRĀCIJAS LIETU PĀRVALDE</v>
          </cell>
        </row>
        <row r="547">
          <cell r="A547" t="str">
            <v>PLATFORMA SIA</v>
          </cell>
        </row>
        <row r="548">
          <cell r="A548" t="str">
            <v>Plūsma SIA</v>
          </cell>
        </row>
        <row r="549">
          <cell r="A549" t="str">
            <v>PĻAVNIEKI BSAC</v>
          </cell>
        </row>
        <row r="550">
          <cell r="A550" t="str">
            <v>Podnieku kaimiņi, Nereģistrēto iedzīvotāju grupa, Ernests Dreimanis</v>
          </cell>
        </row>
        <row r="551">
          <cell r="A551" t="str">
            <v>POST TEHNOLOGIES LATVIA SIA</v>
          </cell>
        </row>
        <row r="552">
          <cell r="A552" t="str">
            <v>PRĀNO KO SIA</v>
          </cell>
        </row>
        <row r="553">
          <cell r="A553" t="str">
            <v>Priekules novada dome</v>
          </cell>
        </row>
        <row r="554">
          <cell r="A554" t="str">
            <v>PRIVĀTĀ VIDUSSKOLA ĀBVS biedrība</v>
          </cell>
        </row>
        <row r="555">
          <cell r="A555" t="str">
            <v>PROGRESSIO, Nereģistrēto iedzīvotāju grupa, Inga Skrauce</v>
          </cell>
        </row>
        <row r="556">
          <cell r="A556" t="str">
            <v>PUTNU BALLE IK</v>
          </cell>
        </row>
        <row r="557">
          <cell r="A557" t="str">
            <v>QPD Latvija SIA</v>
          </cell>
        </row>
        <row r="558">
          <cell r="A558" t="str">
            <v>R.Grūbes Konsultāciju birojs SIA</v>
          </cell>
        </row>
        <row r="559">
          <cell r="A559" t="str">
            <v>Radošu speciālistu grupa, Nereģistrēto iedzīvotāju grupa, Līga Ermansone</v>
          </cell>
        </row>
        <row r="560">
          <cell r="A560" t="str">
            <v>Raimonds Zaķis</v>
          </cell>
        </row>
        <row r="561">
          <cell r="A561" t="str">
            <v>Raitis Sirmais</v>
          </cell>
        </row>
        <row r="562">
          <cell r="A562" t="str">
            <v>RAUTAKESKO AS</v>
          </cell>
        </row>
        <row r="563">
          <cell r="A563" t="str">
            <v>RDL Mīzikas Centrs SIA</v>
          </cell>
        </row>
        <row r="564">
          <cell r="A564" t="str">
            <v>RDL SIA</v>
          </cell>
        </row>
        <row r="565">
          <cell r="A565" t="str">
            <v>Regīna Petkuse</v>
          </cell>
        </row>
        <row r="566">
          <cell r="A566" t="str">
            <v>Reģionālie projekti SIA</v>
          </cell>
        </row>
        <row r="567">
          <cell r="A567" t="str">
            <v>Reģionu Partija Politiskā partija</v>
          </cell>
        </row>
        <row r="568">
          <cell r="A568" t="str">
            <v>REKLĀMAS AĢENTŪRA ALFA CENTRS SIA</v>
          </cell>
        </row>
        <row r="569">
          <cell r="A569" t="str">
            <v>Rekrutēšanas un jaunsardzes centrs</v>
          </cell>
        </row>
        <row r="570">
          <cell r="A570" t="str">
            <v>RELAKS TŪRE</v>
          </cell>
        </row>
        <row r="571">
          <cell r="A571" t="str">
            <v>REMARKS INŽENIERU TĪKLI SIA</v>
          </cell>
        </row>
        <row r="572">
          <cell r="A572" t="str">
            <v>REMARKS NEKUSTAMIE ĪPAŠUMI SIA</v>
          </cell>
        </row>
        <row r="573">
          <cell r="A573" t="str">
            <v>Remeos SIA</v>
          </cell>
        </row>
        <row r="574">
          <cell r="A574" t="str">
            <v>Remido SIA</v>
          </cell>
        </row>
        <row r="575">
          <cell r="A575" t="str">
            <v xml:space="preserve">RENESCO SIA </v>
          </cell>
        </row>
        <row r="576">
          <cell r="A576" t="str">
            <v>Restcom SIA</v>
          </cell>
        </row>
        <row r="577">
          <cell r="A577" t="str">
            <v>Rēzeknes gaļas kombināts SIA</v>
          </cell>
        </row>
        <row r="578">
          <cell r="A578" t="str">
            <v>RĒZEKNES PILSĒTAS KULTŪRAS NAMS</v>
          </cell>
        </row>
        <row r="579">
          <cell r="A579" t="str">
            <v>RG INVEST SIA</v>
          </cell>
        </row>
        <row r="580">
          <cell r="A580" t="str">
            <v>RIAS SIA</v>
          </cell>
        </row>
        <row r="581">
          <cell r="A581" t="str">
            <v>RIAS SIA</v>
          </cell>
        </row>
        <row r="582">
          <cell r="A582" t="str">
            <v>RIDEMO SIA</v>
          </cell>
        </row>
        <row r="583">
          <cell r="A583" t="str">
            <v>Riebiņu novada dome</v>
          </cell>
        </row>
        <row r="584">
          <cell r="A584" t="str">
            <v>RIGABURGER SIA</v>
          </cell>
        </row>
        <row r="585">
          <cell r="A585" t="str">
            <v>RĪGAS APRIŅĶA AVĪZE SIA</v>
          </cell>
        </row>
        <row r="586">
          <cell r="A586" t="str">
            <v>RĪGAS CEĻA BŪVE SIA</v>
          </cell>
        </row>
        <row r="587">
          <cell r="A587" t="str">
            <v>Rīgas domes Izglītības, kultūras un sporta departaments</v>
          </cell>
        </row>
        <row r="588">
          <cell r="A588" t="str">
            <v>RĪGAS LAKU UN KRĀSU RŪPNĪCA SIA</v>
          </cell>
        </row>
        <row r="589">
          <cell r="A589" t="str">
            <v>Rīgas Pedagoģijas un izglītības vadības akadēmija</v>
          </cell>
        </row>
        <row r="590">
          <cell r="A590" t="str">
            <v>Rīgas piena kombināts AS</v>
          </cell>
        </row>
        <row r="591">
          <cell r="A591" t="str">
            <v>Rīgas pilsētas pašvaldības Informācijas tehnoloģiju centrs</v>
          </cell>
        </row>
        <row r="592">
          <cell r="A592" t="str">
            <v>Rīgas plānošanas reģions</v>
          </cell>
        </row>
        <row r="593">
          <cell r="A593" t="str">
            <v>RĪGAS RAJONA NOVADU APVIENĪBA PP</v>
          </cell>
        </row>
        <row r="594">
          <cell r="A594" t="str">
            <v>RĪGAS RAJONA PADOME</v>
          </cell>
        </row>
        <row r="595">
          <cell r="A595" t="str">
            <v>RĪGAS REĢIONA ATTĪSTĪBAS AĢENTŪRA NODIBINĀJUMS</v>
          </cell>
        </row>
        <row r="596">
          <cell r="A596" t="str">
            <v>Rīgas Tehniskā koledža</v>
          </cell>
        </row>
        <row r="597">
          <cell r="A597" t="str">
            <v>Rīgas Tehniskā koledža</v>
          </cell>
        </row>
        <row r="598">
          <cell r="A598" t="str">
            <v>Rīgas ūdens SIA</v>
          </cell>
        </row>
        <row r="599">
          <cell r="A599" t="str">
            <v>RĪGAS ZĪMOGU FABRIKA SIA</v>
          </cell>
        </row>
        <row r="600">
          <cell r="A600" t="str">
            <v xml:space="preserve">Ri-ki SIA </v>
          </cell>
        </row>
        <row r="601">
          <cell r="A601" t="str">
            <v>RIMPEKS KP SIA</v>
          </cell>
        </row>
        <row r="602">
          <cell r="A602" t="str">
            <v>RIPESS SIA</v>
          </cell>
        </row>
        <row r="603">
          <cell r="A603" t="str">
            <v>RITA DAĢE</v>
          </cell>
        </row>
        <row r="604">
          <cell r="A604" t="str">
            <v>Rita Makejeva</v>
          </cell>
        </row>
        <row r="605">
          <cell r="A605" t="str">
            <v>ROLVIKS SIA</v>
          </cell>
        </row>
        <row r="606">
          <cell r="A606" t="str">
            <v>Ronalds Jaunzems</v>
          </cell>
        </row>
        <row r="607">
          <cell r="A607" t="str">
            <v>Ropažu novada dome</v>
          </cell>
        </row>
        <row r="608">
          <cell r="A608" t="str">
            <v>RO-SEIDO</v>
          </cell>
        </row>
        <row r="609">
          <cell r="A609" t="str">
            <v>RŪĶIS BL IU</v>
          </cell>
        </row>
        <row r="610">
          <cell r="A610" t="str">
            <v>RUP SIA</v>
          </cell>
        </row>
        <row r="611">
          <cell r="A611" t="str">
            <v>Ruslans AG SIA</v>
          </cell>
        </row>
        <row r="612">
          <cell r="A612" t="str">
            <v>SADALES TĪKLS AS</v>
          </cell>
        </row>
        <row r="613">
          <cell r="A613" t="str">
            <v>Salacgrīvas novada dome</v>
          </cell>
        </row>
        <row r="614">
          <cell r="A614" t="str">
            <v>SALDUMU TIRDZNIECĪBA SIA</v>
          </cell>
        </row>
        <row r="615">
          <cell r="A615" t="str">
            <v>Saldus novada pašvaldība</v>
          </cell>
        </row>
        <row r="616">
          <cell r="A616" t="str">
            <v>SALONS STALLIS SIA</v>
          </cell>
        </row>
        <row r="617">
          <cell r="A617" t="str">
            <v>SAN Motors SIA</v>
          </cell>
        </row>
        <row r="618">
          <cell r="A618" t="str">
            <v>SANDA MEINARTE</v>
          </cell>
        </row>
        <row r="619">
          <cell r="A619" t="str">
            <v>SANISTAL SIA</v>
          </cell>
        </row>
        <row r="620">
          <cell r="A620" t="str">
            <v>Sanita Megere-Klevinska</v>
          </cell>
        </row>
        <row r="621">
          <cell r="A621" t="str">
            <v>SANTA 98 SIA</v>
          </cell>
        </row>
        <row r="622">
          <cell r="A622" t="str">
            <v>Sapņotājas - Nereģistrētas iedzīvotāju grupas</v>
          </cell>
        </row>
        <row r="623">
          <cell r="A623" t="str">
            <v>Sarmīte Baķe</v>
          </cell>
        </row>
        <row r="624">
          <cell r="A624" t="str">
            <v>Satina SIA</v>
          </cell>
        </row>
        <row r="625">
          <cell r="A625" t="str">
            <v>SATTVIKA IK</v>
          </cell>
        </row>
        <row r="626">
          <cell r="A626" t="str">
            <v>Saules Vilnis SIA</v>
          </cell>
        </row>
        <row r="627">
          <cell r="A627" t="str">
            <v>SAULKRASTU MEŽI SIA</v>
          </cell>
        </row>
        <row r="628">
          <cell r="A628" t="str">
            <v>Saulkrastu novada dome</v>
          </cell>
        </row>
        <row r="629">
          <cell r="A629" t="str">
            <v>Savstarpējo attiecību institūts Biedrība</v>
          </cell>
        </row>
        <row r="630">
          <cell r="A630" t="str">
            <v>SEB banka AS Siguldas filiāle</v>
          </cell>
        </row>
        <row r="631">
          <cell r="A631" t="str">
            <v>SEB bankas Āgenskalna filiāle AS</v>
          </cell>
        </row>
        <row r="632">
          <cell r="A632" t="str">
            <v>SEB Dzīvības apdrošināšana AAS</v>
          </cell>
        </row>
        <row r="633">
          <cell r="A633" t="str">
            <v>SEGA AC SIA</v>
          </cell>
        </row>
        <row r="634">
          <cell r="A634" t="str">
            <v>Sekura stils SIA</v>
          </cell>
        </row>
        <row r="635">
          <cell r="A635" t="str">
            <v>SELDING SIA</v>
          </cell>
        </row>
        <row r="636">
          <cell r="A636" t="str">
            <v>SENA-L SIA</v>
          </cell>
        </row>
        <row r="637">
          <cell r="A637" t="str">
            <v>Sergeju Ivanova</v>
          </cell>
        </row>
        <row r="638">
          <cell r="A638" t="str">
            <v>SETTING SIA</v>
          </cell>
        </row>
        <row r="639">
          <cell r="A639" t="str">
            <v>SIGULDAS LAUKU KONSULTĀCIJAS BIROJS filiāle SIA</v>
          </cell>
        </row>
        <row r="640">
          <cell r="A640" t="str">
            <v>Siguldas novada dome</v>
          </cell>
        </row>
        <row r="641">
          <cell r="A641" t="str">
            <v>SILTUMS JUMS SIA</v>
          </cell>
        </row>
        <row r="642">
          <cell r="A642" t="str">
            <v>Silvis Grīnbergs</v>
          </cell>
        </row>
        <row r="643">
          <cell r="A643" t="str">
            <v xml:space="preserve">Skrīveru Saldumi SIA </v>
          </cell>
        </row>
        <row r="644">
          <cell r="A644" t="str">
            <v>Sociālais aprūpes centrs "Baldone" SIA</v>
          </cell>
        </row>
        <row r="645">
          <cell r="A645" t="str">
            <v>SOLANO SIA</v>
          </cell>
        </row>
        <row r="646">
          <cell r="A646" t="str">
            <v>SOUND SYSTEMS SIA</v>
          </cell>
        </row>
        <row r="647">
          <cell r="A647" t="str">
            <v>SPĒKA PASAULE Biedrība</v>
          </cell>
        </row>
        <row r="648">
          <cell r="A648" t="str">
            <v>SPLENDIT SIA</v>
          </cell>
        </row>
        <row r="649">
          <cell r="A649" t="str">
            <v>SPORTA HALLE SIA</v>
          </cell>
        </row>
        <row r="650">
          <cell r="A650" t="str">
            <v>SPORTA KLUBS UPESCIEMS Biedrība</v>
          </cell>
        </row>
        <row r="651">
          <cell r="A651" t="str">
            <v>Sporta skola "Garkalne" Biedrība</v>
          </cell>
        </row>
        <row r="652">
          <cell r="A652" t="str">
            <v>Stopiņu novada dome</v>
          </cell>
        </row>
        <row r="653">
          <cell r="A653" t="str">
            <v>Strautkalni - Nereģistrētas iedzīvotāju grupas</v>
          </cell>
        </row>
        <row r="654">
          <cell r="A654" t="str">
            <v>STUDIO LV SIA</v>
          </cell>
        </row>
        <row r="655">
          <cell r="A655" t="str">
            <v>Subates Romas Katoļu draudzes Sociālās aprūpes iestāde " Miera nams"</v>
          </cell>
        </row>
        <row r="656">
          <cell r="A656" t="str">
            <v>Sun Re.public SIA</v>
          </cell>
        </row>
        <row r="657">
          <cell r="A657" t="str">
            <v>SVĒTKU AĢENTŪRA SANTA Biedrība</v>
          </cell>
        </row>
        <row r="658">
          <cell r="A658" t="str">
            <v>Svetlana Artemjeva</v>
          </cell>
        </row>
        <row r="659">
          <cell r="A659" t="str">
            <v>Swedbank Autoparku Vadība SIA</v>
          </cell>
        </row>
        <row r="660">
          <cell r="A660" t="str">
            <v>Šmitu deju skola SIA</v>
          </cell>
        </row>
        <row r="661">
          <cell r="A661" t="str">
            <v xml:space="preserve">T.T.R. SIA </v>
          </cell>
        </row>
        <row r="662">
          <cell r="A662" t="str">
            <v>Tamāra Kosmačeva</v>
          </cell>
        </row>
        <row r="663">
          <cell r="A663" t="str">
            <v>TATJANA AMOSOVA</v>
          </cell>
        </row>
        <row r="664">
          <cell r="A664" t="str">
            <v>TCB Sistēmas SIA</v>
          </cell>
        </row>
        <row r="665">
          <cell r="A665" t="str">
            <v>TELE MEDIA SIA</v>
          </cell>
        </row>
        <row r="666">
          <cell r="A666" t="str">
            <v>TIESU ADMINISTRĀCIJA</v>
          </cell>
        </row>
        <row r="667">
          <cell r="A667" t="str">
            <v>TietoEnator Alise SIA</v>
          </cell>
        </row>
        <row r="668">
          <cell r="A668" t="str">
            <v>TILTS SIA</v>
          </cell>
        </row>
        <row r="669">
          <cell r="A669" t="str">
            <v xml:space="preserve">Tīrības nams SIA </v>
          </cell>
        </row>
        <row r="670">
          <cell r="A670" t="str">
            <v>TOPO SOLUTIONS SIA</v>
          </cell>
        </row>
        <row r="671">
          <cell r="A671" t="str">
            <v>Total Eesti OU</v>
          </cell>
        </row>
        <row r="672">
          <cell r="A672" t="str">
            <v xml:space="preserve">TRIO SMAIDA SIA </v>
          </cell>
        </row>
        <row r="673">
          <cell r="A673" t="str">
            <v>Troja SIA</v>
          </cell>
        </row>
        <row r="674">
          <cell r="A674" t="str">
            <v>TUKUMA GAĻAS CENTRS SIA</v>
          </cell>
        </row>
        <row r="675">
          <cell r="A675" t="str">
            <v>Tukuma novada Izglītības pārvalde</v>
          </cell>
        </row>
        <row r="676">
          <cell r="A676" t="str">
            <v>Ūdensrozes Ādažu novada makšķernieku biedrība</v>
          </cell>
        </row>
        <row r="677">
          <cell r="A677" t="str">
            <v>UĢIS ROZE</v>
          </cell>
        </row>
        <row r="678">
          <cell r="A678" t="str">
            <v>UNI TOURS SIA</v>
          </cell>
        </row>
        <row r="679">
          <cell r="A679" t="str">
            <v>UNISERVIS SIA</v>
          </cell>
        </row>
        <row r="680">
          <cell r="A680" t="str">
            <v>UNIVERSS SIA</v>
          </cell>
        </row>
        <row r="681">
          <cell r="A681" t="str">
            <v>Valdis Lapiņš</v>
          </cell>
        </row>
        <row r="682">
          <cell r="A682" t="str">
            <v>Valdis Perro</v>
          </cell>
        </row>
        <row r="683">
          <cell r="A683" t="str">
            <v>VALEMAR SIA</v>
          </cell>
        </row>
        <row r="684">
          <cell r="A684" t="str">
            <v>Valentīna Nagle</v>
          </cell>
        </row>
        <row r="685">
          <cell r="A685" t="str">
            <v xml:space="preserve">VALKS SIA </v>
          </cell>
        </row>
        <row r="686">
          <cell r="A686" t="str">
            <v>Valmieras pilsētas pašvaldība</v>
          </cell>
        </row>
        <row r="687">
          <cell r="A687" t="str">
            <v>Valsts aizsardzības militāro objektu un iepirkumu centrs</v>
          </cell>
        </row>
        <row r="688">
          <cell r="A688" t="str">
            <v>VALSTS AUGU AIZSARDZĪBAS DIENESTS</v>
          </cell>
        </row>
        <row r="689">
          <cell r="A689" t="str">
            <v>VALSTS IZGLĪTĪBAS ATTĪSTĪBAS AĢENTŪRA</v>
          </cell>
        </row>
        <row r="690">
          <cell r="A690" t="str">
            <v>Valsts izglītības satura centrs</v>
          </cell>
        </row>
        <row r="691">
          <cell r="A691" t="str">
            <v>VALSTS PROBĀCIJAS DIENESTS Rīgas raj. TSV Salaspils fil</v>
          </cell>
        </row>
        <row r="692">
          <cell r="A692" t="str">
            <v>Valsts reģionālās attīstības aģentūra</v>
          </cell>
        </row>
        <row r="693">
          <cell r="A693" t="str">
            <v>VALSTS SOCIĀLĀS APDROŠINĀŠANAS AĢENTŪRA</v>
          </cell>
        </row>
        <row r="694">
          <cell r="A694" t="str">
            <v>Valsts sociālās aprūpes centrs "Rīga"</v>
          </cell>
        </row>
        <row r="695">
          <cell r="A695" t="str">
            <v>VALSTS ZEMES DIENESTS</v>
          </cell>
        </row>
        <row r="696">
          <cell r="A696" t="str">
            <v>Varakļānu novada pašvaldība</v>
          </cell>
        </row>
        <row r="697">
          <cell r="A697" t="str">
            <v>VAS "Ceļu satiksmes drošības direkcija"</v>
          </cell>
        </row>
        <row r="698">
          <cell r="A698" t="str">
            <v>Vecāki - bērni - Nereģistrēta iedzīvotāju grupa</v>
          </cell>
        </row>
        <row r="699">
          <cell r="A699" t="str">
            <v>VECGAUJAS KOOPERATĪVĀ sabiedrība KS</v>
          </cell>
        </row>
        <row r="700">
          <cell r="A700" t="str">
            <v>VEC-KADERI Z/S</v>
          </cell>
        </row>
        <row r="701">
          <cell r="A701" t="str">
            <v>VEIJA SIA</v>
          </cell>
        </row>
        <row r="702">
          <cell r="A702" t="str">
            <v>Velta Skangale</v>
          </cell>
        </row>
        <row r="703">
          <cell r="A703" t="str">
            <v>VENDEN SIA</v>
          </cell>
        </row>
        <row r="704">
          <cell r="A704" t="str">
            <v>VENDOMATIC SIA</v>
          </cell>
        </row>
        <row r="705">
          <cell r="A705" t="str">
            <v>VENTMONTĀŽA SIA</v>
          </cell>
        </row>
        <row r="706">
          <cell r="A706" t="str">
            <v>Ventspils novada dome</v>
          </cell>
        </row>
        <row r="707">
          <cell r="A707" t="str">
            <v>Ventspils pilsētas dome Izglītības pārvalde</v>
          </cell>
        </row>
        <row r="708">
          <cell r="A708" t="str">
            <v>Vera Salieniece</v>
          </cell>
        </row>
        <row r="709">
          <cell r="A709" t="str">
            <v>Vērtēšanas Konsultantu grupa SIA</v>
          </cell>
        </row>
        <row r="710">
          <cell r="A710" t="str">
            <v>Vēsma Vālodze</v>
          </cell>
        </row>
        <row r="711">
          <cell r="A711" t="str">
            <v>Vestabalt SIA</v>
          </cell>
        </row>
        <row r="712">
          <cell r="A712" t="str">
            <v>VIDE EXPO IK</v>
          </cell>
        </row>
        <row r="713">
          <cell r="A713" t="str">
            <v>VIDES GEO SIA</v>
          </cell>
        </row>
        <row r="714">
          <cell r="A714" t="str">
            <v>VIDZEMES BIROJU GRUPA SIA</v>
          </cell>
        </row>
        <row r="715">
          <cell r="A715" t="str">
            <v xml:space="preserve">Vidzemes serviss SIA </v>
          </cell>
        </row>
        <row r="716">
          <cell r="A716" t="str">
            <v>Viesītes novada dome</v>
          </cell>
        </row>
        <row r="717">
          <cell r="A717" t="str">
            <v>VIESTURS EGLĪTIS</v>
          </cell>
        </row>
        <row r="718">
          <cell r="A718" t="str">
            <v>Vija Antone</v>
          </cell>
        </row>
        <row r="719">
          <cell r="A719" t="str">
            <v>VIJA DZINTARE</v>
          </cell>
        </row>
        <row r="720">
          <cell r="A720" t="str">
            <v>VIKTORIJA GŪTMANE</v>
          </cell>
        </row>
        <row r="721">
          <cell r="A721" t="str">
            <v>VIKTORS OSTROVSKIS</v>
          </cell>
        </row>
        <row r="722">
          <cell r="A722" t="str">
            <v>Vilnis Bogdanovs</v>
          </cell>
        </row>
        <row r="723">
          <cell r="A723" t="str">
            <v>Vilnis Jēkabsons</v>
          </cell>
        </row>
        <row r="724">
          <cell r="A724" t="str">
            <v>Viļakas novada dome</v>
          </cell>
        </row>
        <row r="725">
          <cell r="A725" t="str">
            <v>VIMLAT GROUP</v>
          </cell>
        </row>
        <row r="726">
          <cell r="A726" t="str">
            <v>VINDEKS SIA</v>
          </cell>
        </row>
        <row r="727">
          <cell r="A727" t="str">
            <v>Vīri kā ozoli, Nereģistrēto iedzīvotāju grupa, Juris Brīnums</v>
          </cell>
        </row>
        <row r="728">
          <cell r="A728" t="str">
            <v>VIRŠI-A AS</v>
          </cell>
        </row>
        <row r="729">
          <cell r="A729" t="str">
            <v>VISPĀRĒJĀS IZGLĪTĪBAS KVALITĀTES NOVĒRTĒŠANAS aģentūra</v>
          </cell>
        </row>
        <row r="730">
          <cell r="A730" t="str">
            <v>VISS PLUSĀ Sia</v>
          </cell>
        </row>
        <row r="731">
          <cell r="A731" t="str">
            <v>VITA mārkets SIA</v>
          </cell>
        </row>
        <row r="732">
          <cell r="A732" t="str">
            <v>Vitāliju Kondrašova</v>
          </cell>
        </row>
        <row r="733">
          <cell r="A733" t="str">
            <v>VLASTA STADLEROVA</v>
          </cell>
        </row>
        <row r="734">
          <cell r="A734" t="str">
            <v>VMT POINT SIA</v>
          </cell>
        </row>
        <row r="735">
          <cell r="A735" t="str">
            <v>VOLDEMĀRS SIA</v>
          </cell>
        </row>
        <row r="736">
          <cell r="A736" t="str">
            <v>VSKB Vide SIA</v>
          </cell>
        </row>
        <row r="737">
          <cell r="A737" t="str">
            <v>VVD SIA</v>
          </cell>
        </row>
        <row r="738">
          <cell r="A738" t="str">
            <v>WESEMANN SIA</v>
          </cell>
        </row>
        <row r="739">
          <cell r="A739" t="str">
            <v>X-ART SIA</v>
          </cell>
        </row>
        <row r="740">
          <cell r="A740" t="str">
            <v>YIT Tehsistem SIA</v>
          </cell>
        </row>
        <row r="741">
          <cell r="A741" t="str">
            <v xml:space="preserve">Zandis Musts </v>
          </cell>
        </row>
        <row r="742">
          <cell r="A742" t="str">
            <v>Zane Banka</v>
          </cell>
        </row>
        <row r="743">
          <cell r="A743" t="str">
            <v>Zane Savicka</v>
          </cell>
        </row>
        <row r="744">
          <cell r="A744" t="str">
            <v>ZELTA SMILTIS SIA</v>
          </cell>
        </row>
        <row r="745">
          <cell r="A745" t="str">
            <v>zemnieku saimniecība "Priedkalni A"</v>
          </cell>
        </row>
        <row r="746">
          <cell r="A746" t="str">
            <v>ZIEDOT Fonds</v>
          </cell>
        </row>
        <row r="747">
          <cell r="A747" t="str">
            <v>ZIEMEĻU NAFTA SIA</v>
          </cell>
        </row>
        <row r="748">
          <cell r="A748" t="str">
            <v>Zinaīda Ruskule</v>
          </cell>
        </row>
        <row r="749">
          <cell r="A749" t="str">
            <v>Zingus SIA</v>
          </cell>
        </row>
        <row r="750">
          <cell r="A750" t="str">
            <v>ZM KALVA Ceļojumu birojs</v>
          </cell>
        </row>
        <row r="751">
          <cell r="A751" t="str">
            <v>zvērināta advokāte Kristīne Dadzīte</v>
          </cell>
        </row>
        <row r="752">
          <cell r="A752" t="str">
            <v>ZZ DATS SIA</v>
          </cell>
        </row>
        <row r="753">
          <cell r="A753" t="str">
            <v>Valsts meža dienests</v>
          </cell>
        </row>
        <row r="754">
          <cell r="A754" t="str">
            <v>Lilita Krūmiņa</v>
          </cell>
        </row>
        <row r="755">
          <cell r="A755" t="str">
            <v>Valters Sīpols</v>
          </cell>
        </row>
        <row r="756">
          <cell r="A756" t="str">
            <v>Miķelis Fišers</v>
          </cell>
        </row>
        <row r="757">
          <cell r="A757" t="str">
            <v>Kate Lukstiņa</v>
          </cell>
        </row>
        <row r="758">
          <cell r="A758" t="str">
            <v>Gunita Lukstiņa</v>
          </cell>
        </row>
        <row r="759">
          <cell r="A759" t="str">
            <v>Ieva Lukstiņa</v>
          </cell>
        </row>
        <row r="760">
          <cell r="A760" t="str">
            <v>Valērijs Bulāns</v>
          </cell>
        </row>
        <row r="761">
          <cell r="A761" t="str">
            <v>Imants Pētersons</v>
          </cell>
        </row>
        <row r="762">
          <cell r="A762" t="str">
            <v>LĀSA-100 SIA</v>
          </cell>
        </row>
        <row r="763">
          <cell r="A763" t="str">
            <v>VN BALTEZERS SIA</v>
          </cell>
        </row>
        <row r="764">
          <cell r="A764" t="str">
            <v>Biedrība "Montessori bērnu māja"</v>
          </cell>
        </row>
        <row r="765">
          <cell r="A765" t="str">
            <v>Inta Dagile</v>
          </cell>
        </row>
        <row r="766">
          <cell r="A766" t="str">
            <v>Engures novada Dome</v>
          </cell>
        </row>
        <row r="767">
          <cell r="A767" t="str">
            <v>Līguna SIA</v>
          </cell>
        </row>
        <row r="768">
          <cell r="A768" t="str">
            <v>Larisa Karpenko</v>
          </cell>
        </row>
        <row r="769">
          <cell r="A769" t="str">
            <v>FRESH ONE SIA</v>
          </cell>
        </row>
        <row r="770">
          <cell r="A770" t="str">
            <v xml:space="preserve">Rīgas pilsētas pašvaldības </v>
          </cell>
        </row>
        <row r="771">
          <cell r="A771" t="str">
            <v>Armands Krasts</v>
          </cell>
        </row>
        <row r="772">
          <cell r="A772" t="str">
            <v>Lolita Zandberga</v>
          </cell>
        </row>
        <row r="773">
          <cell r="A773" t="str">
            <v>Tamāra Šivare</v>
          </cell>
        </row>
        <row r="774">
          <cell r="A774" t="str">
            <v>Sigita Djubina</v>
          </cell>
        </row>
        <row r="775">
          <cell r="A775" t="str">
            <v>Diāna Kurzemviece</v>
          </cell>
        </row>
        <row r="776">
          <cell r="A776" t="str">
            <v>Ober Haus Real Estate SIA</v>
          </cell>
        </row>
        <row r="777">
          <cell r="A777" t="str">
            <v>Dagdas novada pašvaldība</v>
          </cell>
        </row>
        <row r="778">
          <cell r="A778" t="str">
            <v>Dace Felkere</v>
          </cell>
        </row>
        <row r="779">
          <cell r="A779" t="str">
            <v>Silvija Nora Kalniņa</v>
          </cell>
        </row>
        <row r="780">
          <cell r="A780" t="str">
            <v>Ģirts Darkevics</v>
          </cell>
        </row>
        <row r="781">
          <cell r="A781" t="str">
            <v>Sanda Tūtere</v>
          </cell>
        </row>
        <row r="782">
          <cell r="A782" t="str">
            <v>Jolanta Stērniniece</v>
          </cell>
        </row>
        <row r="783">
          <cell r="A783" t="str">
            <v>Svetlana Jansone</v>
          </cell>
        </row>
        <row r="784">
          <cell r="A784" t="str">
            <v>Ritvars Kristapaitis</v>
          </cell>
        </row>
        <row r="785">
          <cell r="A785" t="str">
            <v>Dace Šinkūna</v>
          </cell>
        </row>
        <row r="786">
          <cell r="A786" t="str">
            <v>Agnese Zdanovska</v>
          </cell>
        </row>
        <row r="787">
          <cell r="A787" t="str">
            <v xml:space="preserve">Jānis Prauliņš </v>
          </cell>
        </row>
        <row r="788">
          <cell r="A788" t="str">
            <v>Daiga Buhholce</v>
          </cell>
        </row>
        <row r="789">
          <cell r="A789" t="str">
            <v>Dace Pence</v>
          </cell>
        </row>
        <row r="790">
          <cell r="A790" t="str">
            <v>Andris Misiņš</v>
          </cell>
        </row>
        <row r="791">
          <cell r="A791" t="str">
            <v>Liāna Jurēvica</v>
          </cell>
        </row>
        <row r="792">
          <cell r="A792" t="str">
            <v>RANTZOWS SPORT SIA</v>
          </cell>
        </row>
        <row r="793">
          <cell r="A793" t="str">
            <v>Citadele banka A/S</v>
          </cell>
        </row>
        <row r="794">
          <cell r="A794" t="str">
            <v>LUKoil Baltija R  SIA</v>
          </cell>
        </row>
        <row r="795">
          <cell r="A795" t="str">
            <v>Nilex SIA</v>
          </cell>
        </row>
        <row r="796">
          <cell r="A796" t="str">
            <v>Indra Feldmane</v>
          </cell>
        </row>
        <row r="797">
          <cell r="A797" t="str">
            <v>Pārtikas drošības, dzīvnieku veselības un vides zinātnes institūts "BOIR"</v>
          </cell>
        </row>
        <row r="798">
          <cell r="A798" t="str">
            <v>Inga Briede</v>
          </cell>
        </row>
        <row r="799">
          <cell r="A799" t="str">
            <v>Fransa SIA</v>
          </cell>
        </row>
        <row r="800">
          <cell r="A800" t="str">
            <v>Jānis Upmalis</v>
          </cell>
        </row>
        <row r="801">
          <cell r="A801" t="str">
            <v>Gaujas mala SIA</v>
          </cell>
        </row>
        <row r="802">
          <cell r="A802" t="str">
            <v>Lattelecom Technology SIA</v>
          </cell>
        </row>
        <row r="803">
          <cell r="A803" t="str">
            <v>Vecumnieku novada dome</v>
          </cell>
        </row>
        <row r="804">
          <cell r="A804" t="str">
            <v>Aizkraukles novada pašvaldība</v>
          </cell>
        </row>
        <row r="805">
          <cell r="A805" t="str">
            <v>Lielvārdes novada pašvaldība</v>
          </cell>
        </row>
        <row r="806">
          <cell r="A806" t="str">
            <v>Ilgvars Pavlovskis</v>
          </cell>
        </row>
        <row r="807">
          <cell r="A807" t="str">
            <v>Sauna Katram SIA</v>
          </cell>
        </row>
        <row r="808">
          <cell r="A808" t="str">
            <v>APGĀDS IMANTA SIA</v>
          </cell>
        </row>
        <row r="809">
          <cell r="A809" t="str">
            <v>ASKATS SIA</v>
          </cell>
        </row>
        <row r="810">
          <cell r="A810" t="str">
            <v>K&amp;U SIA</v>
          </cell>
        </row>
        <row r="811">
          <cell r="A811" t="str">
            <v>SEB banka AS</v>
          </cell>
        </row>
        <row r="812">
          <cell r="A812" t="str">
            <v>Mazais Baltezers SIA</v>
          </cell>
        </row>
        <row r="813">
          <cell r="A813" t="str">
            <v>Ivars Titovs</v>
          </cell>
        </row>
        <row r="814">
          <cell r="A814" t="str">
            <v>Ādažu Nami SIA</v>
          </cell>
        </row>
        <row r="815">
          <cell r="A815" t="str">
            <v>Roberts Rihards Kronbergs</v>
          </cell>
        </row>
        <row r="816">
          <cell r="A816" t="str">
            <v>Rolands Rojs Kronbergs</v>
          </cell>
        </row>
        <row r="817">
          <cell r="A817" t="str">
            <v>Ingūna Kronberga</v>
          </cell>
        </row>
      </sheetData>
      <sheetData sheetId="2" refreshError="1"/>
      <sheetData sheetId="3" refreshError="1">
        <row r="3">
          <cell r="A3" t="str">
            <v>Līgumi-juridiskās personas</v>
          </cell>
        </row>
        <row r="4">
          <cell r="A4" t="str">
            <v>Līgumi-fiziskas personas</v>
          </cell>
        </row>
        <row r="5">
          <cell r="A5" t="str">
            <v>Līgumi par nomu (iznomātāji)</v>
          </cell>
        </row>
        <row r="6">
          <cell r="A6" t="str">
            <v>Līgumi-jur./fiz. personas (D)</v>
          </cell>
        </row>
        <row r="7">
          <cell r="A7" t="str">
            <v>Līgumi par nomu (nomnieki)</v>
          </cell>
        </row>
        <row r="8">
          <cell r="A8" t="str">
            <v>Zemes noma (nomnieki)</v>
          </cell>
        </row>
        <row r="9">
          <cell r="A9" t="str">
            <v>Vienošanās</v>
          </cell>
        </row>
        <row r="10">
          <cell r="A10" t="str">
            <v>Licences</v>
          </cell>
        </row>
        <row r="11">
          <cell r="A11" t="str">
            <v>Pirkuma līgumi</v>
          </cell>
        </row>
        <row r="12">
          <cell r="A12" t="str">
            <v>Aizņēmuma līgumi</v>
          </cell>
        </row>
        <row r="13">
          <cell r="A13" t="str">
            <v>Līgumi-celtn. un kapit.remonts</v>
          </cell>
        </row>
        <row r="14">
          <cell r="A14" t="str">
            <v>Kredītlīgumi ar Valsts Kasi</v>
          </cell>
        </row>
        <row r="15">
          <cell r="A15" t="str">
            <v>Līgumi - par materiālo atbildību</v>
          </cell>
        </row>
        <row r="16">
          <cell r="A16" t="str">
            <v>Uzņēmuma Līgums</v>
          </cell>
        </row>
        <row r="17">
          <cell r="A17" t="str">
            <v xml:space="preserve">Dāvinājuma (ziedojuma) </v>
          </cell>
        </row>
        <row r="18">
          <cell r="A18" t="str">
            <v>Personīgā transportlīdzekļa izmantošanas līgums</v>
          </cell>
        </row>
        <row r="33">
          <cell r="A33" t="str">
            <v>L</v>
          </cell>
        </row>
      </sheetData>
      <sheetData sheetId="4" refreshError="1">
        <row r="1">
          <cell r="A1" t="str">
            <v xml:space="preserve"> </v>
          </cell>
        </row>
        <row r="2">
          <cell r="A2" t="str">
            <v>Pieņemšanas-nodošanas akts</v>
          </cell>
        </row>
        <row r="3">
          <cell r="A3" t="str">
            <v>Akts</v>
          </cell>
        </row>
        <row r="4">
          <cell r="A4" t="str">
            <v>Lēmums</v>
          </cell>
        </row>
        <row r="5">
          <cell r="A5" t="str">
            <v>Izziņa</v>
          </cell>
        </row>
        <row r="6">
          <cell r="A6" t="str">
            <v>Tāme</v>
          </cell>
        </row>
        <row r="7">
          <cell r="A7" t="str">
            <v>Protokols</v>
          </cell>
        </row>
        <row r="8">
          <cell r="A8" t="str">
            <v>Pieteikuma veidlapas</v>
          </cell>
        </row>
        <row r="9">
          <cell r="A9" t="str">
            <v>Pilnvara</v>
          </cell>
        </row>
        <row r="10">
          <cell r="A10" t="str">
            <v>Pielikums</v>
          </cell>
        </row>
        <row r="11">
          <cell r="A11" t="str">
            <v>iesniegums</v>
          </cell>
        </row>
        <row r="12">
          <cell r="A12" t="str">
            <v>piedāvājums</v>
          </cell>
        </row>
        <row r="13">
          <cell r="A13" t="str">
            <v>Reģistrācijas apliecība</v>
          </cell>
        </row>
        <row r="14">
          <cell r="A14" t="str">
            <v>Rīkojums</v>
          </cell>
        </row>
        <row r="15">
          <cell r="A15" t="str">
            <v>Aizdevuma atmaksas grafiks</v>
          </cell>
        </row>
      </sheetData>
      <sheetData sheetId="5" refreshError="1">
        <row r="1">
          <cell r="A1" t="str">
            <v xml:space="preserve">   </v>
          </cell>
        </row>
        <row r="2">
          <cell r="A2" t="str">
            <v>par izdarīto darbu</v>
          </cell>
        </row>
        <row r="3">
          <cell r="A3" t="str">
            <v>pēc rēķina</v>
          </cell>
        </row>
        <row r="4">
          <cell r="A4" t="str">
            <v>mēnesī</v>
          </cell>
        </row>
        <row r="5">
          <cell r="A5" t="str">
            <v>pēc PPR</v>
          </cell>
        </row>
        <row r="6">
          <cell r="A6" t="str">
            <v>par reizi</v>
          </cell>
        </row>
        <row r="7">
          <cell r="A7" t="str">
            <v>mēnesī par km**2</v>
          </cell>
        </row>
        <row r="8">
          <cell r="A8" t="str">
            <v>pēc specifikācijas</v>
          </cell>
        </row>
        <row r="9">
          <cell r="A9" t="str">
            <v>gadā</v>
          </cell>
        </row>
        <row r="10">
          <cell r="A10" t="str">
            <v>stundā</v>
          </cell>
        </row>
        <row r="11">
          <cell r="A11" t="str">
            <v>par 1 bērnu</v>
          </cell>
        </row>
        <row r="12">
          <cell r="A12" t="str">
            <v>45 minūtes</v>
          </cell>
        </row>
        <row r="13">
          <cell r="A13" t="str">
            <v>diennakts</v>
          </cell>
        </row>
        <row r="14">
          <cell r="A14" t="str">
            <v>e-pasta rēķins</v>
          </cell>
        </row>
        <row r="15">
          <cell r="A15" t="str">
            <v>ceļazīme</v>
          </cell>
        </row>
        <row r="16">
          <cell r="A16" t="str">
            <v>par kvadrātmetru</v>
          </cell>
        </row>
        <row r="17">
          <cell r="A17" t="str">
            <v>kopējā līguma summa</v>
          </cell>
        </row>
        <row r="18">
          <cell r="A18" t="str">
            <v>par 1 lietas apstrādi</v>
          </cell>
        </row>
        <row r="19">
          <cell r="A19" t="str">
            <v>mēnesi  par m2</v>
          </cell>
        </row>
        <row r="20">
          <cell r="A20" t="str">
            <v>Dāvinājums</v>
          </cell>
        </row>
        <row r="21">
          <cell r="A21" t="str">
            <v>Ls/kWh</v>
          </cell>
        </row>
        <row r="22">
          <cell r="A22" t="str">
            <v>papildus darbi</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aibai"/>
      <sheetName val="Jautajumi"/>
      <sheetName val="Budžeta faila apraksts"/>
      <sheetName val="check"/>
      <sheetName val="Grafiki_2023"/>
      <sheetName val="Skaidrojumi"/>
      <sheetName val="Tames"/>
      <sheetName val="PIVOT_2023"/>
      <sheetName val="Investīcijas_2023"/>
      <sheetName val="Pivot_invest_2023"/>
      <sheetName val="PFIF prognoze"/>
      <sheetName val="2022-2027"/>
      <sheetName val="2023.gada budzeta plans_apvieno"/>
      <sheetName val="Grafiki_budžeta_izpilde"/>
      <sheetName val="Grafiki"/>
      <sheetName val="INPUT"/>
      <sheetName val="Filtri"/>
      <sheetName val="31122022_final"/>
      <sheetName val="Pivot_Saraksts"/>
      <sheetName val="0841"/>
      <sheetName val="0841.1_Gaujas svetki"/>
      <sheetName val="0841.4_Dziesmu svētki"/>
      <sheetName val="0812_Sport"/>
      <sheetName val="0812 _Trenažieri"/>
      <sheetName val="0630_dekori"/>
      <sheetName val="Priekšlikumi ārtelpas projekt"/>
      <sheetName val="EKK"/>
      <sheetName val="Ieņēmumi"/>
      <sheetName val="KA_31122022"/>
      <sheetName val="Algas_2023"/>
      <sheetName val="4.piel_Saistibas"/>
      <sheetName val="4.piel_Saistibas (%likmes)"/>
      <sheetName val="Saistibas_VK_prognoze"/>
      <sheetName val="5.piel.EKK"/>
      <sheetName val="Deputāti"/>
      <sheetName val="Velesanu_komis_loc"/>
      <sheetName val="Adm_komisija"/>
      <sheetName val="Iepirk_komisija"/>
      <sheetName val="Komisijas"/>
      <sheetName val="1_Budzets_2023_actual_12_202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E6BCA-6616-4361-A359-6D89E28C9AF5}">
  <sheetPr>
    <tabColor rgb="FF92D050"/>
    <pageSetUpPr fitToPage="1"/>
  </sheetPr>
  <dimension ref="A1:W285"/>
  <sheetViews>
    <sheetView tabSelected="1" zoomScaleNormal="100" zoomScaleSheetLayoutView="80" workbookViewId="0">
      <pane xSplit="4" ySplit="5" topLeftCell="I6" activePane="bottomRight" state="frozen"/>
      <selection activeCell="C1" sqref="C1"/>
      <selection pane="topRight" activeCell="E1" sqref="E1"/>
      <selection pane="bottomLeft" activeCell="C6" sqref="C6"/>
      <selection pane="bottomRight" activeCell="O8" sqref="O8"/>
    </sheetView>
  </sheetViews>
  <sheetFormatPr defaultRowHeight="15" outlineLevelRow="1" outlineLevelCol="2" x14ac:dyDescent="0.25"/>
  <cols>
    <col min="1" max="1" width="7.85546875" style="94" hidden="1" customWidth="1" outlineLevel="2"/>
    <col min="2" max="2" width="11.42578125" style="94" hidden="1" customWidth="1" outlineLevel="2"/>
    <col min="3" max="3" width="15" style="167" customWidth="1" collapsed="1"/>
    <col min="4" max="4" width="48.5703125" style="96" customWidth="1"/>
    <col min="5" max="5" width="14.85546875" style="3" customWidth="1"/>
    <col min="6" max="6" width="14.85546875" style="3" customWidth="1" collapsed="1"/>
    <col min="7" max="7" width="14.85546875" style="94" hidden="1" customWidth="1" outlineLevel="1"/>
    <col min="8" max="8" width="54" style="8" hidden="1" customWidth="1" outlineLevel="1" collapsed="1"/>
    <col min="9" max="9" width="14.85546875" style="94" customWidth="1" collapsed="1"/>
    <col min="10" max="10" width="14.85546875" style="94" hidden="1" customWidth="1" outlineLevel="1"/>
    <col min="11" max="11" width="56.42578125" style="8" hidden="1" customWidth="1" outlineLevel="1" collapsed="1"/>
    <col min="12" max="12" width="14.85546875" style="94" customWidth="1" collapsed="1"/>
    <col min="13" max="13" width="14.85546875" style="94" hidden="1" customWidth="1" outlineLevel="1"/>
    <col min="14" max="14" width="56.42578125" style="8" hidden="1" customWidth="1" outlineLevel="1" collapsed="1"/>
    <col min="15" max="15" width="14.85546875" style="94" customWidth="1" collapsed="1"/>
    <col min="16" max="16" width="14.85546875" style="94" hidden="1" customWidth="1" outlineLevel="1"/>
    <col min="17" max="17" width="56.42578125" style="8" hidden="1" customWidth="1" outlineLevel="1" collapsed="1"/>
    <col min="18" max="18" width="14.85546875" style="94" customWidth="1" collapsed="1"/>
    <col min="19" max="19" width="14.85546875" style="94" hidden="1" customWidth="1" outlineLevel="1"/>
    <col min="20" max="20" width="56.42578125" style="8" hidden="1" customWidth="1" outlineLevel="1" collapsed="1"/>
    <col min="21" max="21" width="14.85546875" style="94" customWidth="1" collapsed="1"/>
    <col min="22" max="22" width="14.85546875" style="94" customWidth="1"/>
    <col min="23" max="23" width="56.42578125" style="8" customWidth="1" collapsed="1"/>
    <col min="24" max="185" width="9" style="94"/>
    <col min="186" max="187" width="0" style="94" hidden="1" customWidth="1"/>
    <col min="188" max="188" width="13.7109375" style="94" customWidth="1"/>
    <col min="189" max="189" width="52.85546875" style="94" customWidth="1"/>
    <col min="190" max="229" width="0" style="94" hidden="1" customWidth="1"/>
    <col min="230" max="231" width="14.85546875" style="94" customWidth="1"/>
    <col min="232" max="233" width="0" style="94" hidden="1" customWidth="1"/>
    <col min="234" max="234" width="14.85546875" style="94" customWidth="1"/>
    <col min="235" max="236" width="0" style="94" hidden="1" customWidth="1"/>
    <col min="237" max="237" width="14.85546875" style="94" customWidth="1"/>
    <col min="238" max="239" width="0" style="94" hidden="1" customWidth="1"/>
    <col min="240" max="240" width="14.85546875" style="94" customWidth="1"/>
    <col min="241" max="242" width="0" style="94" hidden="1" customWidth="1"/>
    <col min="243" max="243" width="14.85546875" style="94" customWidth="1"/>
    <col min="244" max="245" width="0" style="94" hidden="1" customWidth="1"/>
    <col min="246" max="247" width="14.85546875" style="94" customWidth="1"/>
    <col min="248" max="248" width="44.42578125" style="94" customWidth="1"/>
    <col min="249" max="253" width="14.85546875" style="94" customWidth="1"/>
    <col min="254" max="254" width="63.85546875" style="94" customWidth="1"/>
    <col min="255" max="255" width="13.28515625" style="94" customWidth="1"/>
    <col min="256" max="441" width="9" style="94"/>
    <col min="442" max="443" width="0" style="94" hidden="1" customWidth="1"/>
    <col min="444" max="444" width="13.7109375" style="94" customWidth="1"/>
    <col min="445" max="445" width="52.85546875" style="94" customWidth="1"/>
    <col min="446" max="485" width="0" style="94" hidden="1" customWidth="1"/>
    <col min="486" max="487" width="14.85546875" style="94" customWidth="1"/>
    <col min="488" max="489" width="0" style="94" hidden="1" customWidth="1"/>
    <col min="490" max="490" width="14.85546875" style="94" customWidth="1"/>
    <col min="491" max="492" width="0" style="94" hidden="1" customWidth="1"/>
    <col min="493" max="493" width="14.85546875" style="94" customWidth="1"/>
    <col min="494" max="495" width="0" style="94" hidden="1" customWidth="1"/>
    <col min="496" max="496" width="14.85546875" style="94" customWidth="1"/>
    <col min="497" max="498" width="0" style="94" hidden="1" customWidth="1"/>
    <col min="499" max="499" width="14.85546875" style="94" customWidth="1"/>
    <col min="500" max="501" width="0" style="94" hidden="1" customWidth="1"/>
    <col min="502" max="503" width="14.85546875" style="94" customWidth="1"/>
    <col min="504" max="504" width="44.42578125" style="94" customWidth="1"/>
    <col min="505" max="509" width="14.85546875" style="94" customWidth="1"/>
    <col min="510" max="510" width="63.85546875" style="94" customWidth="1"/>
    <col min="511" max="511" width="13.28515625" style="94" customWidth="1"/>
    <col min="512" max="697" width="9" style="94"/>
    <col min="698" max="699" width="0" style="94" hidden="1" customWidth="1"/>
    <col min="700" max="700" width="13.7109375" style="94" customWidth="1"/>
    <col min="701" max="701" width="52.85546875" style="94" customWidth="1"/>
    <col min="702" max="741" width="0" style="94" hidden="1" customWidth="1"/>
    <col min="742" max="743" width="14.85546875" style="94" customWidth="1"/>
    <col min="744" max="745" width="0" style="94" hidden="1" customWidth="1"/>
    <col min="746" max="746" width="14.85546875" style="94" customWidth="1"/>
    <col min="747" max="748" width="0" style="94" hidden="1" customWidth="1"/>
    <col min="749" max="749" width="14.85546875" style="94" customWidth="1"/>
    <col min="750" max="751" width="0" style="94" hidden="1" customWidth="1"/>
    <col min="752" max="752" width="14.85546875" style="94" customWidth="1"/>
    <col min="753" max="754" width="0" style="94" hidden="1" customWidth="1"/>
    <col min="755" max="755" width="14.85546875" style="94" customWidth="1"/>
    <col min="756" max="757" width="0" style="94" hidden="1" customWidth="1"/>
    <col min="758" max="759" width="14.85546875" style="94" customWidth="1"/>
    <col min="760" max="760" width="44.42578125" style="94" customWidth="1"/>
    <col min="761" max="765" width="14.85546875" style="94" customWidth="1"/>
    <col min="766" max="766" width="63.85546875" style="94" customWidth="1"/>
    <col min="767" max="767" width="13.28515625" style="94" customWidth="1"/>
    <col min="768" max="953" width="9" style="94"/>
    <col min="954" max="955" width="0" style="94" hidden="1" customWidth="1"/>
    <col min="956" max="956" width="13.7109375" style="94" customWidth="1"/>
    <col min="957" max="957" width="52.85546875" style="94" customWidth="1"/>
    <col min="958" max="997" width="0" style="94" hidden="1" customWidth="1"/>
    <col min="998" max="999" width="14.85546875" style="94" customWidth="1"/>
    <col min="1000" max="1001" width="0" style="94" hidden="1" customWidth="1"/>
    <col min="1002" max="1002" width="14.85546875" style="94" customWidth="1"/>
    <col min="1003" max="1004" width="0" style="94" hidden="1" customWidth="1"/>
    <col min="1005" max="1005" width="14.85546875" style="94" customWidth="1"/>
    <col min="1006" max="1007" width="0" style="94" hidden="1" customWidth="1"/>
    <col min="1008" max="1008" width="14.85546875" style="94" customWidth="1"/>
    <col min="1009" max="1010" width="0" style="94" hidden="1" customWidth="1"/>
    <col min="1011" max="1011" width="14.85546875" style="94" customWidth="1"/>
    <col min="1012" max="1013" width="0" style="94" hidden="1" customWidth="1"/>
    <col min="1014" max="1015" width="14.85546875" style="94" customWidth="1"/>
    <col min="1016" max="1016" width="44.42578125" style="94" customWidth="1"/>
    <col min="1017" max="1021" width="14.85546875" style="94" customWidth="1"/>
    <col min="1022" max="1022" width="63.85546875" style="94" customWidth="1"/>
    <col min="1023" max="1023" width="13.28515625" style="94" customWidth="1"/>
    <col min="1024" max="1209" width="9" style="94"/>
    <col min="1210" max="1211" width="0" style="94" hidden="1" customWidth="1"/>
    <col min="1212" max="1212" width="13.7109375" style="94" customWidth="1"/>
    <col min="1213" max="1213" width="52.85546875" style="94" customWidth="1"/>
    <col min="1214" max="1253" width="0" style="94" hidden="1" customWidth="1"/>
    <col min="1254" max="1255" width="14.85546875" style="94" customWidth="1"/>
    <col min="1256" max="1257" width="0" style="94" hidden="1" customWidth="1"/>
    <col min="1258" max="1258" width="14.85546875" style="94" customWidth="1"/>
    <col min="1259" max="1260" width="0" style="94" hidden="1" customWidth="1"/>
    <col min="1261" max="1261" width="14.85546875" style="94" customWidth="1"/>
    <col min="1262" max="1263" width="0" style="94" hidden="1" customWidth="1"/>
    <col min="1264" max="1264" width="14.85546875" style="94" customWidth="1"/>
    <col min="1265" max="1266" width="0" style="94" hidden="1" customWidth="1"/>
    <col min="1267" max="1267" width="14.85546875" style="94" customWidth="1"/>
    <col min="1268" max="1269" width="0" style="94" hidden="1" customWidth="1"/>
    <col min="1270" max="1271" width="14.85546875" style="94" customWidth="1"/>
    <col min="1272" max="1272" width="44.42578125" style="94" customWidth="1"/>
    <col min="1273" max="1277" width="14.85546875" style="94" customWidth="1"/>
    <col min="1278" max="1278" width="63.85546875" style="94" customWidth="1"/>
    <col min="1279" max="1279" width="13.28515625" style="94" customWidth="1"/>
    <col min="1280" max="1465" width="9" style="94"/>
    <col min="1466" max="1467" width="0" style="94" hidden="1" customWidth="1"/>
    <col min="1468" max="1468" width="13.7109375" style="94" customWidth="1"/>
    <col min="1469" max="1469" width="52.85546875" style="94" customWidth="1"/>
    <col min="1470" max="1509" width="0" style="94" hidden="1" customWidth="1"/>
    <col min="1510" max="1511" width="14.85546875" style="94" customWidth="1"/>
    <col min="1512" max="1513" width="0" style="94" hidden="1" customWidth="1"/>
    <col min="1514" max="1514" width="14.85546875" style="94" customWidth="1"/>
    <col min="1515" max="1516" width="0" style="94" hidden="1" customWidth="1"/>
    <col min="1517" max="1517" width="14.85546875" style="94" customWidth="1"/>
    <col min="1518" max="1519" width="0" style="94" hidden="1" customWidth="1"/>
    <col min="1520" max="1520" width="14.85546875" style="94" customWidth="1"/>
    <col min="1521" max="1522" width="0" style="94" hidden="1" customWidth="1"/>
    <col min="1523" max="1523" width="14.85546875" style="94" customWidth="1"/>
    <col min="1524" max="1525" width="0" style="94" hidden="1" customWidth="1"/>
    <col min="1526" max="1527" width="14.85546875" style="94" customWidth="1"/>
    <col min="1528" max="1528" width="44.42578125" style="94" customWidth="1"/>
    <col min="1529" max="1533" width="14.85546875" style="94" customWidth="1"/>
    <col min="1534" max="1534" width="63.85546875" style="94" customWidth="1"/>
    <col min="1535" max="1535" width="13.28515625" style="94" customWidth="1"/>
    <col min="1536" max="1721" width="9" style="94"/>
    <col min="1722" max="1723" width="0" style="94" hidden="1" customWidth="1"/>
    <col min="1724" max="1724" width="13.7109375" style="94" customWidth="1"/>
    <col min="1725" max="1725" width="52.85546875" style="94" customWidth="1"/>
    <col min="1726" max="1765" width="0" style="94" hidden="1" customWidth="1"/>
    <col min="1766" max="1767" width="14.85546875" style="94" customWidth="1"/>
    <col min="1768" max="1769" width="0" style="94" hidden="1" customWidth="1"/>
    <col min="1770" max="1770" width="14.85546875" style="94" customWidth="1"/>
    <col min="1771" max="1772" width="0" style="94" hidden="1" customWidth="1"/>
    <col min="1773" max="1773" width="14.85546875" style="94" customWidth="1"/>
    <col min="1774" max="1775" width="0" style="94" hidden="1" customWidth="1"/>
    <col min="1776" max="1776" width="14.85546875" style="94" customWidth="1"/>
    <col min="1777" max="1778" width="0" style="94" hidden="1" customWidth="1"/>
    <col min="1779" max="1779" width="14.85546875" style="94" customWidth="1"/>
    <col min="1780" max="1781" width="0" style="94" hidden="1" customWidth="1"/>
    <col min="1782" max="1783" width="14.85546875" style="94" customWidth="1"/>
    <col min="1784" max="1784" width="44.42578125" style="94" customWidth="1"/>
    <col min="1785" max="1789" width="14.85546875" style="94" customWidth="1"/>
    <col min="1790" max="1790" width="63.85546875" style="94" customWidth="1"/>
    <col min="1791" max="1791" width="13.28515625" style="94" customWidth="1"/>
    <col min="1792" max="1977" width="9" style="94"/>
    <col min="1978" max="1979" width="0" style="94" hidden="1" customWidth="1"/>
    <col min="1980" max="1980" width="13.7109375" style="94" customWidth="1"/>
    <col min="1981" max="1981" width="52.85546875" style="94" customWidth="1"/>
    <col min="1982" max="2021" width="0" style="94" hidden="1" customWidth="1"/>
    <col min="2022" max="2023" width="14.85546875" style="94" customWidth="1"/>
    <col min="2024" max="2025" width="0" style="94" hidden="1" customWidth="1"/>
    <col min="2026" max="2026" width="14.85546875" style="94" customWidth="1"/>
    <col min="2027" max="2028" width="0" style="94" hidden="1" customWidth="1"/>
    <col min="2029" max="2029" width="14.85546875" style="94" customWidth="1"/>
    <col min="2030" max="2031" width="0" style="94" hidden="1" customWidth="1"/>
    <col min="2032" max="2032" width="14.85546875" style="94" customWidth="1"/>
    <col min="2033" max="2034" width="0" style="94" hidden="1" customWidth="1"/>
    <col min="2035" max="2035" width="14.85546875" style="94" customWidth="1"/>
    <col min="2036" max="2037" width="0" style="94" hidden="1" customWidth="1"/>
    <col min="2038" max="2039" width="14.85546875" style="94" customWidth="1"/>
    <col min="2040" max="2040" width="44.42578125" style="94" customWidth="1"/>
    <col min="2041" max="2045" width="14.85546875" style="94" customWidth="1"/>
    <col min="2046" max="2046" width="63.85546875" style="94" customWidth="1"/>
    <col min="2047" max="2047" width="13.28515625" style="94" customWidth="1"/>
    <col min="2048" max="2233" width="9" style="94"/>
    <col min="2234" max="2235" width="0" style="94" hidden="1" customWidth="1"/>
    <col min="2236" max="2236" width="13.7109375" style="94" customWidth="1"/>
    <col min="2237" max="2237" width="52.85546875" style="94" customWidth="1"/>
    <col min="2238" max="2277" width="0" style="94" hidden="1" customWidth="1"/>
    <col min="2278" max="2279" width="14.85546875" style="94" customWidth="1"/>
    <col min="2280" max="2281" width="0" style="94" hidden="1" customWidth="1"/>
    <col min="2282" max="2282" width="14.85546875" style="94" customWidth="1"/>
    <col min="2283" max="2284" width="0" style="94" hidden="1" customWidth="1"/>
    <col min="2285" max="2285" width="14.85546875" style="94" customWidth="1"/>
    <col min="2286" max="2287" width="0" style="94" hidden="1" customWidth="1"/>
    <col min="2288" max="2288" width="14.85546875" style="94" customWidth="1"/>
    <col min="2289" max="2290" width="0" style="94" hidden="1" customWidth="1"/>
    <col min="2291" max="2291" width="14.85546875" style="94" customWidth="1"/>
    <col min="2292" max="2293" width="0" style="94" hidden="1" customWidth="1"/>
    <col min="2294" max="2295" width="14.85546875" style="94" customWidth="1"/>
    <col min="2296" max="2296" width="44.42578125" style="94" customWidth="1"/>
    <col min="2297" max="2301" width="14.85546875" style="94" customWidth="1"/>
    <col min="2302" max="2302" width="63.85546875" style="94" customWidth="1"/>
    <col min="2303" max="2303" width="13.28515625" style="94" customWidth="1"/>
    <col min="2304" max="2489" width="9" style="94"/>
    <col min="2490" max="2491" width="0" style="94" hidden="1" customWidth="1"/>
    <col min="2492" max="2492" width="13.7109375" style="94" customWidth="1"/>
    <col min="2493" max="2493" width="52.85546875" style="94" customWidth="1"/>
    <col min="2494" max="2533" width="0" style="94" hidden="1" customWidth="1"/>
    <col min="2534" max="2535" width="14.85546875" style="94" customWidth="1"/>
    <col min="2536" max="2537" width="0" style="94" hidden="1" customWidth="1"/>
    <col min="2538" max="2538" width="14.85546875" style="94" customWidth="1"/>
    <col min="2539" max="2540" width="0" style="94" hidden="1" customWidth="1"/>
    <col min="2541" max="2541" width="14.85546875" style="94" customWidth="1"/>
    <col min="2542" max="2543" width="0" style="94" hidden="1" customWidth="1"/>
    <col min="2544" max="2544" width="14.85546875" style="94" customWidth="1"/>
    <col min="2545" max="2546" width="0" style="94" hidden="1" customWidth="1"/>
    <col min="2547" max="2547" width="14.85546875" style="94" customWidth="1"/>
    <col min="2548" max="2549" width="0" style="94" hidden="1" customWidth="1"/>
    <col min="2550" max="2551" width="14.85546875" style="94" customWidth="1"/>
    <col min="2552" max="2552" width="44.42578125" style="94" customWidth="1"/>
    <col min="2553" max="2557" width="14.85546875" style="94" customWidth="1"/>
    <col min="2558" max="2558" width="63.85546875" style="94" customWidth="1"/>
    <col min="2559" max="2559" width="13.28515625" style="94" customWidth="1"/>
    <col min="2560" max="2745" width="9" style="94"/>
    <col min="2746" max="2747" width="0" style="94" hidden="1" customWidth="1"/>
    <col min="2748" max="2748" width="13.7109375" style="94" customWidth="1"/>
    <col min="2749" max="2749" width="52.85546875" style="94" customWidth="1"/>
    <col min="2750" max="2789" width="0" style="94" hidden="1" customWidth="1"/>
    <col min="2790" max="2791" width="14.85546875" style="94" customWidth="1"/>
    <col min="2792" max="2793" width="0" style="94" hidden="1" customWidth="1"/>
    <col min="2794" max="2794" width="14.85546875" style="94" customWidth="1"/>
    <col min="2795" max="2796" width="0" style="94" hidden="1" customWidth="1"/>
    <col min="2797" max="2797" width="14.85546875" style="94" customWidth="1"/>
    <col min="2798" max="2799" width="0" style="94" hidden="1" customWidth="1"/>
    <col min="2800" max="2800" width="14.85546875" style="94" customWidth="1"/>
    <col min="2801" max="2802" width="0" style="94" hidden="1" customWidth="1"/>
    <col min="2803" max="2803" width="14.85546875" style="94" customWidth="1"/>
    <col min="2804" max="2805" width="0" style="94" hidden="1" customWidth="1"/>
    <col min="2806" max="2807" width="14.85546875" style="94" customWidth="1"/>
    <col min="2808" max="2808" width="44.42578125" style="94" customWidth="1"/>
    <col min="2809" max="2813" width="14.85546875" style="94" customWidth="1"/>
    <col min="2814" max="2814" width="63.85546875" style="94" customWidth="1"/>
    <col min="2815" max="2815" width="13.28515625" style="94" customWidth="1"/>
    <col min="2816" max="3001" width="9" style="94"/>
    <col min="3002" max="3003" width="0" style="94" hidden="1" customWidth="1"/>
    <col min="3004" max="3004" width="13.7109375" style="94" customWidth="1"/>
    <col min="3005" max="3005" width="52.85546875" style="94" customWidth="1"/>
    <col min="3006" max="3045" width="0" style="94" hidden="1" customWidth="1"/>
    <col min="3046" max="3047" width="14.85546875" style="94" customWidth="1"/>
    <col min="3048" max="3049" width="0" style="94" hidden="1" customWidth="1"/>
    <col min="3050" max="3050" width="14.85546875" style="94" customWidth="1"/>
    <col min="3051" max="3052" width="0" style="94" hidden="1" customWidth="1"/>
    <col min="3053" max="3053" width="14.85546875" style="94" customWidth="1"/>
    <col min="3054" max="3055" width="0" style="94" hidden="1" customWidth="1"/>
    <col min="3056" max="3056" width="14.85546875" style="94" customWidth="1"/>
    <col min="3057" max="3058" width="0" style="94" hidden="1" customWidth="1"/>
    <col min="3059" max="3059" width="14.85546875" style="94" customWidth="1"/>
    <col min="3060" max="3061" width="0" style="94" hidden="1" customWidth="1"/>
    <col min="3062" max="3063" width="14.85546875" style="94" customWidth="1"/>
    <col min="3064" max="3064" width="44.42578125" style="94" customWidth="1"/>
    <col min="3065" max="3069" width="14.85546875" style="94" customWidth="1"/>
    <col min="3070" max="3070" width="63.85546875" style="94" customWidth="1"/>
    <col min="3071" max="3071" width="13.28515625" style="94" customWidth="1"/>
    <col min="3072" max="3257" width="9" style="94"/>
    <col min="3258" max="3259" width="0" style="94" hidden="1" customWidth="1"/>
    <col min="3260" max="3260" width="13.7109375" style="94" customWidth="1"/>
    <col min="3261" max="3261" width="52.85546875" style="94" customWidth="1"/>
    <col min="3262" max="3301" width="0" style="94" hidden="1" customWidth="1"/>
    <col min="3302" max="3303" width="14.85546875" style="94" customWidth="1"/>
    <col min="3304" max="3305" width="0" style="94" hidden="1" customWidth="1"/>
    <col min="3306" max="3306" width="14.85546875" style="94" customWidth="1"/>
    <col min="3307" max="3308" width="0" style="94" hidden="1" customWidth="1"/>
    <col min="3309" max="3309" width="14.85546875" style="94" customWidth="1"/>
    <col min="3310" max="3311" width="0" style="94" hidden="1" customWidth="1"/>
    <col min="3312" max="3312" width="14.85546875" style="94" customWidth="1"/>
    <col min="3313" max="3314" width="0" style="94" hidden="1" customWidth="1"/>
    <col min="3315" max="3315" width="14.85546875" style="94" customWidth="1"/>
    <col min="3316" max="3317" width="0" style="94" hidden="1" customWidth="1"/>
    <col min="3318" max="3319" width="14.85546875" style="94" customWidth="1"/>
    <col min="3320" max="3320" width="44.42578125" style="94" customWidth="1"/>
    <col min="3321" max="3325" width="14.85546875" style="94" customWidth="1"/>
    <col min="3326" max="3326" width="63.85546875" style="94" customWidth="1"/>
    <col min="3327" max="3327" width="13.28515625" style="94" customWidth="1"/>
    <col min="3328" max="3513" width="9" style="94"/>
    <col min="3514" max="3515" width="0" style="94" hidden="1" customWidth="1"/>
    <col min="3516" max="3516" width="13.7109375" style="94" customWidth="1"/>
    <col min="3517" max="3517" width="52.85546875" style="94" customWidth="1"/>
    <col min="3518" max="3557" width="0" style="94" hidden="1" customWidth="1"/>
    <col min="3558" max="3559" width="14.85546875" style="94" customWidth="1"/>
    <col min="3560" max="3561" width="0" style="94" hidden="1" customWidth="1"/>
    <col min="3562" max="3562" width="14.85546875" style="94" customWidth="1"/>
    <col min="3563" max="3564" width="0" style="94" hidden="1" customWidth="1"/>
    <col min="3565" max="3565" width="14.85546875" style="94" customWidth="1"/>
    <col min="3566" max="3567" width="0" style="94" hidden="1" customWidth="1"/>
    <col min="3568" max="3568" width="14.85546875" style="94" customWidth="1"/>
    <col min="3569" max="3570" width="0" style="94" hidden="1" customWidth="1"/>
    <col min="3571" max="3571" width="14.85546875" style="94" customWidth="1"/>
    <col min="3572" max="3573" width="0" style="94" hidden="1" customWidth="1"/>
    <col min="3574" max="3575" width="14.85546875" style="94" customWidth="1"/>
    <col min="3576" max="3576" width="44.42578125" style="94" customWidth="1"/>
    <col min="3577" max="3581" width="14.85546875" style="94" customWidth="1"/>
    <col min="3582" max="3582" width="63.85546875" style="94" customWidth="1"/>
    <col min="3583" max="3583" width="13.28515625" style="94" customWidth="1"/>
    <col min="3584" max="3769" width="9" style="94"/>
    <col min="3770" max="3771" width="0" style="94" hidden="1" customWidth="1"/>
    <col min="3772" max="3772" width="13.7109375" style="94" customWidth="1"/>
    <col min="3773" max="3773" width="52.85546875" style="94" customWidth="1"/>
    <col min="3774" max="3813" width="0" style="94" hidden="1" customWidth="1"/>
    <col min="3814" max="3815" width="14.85546875" style="94" customWidth="1"/>
    <col min="3816" max="3817" width="0" style="94" hidden="1" customWidth="1"/>
    <col min="3818" max="3818" width="14.85546875" style="94" customWidth="1"/>
    <col min="3819" max="3820" width="0" style="94" hidden="1" customWidth="1"/>
    <col min="3821" max="3821" width="14.85546875" style="94" customWidth="1"/>
    <col min="3822" max="3823" width="0" style="94" hidden="1" customWidth="1"/>
    <col min="3824" max="3824" width="14.85546875" style="94" customWidth="1"/>
    <col min="3825" max="3826" width="0" style="94" hidden="1" customWidth="1"/>
    <col min="3827" max="3827" width="14.85546875" style="94" customWidth="1"/>
    <col min="3828" max="3829" width="0" style="94" hidden="1" customWidth="1"/>
    <col min="3830" max="3831" width="14.85546875" style="94" customWidth="1"/>
    <col min="3832" max="3832" width="44.42578125" style="94" customWidth="1"/>
    <col min="3833" max="3837" width="14.85546875" style="94" customWidth="1"/>
    <col min="3838" max="3838" width="63.85546875" style="94" customWidth="1"/>
    <col min="3839" max="3839" width="13.28515625" style="94" customWidth="1"/>
    <col min="3840" max="4025" width="9" style="94"/>
    <col min="4026" max="4027" width="0" style="94" hidden="1" customWidth="1"/>
    <col min="4028" max="4028" width="13.7109375" style="94" customWidth="1"/>
    <col min="4029" max="4029" width="52.85546875" style="94" customWidth="1"/>
    <col min="4030" max="4069" width="0" style="94" hidden="1" customWidth="1"/>
    <col min="4070" max="4071" width="14.85546875" style="94" customWidth="1"/>
    <col min="4072" max="4073" width="0" style="94" hidden="1" customWidth="1"/>
    <col min="4074" max="4074" width="14.85546875" style="94" customWidth="1"/>
    <col min="4075" max="4076" width="0" style="94" hidden="1" customWidth="1"/>
    <col min="4077" max="4077" width="14.85546875" style="94" customWidth="1"/>
    <col min="4078" max="4079" width="0" style="94" hidden="1" customWidth="1"/>
    <col min="4080" max="4080" width="14.85546875" style="94" customWidth="1"/>
    <col min="4081" max="4082" width="0" style="94" hidden="1" customWidth="1"/>
    <col min="4083" max="4083" width="14.85546875" style="94" customWidth="1"/>
    <col min="4084" max="4085" width="0" style="94" hidden="1" customWidth="1"/>
    <col min="4086" max="4087" width="14.85546875" style="94" customWidth="1"/>
    <col min="4088" max="4088" width="44.42578125" style="94" customWidth="1"/>
    <col min="4089" max="4093" width="14.85546875" style="94" customWidth="1"/>
    <col min="4094" max="4094" width="63.85546875" style="94" customWidth="1"/>
    <col min="4095" max="4095" width="13.28515625" style="94" customWidth="1"/>
    <col min="4096" max="4281" width="9" style="94"/>
    <col min="4282" max="4283" width="0" style="94" hidden="1" customWidth="1"/>
    <col min="4284" max="4284" width="13.7109375" style="94" customWidth="1"/>
    <col min="4285" max="4285" width="52.85546875" style="94" customWidth="1"/>
    <col min="4286" max="4325" width="0" style="94" hidden="1" customWidth="1"/>
    <col min="4326" max="4327" width="14.85546875" style="94" customWidth="1"/>
    <col min="4328" max="4329" width="0" style="94" hidden="1" customWidth="1"/>
    <col min="4330" max="4330" width="14.85546875" style="94" customWidth="1"/>
    <col min="4331" max="4332" width="0" style="94" hidden="1" customWidth="1"/>
    <col min="4333" max="4333" width="14.85546875" style="94" customWidth="1"/>
    <col min="4334" max="4335" width="0" style="94" hidden="1" customWidth="1"/>
    <col min="4336" max="4336" width="14.85546875" style="94" customWidth="1"/>
    <col min="4337" max="4338" width="0" style="94" hidden="1" customWidth="1"/>
    <col min="4339" max="4339" width="14.85546875" style="94" customWidth="1"/>
    <col min="4340" max="4341" width="0" style="94" hidden="1" customWidth="1"/>
    <col min="4342" max="4343" width="14.85546875" style="94" customWidth="1"/>
    <col min="4344" max="4344" width="44.42578125" style="94" customWidth="1"/>
    <col min="4345" max="4349" width="14.85546875" style="94" customWidth="1"/>
    <col min="4350" max="4350" width="63.85546875" style="94" customWidth="1"/>
    <col min="4351" max="4351" width="13.28515625" style="94" customWidth="1"/>
    <col min="4352" max="4537" width="9" style="94"/>
    <col min="4538" max="4539" width="0" style="94" hidden="1" customWidth="1"/>
    <col min="4540" max="4540" width="13.7109375" style="94" customWidth="1"/>
    <col min="4541" max="4541" width="52.85546875" style="94" customWidth="1"/>
    <col min="4542" max="4581" width="0" style="94" hidden="1" customWidth="1"/>
    <col min="4582" max="4583" width="14.85546875" style="94" customWidth="1"/>
    <col min="4584" max="4585" width="0" style="94" hidden="1" customWidth="1"/>
    <col min="4586" max="4586" width="14.85546875" style="94" customWidth="1"/>
    <col min="4587" max="4588" width="0" style="94" hidden="1" customWidth="1"/>
    <col min="4589" max="4589" width="14.85546875" style="94" customWidth="1"/>
    <col min="4590" max="4591" width="0" style="94" hidden="1" customWidth="1"/>
    <col min="4592" max="4592" width="14.85546875" style="94" customWidth="1"/>
    <col min="4593" max="4594" width="0" style="94" hidden="1" customWidth="1"/>
    <col min="4595" max="4595" width="14.85546875" style="94" customWidth="1"/>
    <col min="4596" max="4597" width="0" style="94" hidden="1" customWidth="1"/>
    <col min="4598" max="4599" width="14.85546875" style="94" customWidth="1"/>
    <col min="4600" max="4600" width="44.42578125" style="94" customWidth="1"/>
    <col min="4601" max="4605" width="14.85546875" style="94" customWidth="1"/>
    <col min="4606" max="4606" width="63.85546875" style="94" customWidth="1"/>
    <col min="4607" max="4607" width="13.28515625" style="94" customWidth="1"/>
    <col min="4608" max="4793" width="9" style="94"/>
    <col min="4794" max="4795" width="0" style="94" hidden="1" customWidth="1"/>
    <col min="4796" max="4796" width="13.7109375" style="94" customWidth="1"/>
    <col min="4797" max="4797" width="52.85546875" style="94" customWidth="1"/>
    <col min="4798" max="4837" width="0" style="94" hidden="1" customWidth="1"/>
    <col min="4838" max="4839" width="14.85546875" style="94" customWidth="1"/>
    <col min="4840" max="4841" width="0" style="94" hidden="1" customWidth="1"/>
    <col min="4842" max="4842" width="14.85546875" style="94" customWidth="1"/>
    <col min="4843" max="4844" width="0" style="94" hidden="1" customWidth="1"/>
    <col min="4845" max="4845" width="14.85546875" style="94" customWidth="1"/>
    <col min="4846" max="4847" width="0" style="94" hidden="1" customWidth="1"/>
    <col min="4848" max="4848" width="14.85546875" style="94" customWidth="1"/>
    <col min="4849" max="4850" width="0" style="94" hidden="1" customWidth="1"/>
    <col min="4851" max="4851" width="14.85546875" style="94" customWidth="1"/>
    <col min="4852" max="4853" width="0" style="94" hidden="1" customWidth="1"/>
    <col min="4854" max="4855" width="14.85546875" style="94" customWidth="1"/>
    <col min="4856" max="4856" width="44.42578125" style="94" customWidth="1"/>
    <col min="4857" max="4861" width="14.85546875" style="94" customWidth="1"/>
    <col min="4862" max="4862" width="63.85546875" style="94" customWidth="1"/>
    <col min="4863" max="4863" width="13.28515625" style="94" customWidth="1"/>
    <col min="4864" max="5049" width="9" style="94"/>
    <col min="5050" max="5051" width="0" style="94" hidden="1" customWidth="1"/>
    <col min="5052" max="5052" width="13.7109375" style="94" customWidth="1"/>
    <col min="5053" max="5053" width="52.85546875" style="94" customWidth="1"/>
    <col min="5054" max="5093" width="0" style="94" hidden="1" customWidth="1"/>
    <col min="5094" max="5095" width="14.85546875" style="94" customWidth="1"/>
    <col min="5096" max="5097" width="0" style="94" hidden="1" customWidth="1"/>
    <col min="5098" max="5098" width="14.85546875" style="94" customWidth="1"/>
    <col min="5099" max="5100" width="0" style="94" hidden="1" customWidth="1"/>
    <col min="5101" max="5101" width="14.85546875" style="94" customWidth="1"/>
    <col min="5102" max="5103" width="0" style="94" hidden="1" customWidth="1"/>
    <col min="5104" max="5104" width="14.85546875" style="94" customWidth="1"/>
    <col min="5105" max="5106" width="0" style="94" hidden="1" customWidth="1"/>
    <col min="5107" max="5107" width="14.85546875" style="94" customWidth="1"/>
    <col min="5108" max="5109" width="0" style="94" hidden="1" customWidth="1"/>
    <col min="5110" max="5111" width="14.85546875" style="94" customWidth="1"/>
    <col min="5112" max="5112" width="44.42578125" style="94" customWidth="1"/>
    <col min="5113" max="5117" width="14.85546875" style="94" customWidth="1"/>
    <col min="5118" max="5118" width="63.85546875" style="94" customWidth="1"/>
    <col min="5119" max="5119" width="13.28515625" style="94" customWidth="1"/>
    <col min="5120" max="5305" width="9" style="94"/>
    <col min="5306" max="5307" width="0" style="94" hidden="1" customWidth="1"/>
    <col min="5308" max="5308" width="13.7109375" style="94" customWidth="1"/>
    <col min="5309" max="5309" width="52.85546875" style="94" customWidth="1"/>
    <col min="5310" max="5349" width="0" style="94" hidden="1" customWidth="1"/>
    <col min="5350" max="5351" width="14.85546875" style="94" customWidth="1"/>
    <col min="5352" max="5353" width="0" style="94" hidden="1" customWidth="1"/>
    <col min="5354" max="5354" width="14.85546875" style="94" customWidth="1"/>
    <col min="5355" max="5356" width="0" style="94" hidden="1" customWidth="1"/>
    <col min="5357" max="5357" width="14.85546875" style="94" customWidth="1"/>
    <col min="5358" max="5359" width="0" style="94" hidden="1" customWidth="1"/>
    <col min="5360" max="5360" width="14.85546875" style="94" customWidth="1"/>
    <col min="5361" max="5362" width="0" style="94" hidden="1" customWidth="1"/>
    <col min="5363" max="5363" width="14.85546875" style="94" customWidth="1"/>
    <col min="5364" max="5365" width="0" style="94" hidden="1" customWidth="1"/>
    <col min="5366" max="5367" width="14.85546875" style="94" customWidth="1"/>
    <col min="5368" max="5368" width="44.42578125" style="94" customWidth="1"/>
    <col min="5369" max="5373" width="14.85546875" style="94" customWidth="1"/>
    <col min="5374" max="5374" width="63.85546875" style="94" customWidth="1"/>
    <col min="5375" max="5375" width="13.28515625" style="94" customWidth="1"/>
    <col min="5376" max="5561" width="9" style="94"/>
    <col min="5562" max="5563" width="0" style="94" hidden="1" customWidth="1"/>
    <col min="5564" max="5564" width="13.7109375" style="94" customWidth="1"/>
    <col min="5565" max="5565" width="52.85546875" style="94" customWidth="1"/>
    <col min="5566" max="5605" width="0" style="94" hidden="1" customWidth="1"/>
    <col min="5606" max="5607" width="14.85546875" style="94" customWidth="1"/>
    <col min="5608" max="5609" width="0" style="94" hidden="1" customWidth="1"/>
    <col min="5610" max="5610" width="14.85546875" style="94" customWidth="1"/>
    <col min="5611" max="5612" width="0" style="94" hidden="1" customWidth="1"/>
    <col min="5613" max="5613" width="14.85546875" style="94" customWidth="1"/>
    <col min="5614" max="5615" width="0" style="94" hidden="1" customWidth="1"/>
    <col min="5616" max="5616" width="14.85546875" style="94" customWidth="1"/>
    <col min="5617" max="5618" width="0" style="94" hidden="1" customWidth="1"/>
    <col min="5619" max="5619" width="14.85546875" style="94" customWidth="1"/>
    <col min="5620" max="5621" width="0" style="94" hidden="1" customWidth="1"/>
    <col min="5622" max="5623" width="14.85546875" style="94" customWidth="1"/>
    <col min="5624" max="5624" width="44.42578125" style="94" customWidth="1"/>
    <col min="5625" max="5629" width="14.85546875" style="94" customWidth="1"/>
    <col min="5630" max="5630" width="63.85546875" style="94" customWidth="1"/>
    <col min="5631" max="5631" width="13.28515625" style="94" customWidth="1"/>
    <col min="5632" max="5817" width="9" style="94"/>
    <col min="5818" max="5819" width="0" style="94" hidden="1" customWidth="1"/>
    <col min="5820" max="5820" width="13.7109375" style="94" customWidth="1"/>
    <col min="5821" max="5821" width="52.85546875" style="94" customWidth="1"/>
    <col min="5822" max="5861" width="0" style="94" hidden="1" customWidth="1"/>
    <col min="5862" max="5863" width="14.85546875" style="94" customWidth="1"/>
    <col min="5864" max="5865" width="0" style="94" hidden="1" customWidth="1"/>
    <col min="5866" max="5866" width="14.85546875" style="94" customWidth="1"/>
    <col min="5867" max="5868" width="0" style="94" hidden="1" customWidth="1"/>
    <col min="5869" max="5869" width="14.85546875" style="94" customWidth="1"/>
    <col min="5870" max="5871" width="0" style="94" hidden="1" customWidth="1"/>
    <col min="5872" max="5872" width="14.85546875" style="94" customWidth="1"/>
    <col min="5873" max="5874" width="0" style="94" hidden="1" customWidth="1"/>
    <col min="5875" max="5875" width="14.85546875" style="94" customWidth="1"/>
    <col min="5876" max="5877" width="0" style="94" hidden="1" customWidth="1"/>
    <col min="5878" max="5879" width="14.85546875" style="94" customWidth="1"/>
    <col min="5880" max="5880" width="44.42578125" style="94" customWidth="1"/>
    <col min="5881" max="5885" width="14.85546875" style="94" customWidth="1"/>
    <col min="5886" max="5886" width="63.85546875" style="94" customWidth="1"/>
    <col min="5887" max="5887" width="13.28515625" style="94" customWidth="1"/>
    <col min="5888" max="6073" width="9" style="94"/>
    <col min="6074" max="6075" width="0" style="94" hidden="1" customWidth="1"/>
    <col min="6076" max="6076" width="13.7109375" style="94" customWidth="1"/>
    <col min="6077" max="6077" width="52.85546875" style="94" customWidth="1"/>
    <col min="6078" max="6117" width="0" style="94" hidden="1" customWidth="1"/>
    <col min="6118" max="6119" width="14.85546875" style="94" customWidth="1"/>
    <col min="6120" max="6121" width="0" style="94" hidden="1" customWidth="1"/>
    <col min="6122" max="6122" width="14.85546875" style="94" customWidth="1"/>
    <col min="6123" max="6124" width="0" style="94" hidden="1" customWidth="1"/>
    <col min="6125" max="6125" width="14.85546875" style="94" customWidth="1"/>
    <col min="6126" max="6127" width="0" style="94" hidden="1" customWidth="1"/>
    <col min="6128" max="6128" width="14.85546875" style="94" customWidth="1"/>
    <col min="6129" max="6130" width="0" style="94" hidden="1" customWidth="1"/>
    <col min="6131" max="6131" width="14.85546875" style="94" customWidth="1"/>
    <col min="6132" max="6133" width="0" style="94" hidden="1" customWidth="1"/>
    <col min="6134" max="6135" width="14.85546875" style="94" customWidth="1"/>
    <col min="6136" max="6136" width="44.42578125" style="94" customWidth="1"/>
    <col min="6137" max="6141" width="14.85546875" style="94" customWidth="1"/>
    <col min="6142" max="6142" width="63.85546875" style="94" customWidth="1"/>
    <col min="6143" max="6143" width="13.28515625" style="94" customWidth="1"/>
    <col min="6144" max="6329" width="9" style="94"/>
    <col min="6330" max="6331" width="0" style="94" hidden="1" customWidth="1"/>
    <col min="6332" max="6332" width="13.7109375" style="94" customWidth="1"/>
    <col min="6333" max="6333" width="52.85546875" style="94" customWidth="1"/>
    <col min="6334" max="6373" width="0" style="94" hidden="1" customWidth="1"/>
    <col min="6374" max="6375" width="14.85546875" style="94" customWidth="1"/>
    <col min="6376" max="6377" width="0" style="94" hidden="1" customWidth="1"/>
    <col min="6378" max="6378" width="14.85546875" style="94" customWidth="1"/>
    <col min="6379" max="6380" width="0" style="94" hidden="1" customWidth="1"/>
    <col min="6381" max="6381" width="14.85546875" style="94" customWidth="1"/>
    <col min="6382" max="6383" width="0" style="94" hidden="1" customWidth="1"/>
    <col min="6384" max="6384" width="14.85546875" style="94" customWidth="1"/>
    <col min="6385" max="6386" width="0" style="94" hidden="1" customWidth="1"/>
    <col min="6387" max="6387" width="14.85546875" style="94" customWidth="1"/>
    <col min="6388" max="6389" width="0" style="94" hidden="1" customWidth="1"/>
    <col min="6390" max="6391" width="14.85546875" style="94" customWidth="1"/>
    <col min="6392" max="6392" width="44.42578125" style="94" customWidth="1"/>
    <col min="6393" max="6397" width="14.85546875" style="94" customWidth="1"/>
    <col min="6398" max="6398" width="63.85546875" style="94" customWidth="1"/>
    <col min="6399" max="6399" width="13.28515625" style="94" customWidth="1"/>
    <col min="6400" max="6585" width="9" style="94"/>
    <col min="6586" max="6587" width="0" style="94" hidden="1" customWidth="1"/>
    <col min="6588" max="6588" width="13.7109375" style="94" customWidth="1"/>
    <col min="6589" max="6589" width="52.85546875" style="94" customWidth="1"/>
    <col min="6590" max="6629" width="0" style="94" hidden="1" customWidth="1"/>
    <col min="6630" max="6631" width="14.85546875" style="94" customWidth="1"/>
    <col min="6632" max="6633" width="0" style="94" hidden="1" customWidth="1"/>
    <col min="6634" max="6634" width="14.85546875" style="94" customWidth="1"/>
    <col min="6635" max="6636" width="0" style="94" hidden="1" customWidth="1"/>
    <col min="6637" max="6637" width="14.85546875" style="94" customWidth="1"/>
    <col min="6638" max="6639" width="0" style="94" hidden="1" customWidth="1"/>
    <col min="6640" max="6640" width="14.85546875" style="94" customWidth="1"/>
    <col min="6641" max="6642" width="0" style="94" hidden="1" customWidth="1"/>
    <col min="6643" max="6643" width="14.85546875" style="94" customWidth="1"/>
    <col min="6644" max="6645" width="0" style="94" hidden="1" customWidth="1"/>
    <col min="6646" max="6647" width="14.85546875" style="94" customWidth="1"/>
    <col min="6648" max="6648" width="44.42578125" style="94" customWidth="1"/>
    <col min="6649" max="6653" width="14.85546875" style="94" customWidth="1"/>
    <col min="6654" max="6654" width="63.85546875" style="94" customWidth="1"/>
    <col min="6655" max="6655" width="13.28515625" style="94" customWidth="1"/>
    <col min="6656" max="6841" width="9" style="94"/>
    <col min="6842" max="6843" width="0" style="94" hidden="1" customWidth="1"/>
    <col min="6844" max="6844" width="13.7109375" style="94" customWidth="1"/>
    <col min="6845" max="6845" width="52.85546875" style="94" customWidth="1"/>
    <col min="6846" max="6885" width="0" style="94" hidden="1" customWidth="1"/>
    <col min="6886" max="6887" width="14.85546875" style="94" customWidth="1"/>
    <col min="6888" max="6889" width="0" style="94" hidden="1" customWidth="1"/>
    <col min="6890" max="6890" width="14.85546875" style="94" customWidth="1"/>
    <col min="6891" max="6892" width="0" style="94" hidden="1" customWidth="1"/>
    <col min="6893" max="6893" width="14.85546875" style="94" customWidth="1"/>
    <col min="6894" max="6895" width="0" style="94" hidden="1" customWidth="1"/>
    <col min="6896" max="6896" width="14.85546875" style="94" customWidth="1"/>
    <col min="6897" max="6898" width="0" style="94" hidden="1" customWidth="1"/>
    <col min="6899" max="6899" width="14.85546875" style="94" customWidth="1"/>
    <col min="6900" max="6901" width="0" style="94" hidden="1" customWidth="1"/>
    <col min="6902" max="6903" width="14.85546875" style="94" customWidth="1"/>
    <col min="6904" max="6904" width="44.42578125" style="94" customWidth="1"/>
    <col min="6905" max="6909" width="14.85546875" style="94" customWidth="1"/>
    <col min="6910" max="6910" width="63.85546875" style="94" customWidth="1"/>
    <col min="6911" max="6911" width="13.28515625" style="94" customWidth="1"/>
    <col min="6912" max="7097" width="9" style="94"/>
    <col min="7098" max="7099" width="0" style="94" hidden="1" customWidth="1"/>
    <col min="7100" max="7100" width="13.7109375" style="94" customWidth="1"/>
    <col min="7101" max="7101" width="52.85546875" style="94" customWidth="1"/>
    <col min="7102" max="7141" width="0" style="94" hidden="1" customWidth="1"/>
    <col min="7142" max="7143" width="14.85546875" style="94" customWidth="1"/>
    <col min="7144" max="7145" width="0" style="94" hidden="1" customWidth="1"/>
    <col min="7146" max="7146" width="14.85546875" style="94" customWidth="1"/>
    <col min="7147" max="7148" width="0" style="94" hidden="1" customWidth="1"/>
    <col min="7149" max="7149" width="14.85546875" style="94" customWidth="1"/>
    <col min="7150" max="7151" width="0" style="94" hidden="1" customWidth="1"/>
    <col min="7152" max="7152" width="14.85546875" style="94" customWidth="1"/>
    <col min="7153" max="7154" width="0" style="94" hidden="1" customWidth="1"/>
    <col min="7155" max="7155" width="14.85546875" style="94" customWidth="1"/>
    <col min="7156" max="7157" width="0" style="94" hidden="1" customWidth="1"/>
    <col min="7158" max="7159" width="14.85546875" style="94" customWidth="1"/>
    <col min="7160" max="7160" width="44.42578125" style="94" customWidth="1"/>
    <col min="7161" max="7165" width="14.85546875" style="94" customWidth="1"/>
    <col min="7166" max="7166" width="63.85546875" style="94" customWidth="1"/>
    <col min="7167" max="7167" width="13.28515625" style="94" customWidth="1"/>
    <col min="7168" max="7353" width="9" style="94"/>
    <col min="7354" max="7355" width="0" style="94" hidden="1" customWidth="1"/>
    <col min="7356" max="7356" width="13.7109375" style="94" customWidth="1"/>
    <col min="7357" max="7357" width="52.85546875" style="94" customWidth="1"/>
    <col min="7358" max="7397" width="0" style="94" hidden="1" customWidth="1"/>
    <col min="7398" max="7399" width="14.85546875" style="94" customWidth="1"/>
    <col min="7400" max="7401" width="0" style="94" hidden="1" customWidth="1"/>
    <col min="7402" max="7402" width="14.85546875" style="94" customWidth="1"/>
    <col min="7403" max="7404" width="0" style="94" hidden="1" customWidth="1"/>
    <col min="7405" max="7405" width="14.85546875" style="94" customWidth="1"/>
    <col min="7406" max="7407" width="0" style="94" hidden="1" customWidth="1"/>
    <col min="7408" max="7408" width="14.85546875" style="94" customWidth="1"/>
    <col min="7409" max="7410" width="0" style="94" hidden="1" customWidth="1"/>
    <col min="7411" max="7411" width="14.85546875" style="94" customWidth="1"/>
    <col min="7412" max="7413" width="0" style="94" hidden="1" customWidth="1"/>
    <col min="7414" max="7415" width="14.85546875" style="94" customWidth="1"/>
    <col min="7416" max="7416" width="44.42578125" style="94" customWidth="1"/>
    <col min="7417" max="7421" width="14.85546875" style="94" customWidth="1"/>
    <col min="7422" max="7422" width="63.85546875" style="94" customWidth="1"/>
    <col min="7423" max="7423" width="13.28515625" style="94" customWidth="1"/>
    <col min="7424" max="7609" width="9" style="94"/>
    <col min="7610" max="7611" width="0" style="94" hidden="1" customWidth="1"/>
    <col min="7612" max="7612" width="13.7109375" style="94" customWidth="1"/>
    <col min="7613" max="7613" width="52.85546875" style="94" customWidth="1"/>
    <col min="7614" max="7653" width="0" style="94" hidden="1" customWidth="1"/>
    <col min="7654" max="7655" width="14.85546875" style="94" customWidth="1"/>
    <col min="7656" max="7657" width="0" style="94" hidden="1" customWidth="1"/>
    <col min="7658" max="7658" width="14.85546875" style="94" customWidth="1"/>
    <col min="7659" max="7660" width="0" style="94" hidden="1" customWidth="1"/>
    <col min="7661" max="7661" width="14.85546875" style="94" customWidth="1"/>
    <col min="7662" max="7663" width="0" style="94" hidden="1" customWidth="1"/>
    <col min="7664" max="7664" width="14.85546875" style="94" customWidth="1"/>
    <col min="7665" max="7666" width="0" style="94" hidden="1" customWidth="1"/>
    <col min="7667" max="7667" width="14.85546875" style="94" customWidth="1"/>
    <col min="7668" max="7669" width="0" style="94" hidden="1" customWidth="1"/>
    <col min="7670" max="7671" width="14.85546875" style="94" customWidth="1"/>
    <col min="7672" max="7672" width="44.42578125" style="94" customWidth="1"/>
    <col min="7673" max="7677" width="14.85546875" style="94" customWidth="1"/>
    <col min="7678" max="7678" width="63.85546875" style="94" customWidth="1"/>
    <col min="7679" max="7679" width="13.28515625" style="94" customWidth="1"/>
    <col min="7680" max="7865" width="9" style="94"/>
    <col min="7866" max="7867" width="0" style="94" hidden="1" customWidth="1"/>
    <col min="7868" max="7868" width="13.7109375" style="94" customWidth="1"/>
    <col min="7869" max="7869" width="52.85546875" style="94" customWidth="1"/>
    <col min="7870" max="7909" width="0" style="94" hidden="1" customWidth="1"/>
    <col min="7910" max="7911" width="14.85546875" style="94" customWidth="1"/>
    <col min="7912" max="7913" width="0" style="94" hidden="1" customWidth="1"/>
    <col min="7914" max="7914" width="14.85546875" style="94" customWidth="1"/>
    <col min="7915" max="7916" width="0" style="94" hidden="1" customWidth="1"/>
    <col min="7917" max="7917" width="14.85546875" style="94" customWidth="1"/>
    <col min="7918" max="7919" width="0" style="94" hidden="1" customWidth="1"/>
    <col min="7920" max="7920" width="14.85546875" style="94" customWidth="1"/>
    <col min="7921" max="7922" width="0" style="94" hidden="1" customWidth="1"/>
    <col min="7923" max="7923" width="14.85546875" style="94" customWidth="1"/>
    <col min="7924" max="7925" width="0" style="94" hidden="1" customWidth="1"/>
    <col min="7926" max="7927" width="14.85546875" style="94" customWidth="1"/>
    <col min="7928" max="7928" width="44.42578125" style="94" customWidth="1"/>
    <col min="7929" max="7933" width="14.85546875" style="94" customWidth="1"/>
    <col min="7934" max="7934" width="63.85546875" style="94" customWidth="1"/>
    <col min="7935" max="7935" width="13.28515625" style="94" customWidth="1"/>
    <col min="7936" max="8121" width="9" style="94"/>
    <col min="8122" max="8123" width="0" style="94" hidden="1" customWidth="1"/>
    <col min="8124" max="8124" width="13.7109375" style="94" customWidth="1"/>
    <col min="8125" max="8125" width="52.85546875" style="94" customWidth="1"/>
    <col min="8126" max="8165" width="0" style="94" hidden="1" customWidth="1"/>
    <col min="8166" max="8167" width="14.85546875" style="94" customWidth="1"/>
    <col min="8168" max="8169" width="0" style="94" hidden="1" customWidth="1"/>
    <col min="8170" max="8170" width="14.85546875" style="94" customWidth="1"/>
    <col min="8171" max="8172" width="0" style="94" hidden="1" customWidth="1"/>
    <col min="8173" max="8173" width="14.85546875" style="94" customWidth="1"/>
    <col min="8174" max="8175" width="0" style="94" hidden="1" customWidth="1"/>
    <col min="8176" max="8176" width="14.85546875" style="94" customWidth="1"/>
    <col min="8177" max="8178" width="0" style="94" hidden="1" customWidth="1"/>
    <col min="8179" max="8179" width="14.85546875" style="94" customWidth="1"/>
    <col min="8180" max="8181" width="0" style="94" hidden="1" customWidth="1"/>
    <col min="8182" max="8183" width="14.85546875" style="94" customWidth="1"/>
    <col min="8184" max="8184" width="44.42578125" style="94" customWidth="1"/>
    <col min="8185" max="8189" width="14.85546875" style="94" customWidth="1"/>
    <col min="8190" max="8190" width="63.85546875" style="94" customWidth="1"/>
    <col min="8191" max="8191" width="13.28515625" style="94" customWidth="1"/>
    <col min="8192" max="8377" width="9" style="94"/>
    <col min="8378" max="8379" width="0" style="94" hidden="1" customWidth="1"/>
    <col min="8380" max="8380" width="13.7109375" style="94" customWidth="1"/>
    <col min="8381" max="8381" width="52.85546875" style="94" customWidth="1"/>
    <col min="8382" max="8421" width="0" style="94" hidden="1" customWidth="1"/>
    <col min="8422" max="8423" width="14.85546875" style="94" customWidth="1"/>
    <col min="8424" max="8425" width="0" style="94" hidden="1" customWidth="1"/>
    <col min="8426" max="8426" width="14.85546875" style="94" customWidth="1"/>
    <col min="8427" max="8428" width="0" style="94" hidden="1" customWidth="1"/>
    <col min="8429" max="8429" width="14.85546875" style="94" customWidth="1"/>
    <col min="8430" max="8431" width="0" style="94" hidden="1" customWidth="1"/>
    <col min="8432" max="8432" width="14.85546875" style="94" customWidth="1"/>
    <col min="8433" max="8434" width="0" style="94" hidden="1" customWidth="1"/>
    <col min="8435" max="8435" width="14.85546875" style="94" customWidth="1"/>
    <col min="8436" max="8437" width="0" style="94" hidden="1" customWidth="1"/>
    <col min="8438" max="8439" width="14.85546875" style="94" customWidth="1"/>
    <col min="8440" max="8440" width="44.42578125" style="94" customWidth="1"/>
    <col min="8441" max="8445" width="14.85546875" style="94" customWidth="1"/>
    <col min="8446" max="8446" width="63.85546875" style="94" customWidth="1"/>
    <col min="8447" max="8447" width="13.28515625" style="94" customWidth="1"/>
    <col min="8448" max="8633" width="9" style="94"/>
    <col min="8634" max="8635" width="0" style="94" hidden="1" customWidth="1"/>
    <col min="8636" max="8636" width="13.7109375" style="94" customWidth="1"/>
    <col min="8637" max="8637" width="52.85546875" style="94" customWidth="1"/>
    <col min="8638" max="8677" width="0" style="94" hidden="1" customWidth="1"/>
    <col min="8678" max="8679" width="14.85546875" style="94" customWidth="1"/>
    <col min="8680" max="8681" width="0" style="94" hidden="1" customWidth="1"/>
    <col min="8682" max="8682" width="14.85546875" style="94" customWidth="1"/>
    <col min="8683" max="8684" width="0" style="94" hidden="1" customWidth="1"/>
    <col min="8685" max="8685" width="14.85546875" style="94" customWidth="1"/>
    <col min="8686" max="8687" width="0" style="94" hidden="1" customWidth="1"/>
    <col min="8688" max="8688" width="14.85546875" style="94" customWidth="1"/>
    <col min="8689" max="8690" width="0" style="94" hidden="1" customWidth="1"/>
    <col min="8691" max="8691" width="14.85546875" style="94" customWidth="1"/>
    <col min="8692" max="8693" width="0" style="94" hidden="1" customWidth="1"/>
    <col min="8694" max="8695" width="14.85546875" style="94" customWidth="1"/>
    <col min="8696" max="8696" width="44.42578125" style="94" customWidth="1"/>
    <col min="8697" max="8701" width="14.85546875" style="94" customWidth="1"/>
    <col min="8702" max="8702" width="63.85546875" style="94" customWidth="1"/>
    <col min="8703" max="8703" width="13.28515625" style="94" customWidth="1"/>
    <col min="8704" max="8889" width="9" style="94"/>
    <col min="8890" max="8891" width="0" style="94" hidden="1" customWidth="1"/>
    <col min="8892" max="8892" width="13.7109375" style="94" customWidth="1"/>
    <col min="8893" max="8893" width="52.85546875" style="94" customWidth="1"/>
    <col min="8894" max="8933" width="0" style="94" hidden="1" customWidth="1"/>
    <col min="8934" max="8935" width="14.85546875" style="94" customWidth="1"/>
    <col min="8936" max="8937" width="0" style="94" hidden="1" customWidth="1"/>
    <col min="8938" max="8938" width="14.85546875" style="94" customWidth="1"/>
    <col min="8939" max="8940" width="0" style="94" hidden="1" customWidth="1"/>
    <col min="8941" max="8941" width="14.85546875" style="94" customWidth="1"/>
    <col min="8942" max="8943" width="0" style="94" hidden="1" customWidth="1"/>
    <col min="8944" max="8944" width="14.85546875" style="94" customWidth="1"/>
    <col min="8945" max="8946" width="0" style="94" hidden="1" customWidth="1"/>
    <col min="8947" max="8947" width="14.85546875" style="94" customWidth="1"/>
    <col min="8948" max="8949" width="0" style="94" hidden="1" customWidth="1"/>
    <col min="8950" max="8951" width="14.85546875" style="94" customWidth="1"/>
    <col min="8952" max="8952" width="44.42578125" style="94" customWidth="1"/>
    <col min="8953" max="8957" width="14.85546875" style="94" customWidth="1"/>
    <col min="8958" max="8958" width="63.85546875" style="94" customWidth="1"/>
    <col min="8959" max="8959" width="13.28515625" style="94" customWidth="1"/>
    <col min="8960" max="9145" width="9" style="94"/>
    <col min="9146" max="9147" width="0" style="94" hidden="1" customWidth="1"/>
    <col min="9148" max="9148" width="13.7109375" style="94" customWidth="1"/>
    <col min="9149" max="9149" width="52.85546875" style="94" customWidth="1"/>
    <col min="9150" max="9189" width="0" style="94" hidden="1" customWidth="1"/>
    <col min="9190" max="9191" width="14.85546875" style="94" customWidth="1"/>
    <col min="9192" max="9193" width="0" style="94" hidden="1" customWidth="1"/>
    <col min="9194" max="9194" width="14.85546875" style="94" customWidth="1"/>
    <col min="9195" max="9196" width="0" style="94" hidden="1" customWidth="1"/>
    <col min="9197" max="9197" width="14.85546875" style="94" customWidth="1"/>
    <col min="9198" max="9199" width="0" style="94" hidden="1" customWidth="1"/>
    <col min="9200" max="9200" width="14.85546875" style="94" customWidth="1"/>
    <col min="9201" max="9202" width="0" style="94" hidden="1" customWidth="1"/>
    <col min="9203" max="9203" width="14.85546875" style="94" customWidth="1"/>
    <col min="9204" max="9205" width="0" style="94" hidden="1" customWidth="1"/>
    <col min="9206" max="9207" width="14.85546875" style="94" customWidth="1"/>
    <col min="9208" max="9208" width="44.42578125" style="94" customWidth="1"/>
    <col min="9209" max="9213" width="14.85546875" style="94" customWidth="1"/>
    <col min="9214" max="9214" width="63.85546875" style="94" customWidth="1"/>
    <col min="9215" max="9215" width="13.28515625" style="94" customWidth="1"/>
    <col min="9216" max="9401" width="9" style="94"/>
    <col min="9402" max="9403" width="0" style="94" hidden="1" customWidth="1"/>
    <col min="9404" max="9404" width="13.7109375" style="94" customWidth="1"/>
    <col min="9405" max="9405" width="52.85546875" style="94" customWidth="1"/>
    <col min="9406" max="9445" width="0" style="94" hidden="1" customWidth="1"/>
    <col min="9446" max="9447" width="14.85546875" style="94" customWidth="1"/>
    <col min="9448" max="9449" width="0" style="94" hidden="1" customWidth="1"/>
    <col min="9450" max="9450" width="14.85546875" style="94" customWidth="1"/>
    <col min="9451" max="9452" width="0" style="94" hidden="1" customWidth="1"/>
    <col min="9453" max="9453" width="14.85546875" style="94" customWidth="1"/>
    <col min="9454" max="9455" width="0" style="94" hidden="1" customWidth="1"/>
    <col min="9456" max="9456" width="14.85546875" style="94" customWidth="1"/>
    <col min="9457" max="9458" width="0" style="94" hidden="1" customWidth="1"/>
    <col min="9459" max="9459" width="14.85546875" style="94" customWidth="1"/>
    <col min="9460" max="9461" width="0" style="94" hidden="1" customWidth="1"/>
    <col min="9462" max="9463" width="14.85546875" style="94" customWidth="1"/>
    <col min="9464" max="9464" width="44.42578125" style="94" customWidth="1"/>
    <col min="9465" max="9469" width="14.85546875" style="94" customWidth="1"/>
    <col min="9470" max="9470" width="63.85546875" style="94" customWidth="1"/>
    <col min="9471" max="9471" width="13.28515625" style="94" customWidth="1"/>
    <col min="9472" max="9657" width="9" style="94"/>
    <col min="9658" max="9659" width="0" style="94" hidden="1" customWidth="1"/>
    <col min="9660" max="9660" width="13.7109375" style="94" customWidth="1"/>
    <col min="9661" max="9661" width="52.85546875" style="94" customWidth="1"/>
    <col min="9662" max="9701" width="0" style="94" hidden="1" customWidth="1"/>
    <col min="9702" max="9703" width="14.85546875" style="94" customWidth="1"/>
    <col min="9704" max="9705" width="0" style="94" hidden="1" customWidth="1"/>
    <col min="9706" max="9706" width="14.85546875" style="94" customWidth="1"/>
    <col min="9707" max="9708" width="0" style="94" hidden="1" customWidth="1"/>
    <col min="9709" max="9709" width="14.85546875" style="94" customWidth="1"/>
    <col min="9710" max="9711" width="0" style="94" hidden="1" customWidth="1"/>
    <col min="9712" max="9712" width="14.85546875" style="94" customWidth="1"/>
    <col min="9713" max="9714" width="0" style="94" hidden="1" customWidth="1"/>
    <col min="9715" max="9715" width="14.85546875" style="94" customWidth="1"/>
    <col min="9716" max="9717" width="0" style="94" hidden="1" customWidth="1"/>
    <col min="9718" max="9719" width="14.85546875" style="94" customWidth="1"/>
    <col min="9720" max="9720" width="44.42578125" style="94" customWidth="1"/>
    <col min="9721" max="9725" width="14.85546875" style="94" customWidth="1"/>
    <col min="9726" max="9726" width="63.85546875" style="94" customWidth="1"/>
    <col min="9727" max="9727" width="13.28515625" style="94" customWidth="1"/>
    <col min="9728" max="9913" width="9" style="94"/>
    <col min="9914" max="9915" width="0" style="94" hidden="1" customWidth="1"/>
    <col min="9916" max="9916" width="13.7109375" style="94" customWidth="1"/>
    <col min="9917" max="9917" width="52.85546875" style="94" customWidth="1"/>
    <col min="9918" max="9957" width="0" style="94" hidden="1" customWidth="1"/>
    <col min="9958" max="9959" width="14.85546875" style="94" customWidth="1"/>
    <col min="9960" max="9961" width="0" style="94" hidden="1" customWidth="1"/>
    <col min="9962" max="9962" width="14.85546875" style="94" customWidth="1"/>
    <col min="9963" max="9964" width="0" style="94" hidden="1" customWidth="1"/>
    <col min="9965" max="9965" width="14.85546875" style="94" customWidth="1"/>
    <col min="9966" max="9967" width="0" style="94" hidden="1" customWidth="1"/>
    <col min="9968" max="9968" width="14.85546875" style="94" customWidth="1"/>
    <col min="9969" max="9970" width="0" style="94" hidden="1" customWidth="1"/>
    <col min="9971" max="9971" width="14.85546875" style="94" customWidth="1"/>
    <col min="9972" max="9973" width="0" style="94" hidden="1" customWidth="1"/>
    <col min="9974" max="9975" width="14.85546875" style="94" customWidth="1"/>
    <col min="9976" max="9976" width="44.42578125" style="94" customWidth="1"/>
    <col min="9977" max="9981" width="14.85546875" style="94" customWidth="1"/>
    <col min="9982" max="9982" width="63.85546875" style="94" customWidth="1"/>
    <col min="9983" max="9983" width="13.28515625" style="94" customWidth="1"/>
    <col min="9984" max="10169" width="9" style="94"/>
    <col min="10170" max="10171" width="0" style="94" hidden="1" customWidth="1"/>
    <col min="10172" max="10172" width="13.7109375" style="94" customWidth="1"/>
    <col min="10173" max="10173" width="52.85546875" style="94" customWidth="1"/>
    <col min="10174" max="10213" width="0" style="94" hidden="1" customWidth="1"/>
    <col min="10214" max="10215" width="14.85546875" style="94" customWidth="1"/>
    <col min="10216" max="10217" width="0" style="94" hidden="1" customWidth="1"/>
    <col min="10218" max="10218" width="14.85546875" style="94" customWidth="1"/>
    <col min="10219" max="10220" width="0" style="94" hidden="1" customWidth="1"/>
    <col min="10221" max="10221" width="14.85546875" style="94" customWidth="1"/>
    <col min="10222" max="10223" width="0" style="94" hidden="1" customWidth="1"/>
    <col min="10224" max="10224" width="14.85546875" style="94" customWidth="1"/>
    <col min="10225" max="10226" width="0" style="94" hidden="1" customWidth="1"/>
    <col min="10227" max="10227" width="14.85546875" style="94" customWidth="1"/>
    <col min="10228" max="10229" width="0" style="94" hidden="1" customWidth="1"/>
    <col min="10230" max="10231" width="14.85546875" style="94" customWidth="1"/>
    <col min="10232" max="10232" width="44.42578125" style="94" customWidth="1"/>
    <col min="10233" max="10237" width="14.85546875" style="94" customWidth="1"/>
    <col min="10238" max="10238" width="63.85546875" style="94" customWidth="1"/>
    <col min="10239" max="10239" width="13.28515625" style="94" customWidth="1"/>
    <col min="10240" max="10425" width="9" style="94"/>
    <col min="10426" max="10427" width="0" style="94" hidden="1" customWidth="1"/>
    <col min="10428" max="10428" width="13.7109375" style="94" customWidth="1"/>
    <col min="10429" max="10429" width="52.85546875" style="94" customWidth="1"/>
    <col min="10430" max="10469" width="0" style="94" hidden="1" customWidth="1"/>
    <col min="10470" max="10471" width="14.85546875" style="94" customWidth="1"/>
    <col min="10472" max="10473" width="0" style="94" hidden="1" customWidth="1"/>
    <col min="10474" max="10474" width="14.85546875" style="94" customWidth="1"/>
    <col min="10475" max="10476" width="0" style="94" hidden="1" customWidth="1"/>
    <col min="10477" max="10477" width="14.85546875" style="94" customWidth="1"/>
    <col min="10478" max="10479" width="0" style="94" hidden="1" customWidth="1"/>
    <col min="10480" max="10480" width="14.85546875" style="94" customWidth="1"/>
    <col min="10481" max="10482" width="0" style="94" hidden="1" customWidth="1"/>
    <col min="10483" max="10483" width="14.85546875" style="94" customWidth="1"/>
    <col min="10484" max="10485" width="0" style="94" hidden="1" customWidth="1"/>
    <col min="10486" max="10487" width="14.85546875" style="94" customWidth="1"/>
    <col min="10488" max="10488" width="44.42578125" style="94" customWidth="1"/>
    <col min="10489" max="10493" width="14.85546875" style="94" customWidth="1"/>
    <col min="10494" max="10494" width="63.85546875" style="94" customWidth="1"/>
    <col min="10495" max="10495" width="13.28515625" style="94" customWidth="1"/>
    <col min="10496" max="10681" width="9" style="94"/>
    <col min="10682" max="10683" width="0" style="94" hidden="1" customWidth="1"/>
    <col min="10684" max="10684" width="13.7109375" style="94" customWidth="1"/>
    <col min="10685" max="10685" width="52.85546875" style="94" customWidth="1"/>
    <col min="10686" max="10725" width="0" style="94" hidden="1" customWidth="1"/>
    <col min="10726" max="10727" width="14.85546875" style="94" customWidth="1"/>
    <col min="10728" max="10729" width="0" style="94" hidden="1" customWidth="1"/>
    <col min="10730" max="10730" width="14.85546875" style="94" customWidth="1"/>
    <col min="10731" max="10732" width="0" style="94" hidden="1" customWidth="1"/>
    <col min="10733" max="10733" width="14.85546875" style="94" customWidth="1"/>
    <col min="10734" max="10735" width="0" style="94" hidden="1" customWidth="1"/>
    <col min="10736" max="10736" width="14.85546875" style="94" customWidth="1"/>
    <col min="10737" max="10738" width="0" style="94" hidden="1" customWidth="1"/>
    <col min="10739" max="10739" width="14.85546875" style="94" customWidth="1"/>
    <col min="10740" max="10741" width="0" style="94" hidden="1" customWidth="1"/>
    <col min="10742" max="10743" width="14.85546875" style="94" customWidth="1"/>
    <col min="10744" max="10744" width="44.42578125" style="94" customWidth="1"/>
    <col min="10745" max="10749" width="14.85546875" style="94" customWidth="1"/>
    <col min="10750" max="10750" width="63.85546875" style="94" customWidth="1"/>
    <col min="10751" max="10751" width="13.28515625" style="94" customWidth="1"/>
    <col min="10752" max="10937" width="9" style="94"/>
    <col min="10938" max="10939" width="0" style="94" hidden="1" customWidth="1"/>
    <col min="10940" max="10940" width="13.7109375" style="94" customWidth="1"/>
    <col min="10941" max="10941" width="52.85546875" style="94" customWidth="1"/>
    <col min="10942" max="10981" width="0" style="94" hidden="1" customWidth="1"/>
    <col min="10982" max="10983" width="14.85546875" style="94" customWidth="1"/>
    <col min="10984" max="10985" width="0" style="94" hidden="1" customWidth="1"/>
    <col min="10986" max="10986" width="14.85546875" style="94" customWidth="1"/>
    <col min="10987" max="10988" width="0" style="94" hidden="1" customWidth="1"/>
    <col min="10989" max="10989" width="14.85546875" style="94" customWidth="1"/>
    <col min="10990" max="10991" width="0" style="94" hidden="1" customWidth="1"/>
    <col min="10992" max="10992" width="14.85546875" style="94" customWidth="1"/>
    <col min="10993" max="10994" width="0" style="94" hidden="1" customWidth="1"/>
    <col min="10995" max="10995" width="14.85546875" style="94" customWidth="1"/>
    <col min="10996" max="10997" width="0" style="94" hidden="1" customWidth="1"/>
    <col min="10998" max="10999" width="14.85546875" style="94" customWidth="1"/>
    <col min="11000" max="11000" width="44.42578125" style="94" customWidth="1"/>
    <col min="11001" max="11005" width="14.85546875" style="94" customWidth="1"/>
    <col min="11006" max="11006" width="63.85546875" style="94" customWidth="1"/>
    <col min="11007" max="11007" width="13.28515625" style="94" customWidth="1"/>
    <col min="11008" max="11193" width="9" style="94"/>
    <col min="11194" max="11195" width="0" style="94" hidden="1" customWidth="1"/>
    <col min="11196" max="11196" width="13.7109375" style="94" customWidth="1"/>
    <col min="11197" max="11197" width="52.85546875" style="94" customWidth="1"/>
    <col min="11198" max="11237" width="0" style="94" hidden="1" customWidth="1"/>
    <col min="11238" max="11239" width="14.85546875" style="94" customWidth="1"/>
    <col min="11240" max="11241" width="0" style="94" hidden="1" customWidth="1"/>
    <col min="11242" max="11242" width="14.85546875" style="94" customWidth="1"/>
    <col min="11243" max="11244" width="0" style="94" hidden="1" customWidth="1"/>
    <col min="11245" max="11245" width="14.85546875" style="94" customWidth="1"/>
    <col min="11246" max="11247" width="0" style="94" hidden="1" customWidth="1"/>
    <col min="11248" max="11248" width="14.85546875" style="94" customWidth="1"/>
    <col min="11249" max="11250" width="0" style="94" hidden="1" customWidth="1"/>
    <col min="11251" max="11251" width="14.85546875" style="94" customWidth="1"/>
    <col min="11252" max="11253" width="0" style="94" hidden="1" customWidth="1"/>
    <col min="11254" max="11255" width="14.85546875" style="94" customWidth="1"/>
    <col min="11256" max="11256" width="44.42578125" style="94" customWidth="1"/>
    <col min="11257" max="11261" width="14.85546875" style="94" customWidth="1"/>
    <col min="11262" max="11262" width="63.85546875" style="94" customWidth="1"/>
    <col min="11263" max="11263" width="13.28515625" style="94" customWidth="1"/>
    <col min="11264" max="11449" width="9" style="94"/>
    <col min="11450" max="11451" width="0" style="94" hidden="1" customWidth="1"/>
    <col min="11452" max="11452" width="13.7109375" style="94" customWidth="1"/>
    <col min="11453" max="11453" width="52.85546875" style="94" customWidth="1"/>
    <col min="11454" max="11493" width="0" style="94" hidden="1" customWidth="1"/>
    <col min="11494" max="11495" width="14.85546875" style="94" customWidth="1"/>
    <col min="11496" max="11497" width="0" style="94" hidden="1" customWidth="1"/>
    <col min="11498" max="11498" width="14.85546875" style="94" customWidth="1"/>
    <col min="11499" max="11500" width="0" style="94" hidden="1" customWidth="1"/>
    <col min="11501" max="11501" width="14.85546875" style="94" customWidth="1"/>
    <col min="11502" max="11503" width="0" style="94" hidden="1" customWidth="1"/>
    <col min="11504" max="11504" width="14.85546875" style="94" customWidth="1"/>
    <col min="11505" max="11506" width="0" style="94" hidden="1" customWidth="1"/>
    <col min="11507" max="11507" width="14.85546875" style="94" customWidth="1"/>
    <col min="11508" max="11509" width="0" style="94" hidden="1" customWidth="1"/>
    <col min="11510" max="11511" width="14.85546875" style="94" customWidth="1"/>
    <col min="11512" max="11512" width="44.42578125" style="94" customWidth="1"/>
    <col min="11513" max="11517" width="14.85546875" style="94" customWidth="1"/>
    <col min="11518" max="11518" width="63.85546875" style="94" customWidth="1"/>
    <col min="11519" max="11519" width="13.28515625" style="94" customWidth="1"/>
    <col min="11520" max="11705" width="9" style="94"/>
    <col min="11706" max="11707" width="0" style="94" hidden="1" customWidth="1"/>
    <col min="11708" max="11708" width="13.7109375" style="94" customWidth="1"/>
    <col min="11709" max="11709" width="52.85546875" style="94" customWidth="1"/>
    <col min="11710" max="11749" width="0" style="94" hidden="1" customWidth="1"/>
    <col min="11750" max="11751" width="14.85546875" style="94" customWidth="1"/>
    <col min="11752" max="11753" width="0" style="94" hidden="1" customWidth="1"/>
    <col min="11754" max="11754" width="14.85546875" style="94" customWidth="1"/>
    <col min="11755" max="11756" width="0" style="94" hidden="1" customWidth="1"/>
    <col min="11757" max="11757" width="14.85546875" style="94" customWidth="1"/>
    <col min="11758" max="11759" width="0" style="94" hidden="1" customWidth="1"/>
    <col min="11760" max="11760" width="14.85546875" style="94" customWidth="1"/>
    <col min="11761" max="11762" width="0" style="94" hidden="1" customWidth="1"/>
    <col min="11763" max="11763" width="14.85546875" style="94" customWidth="1"/>
    <col min="11764" max="11765" width="0" style="94" hidden="1" customWidth="1"/>
    <col min="11766" max="11767" width="14.85546875" style="94" customWidth="1"/>
    <col min="11768" max="11768" width="44.42578125" style="94" customWidth="1"/>
    <col min="11769" max="11773" width="14.85546875" style="94" customWidth="1"/>
    <col min="11774" max="11774" width="63.85546875" style="94" customWidth="1"/>
    <col min="11775" max="11775" width="13.28515625" style="94" customWidth="1"/>
    <col min="11776" max="11961" width="9" style="94"/>
    <col min="11962" max="11963" width="0" style="94" hidden="1" customWidth="1"/>
    <col min="11964" max="11964" width="13.7109375" style="94" customWidth="1"/>
    <col min="11965" max="11965" width="52.85546875" style="94" customWidth="1"/>
    <col min="11966" max="12005" width="0" style="94" hidden="1" customWidth="1"/>
    <col min="12006" max="12007" width="14.85546875" style="94" customWidth="1"/>
    <col min="12008" max="12009" width="0" style="94" hidden="1" customWidth="1"/>
    <col min="12010" max="12010" width="14.85546875" style="94" customWidth="1"/>
    <col min="12011" max="12012" width="0" style="94" hidden="1" customWidth="1"/>
    <col min="12013" max="12013" width="14.85546875" style="94" customWidth="1"/>
    <col min="12014" max="12015" width="0" style="94" hidden="1" customWidth="1"/>
    <col min="12016" max="12016" width="14.85546875" style="94" customWidth="1"/>
    <col min="12017" max="12018" width="0" style="94" hidden="1" customWidth="1"/>
    <col min="12019" max="12019" width="14.85546875" style="94" customWidth="1"/>
    <col min="12020" max="12021" width="0" style="94" hidden="1" customWidth="1"/>
    <col min="12022" max="12023" width="14.85546875" style="94" customWidth="1"/>
    <col min="12024" max="12024" width="44.42578125" style="94" customWidth="1"/>
    <col min="12025" max="12029" width="14.85546875" style="94" customWidth="1"/>
    <col min="12030" max="12030" width="63.85546875" style="94" customWidth="1"/>
    <col min="12031" max="12031" width="13.28515625" style="94" customWidth="1"/>
    <col min="12032" max="12217" width="9" style="94"/>
    <col min="12218" max="12219" width="0" style="94" hidden="1" customWidth="1"/>
    <col min="12220" max="12220" width="13.7109375" style="94" customWidth="1"/>
    <col min="12221" max="12221" width="52.85546875" style="94" customWidth="1"/>
    <col min="12222" max="12261" width="0" style="94" hidden="1" customWidth="1"/>
    <col min="12262" max="12263" width="14.85546875" style="94" customWidth="1"/>
    <col min="12264" max="12265" width="0" style="94" hidden="1" customWidth="1"/>
    <col min="12266" max="12266" width="14.85546875" style="94" customWidth="1"/>
    <col min="12267" max="12268" width="0" style="94" hidden="1" customWidth="1"/>
    <col min="12269" max="12269" width="14.85546875" style="94" customWidth="1"/>
    <col min="12270" max="12271" width="0" style="94" hidden="1" customWidth="1"/>
    <col min="12272" max="12272" width="14.85546875" style="94" customWidth="1"/>
    <col min="12273" max="12274" width="0" style="94" hidden="1" customWidth="1"/>
    <col min="12275" max="12275" width="14.85546875" style="94" customWidth="1"/>
    <col min="12276" max="12277" width="0" style="94" hidden="1" customWidth="1"/>
    <col min="12278" max="12279" width="14.85546875" style="94" customWidth="1"/>
    <col min="12280" max="12280" width="44.42578125" style="94" customWidth="1"/>
    <col min="12281" max="12285" width="14.85546875" style="94" customWidth="1"/>
    <col min="12286" max="12286" width="63.85546875" style="94" customWidth="1"/>
    <col min="12287" max="12287" width="13.28515625" style="94" customWidth="1"/>
    <col min="12288" max="12473" width="9" style="94"/>
    <col min="12474" max="12475" width="0" style="94" hidden="1" customWidth="1"/>
    <col min="12476" max="12476" width="13.7109375" style="94" customWidth="1"/>
    <col min="12477" max="12477" width="52.85546875" style="94" customWidth="1"/>
    <col min="12478" max="12517" width="0" style="94" hidden="1" customWidth="1"/>
    <col min="12518" max="12519" width="14.85546875" style="94" customWidth="1"/>
    <col min="12520" max="12521" width="0" style="94" hidden="1" customWidth="1"/>
    <col min="12522" max="12522" width="14.85546875" style="94" customWidth="1"/>
    <col min="12523" max="12524" width="0" style="94" hidden="1" customWidth="1"/>
    <col min="12525" max="12525" width="14.85546875" style="94" customWidth="1"/>
    <col min="12526" max="12527" width="0" style="94" hidden="1" customWidth="1"/>
    <col min="12528" max="12528" width="14.85546875" style="94" customWidth="1"/>
    <col min="12529" max="12530" width="0" style="94" hidden="1" customWidth="1"/>
    <col min="12531" max="12531" width="14.85546875" style="94" customWidth="1"/>
    <col min="12532" max="12533" width="0" style="94" hidden="1" customWidth="1"/>
    <col min="12534" max="12535" width="14.85546875" style="94" customWidth="1"/>
    <col min="12536" max="12536" width="44.42578125" style="94" customWidth="1"/>
    <col min="12537" max="12541" width="14.85546875" style="94" customWidth="1"/>
    <col min="12542" max="12542" width="63.85546875" style="94" customWidth="1"/>
    <col min="12543" max="12543" width="13.28515625" style="94" customWidth="1"/>
    <col min="12544" max="12729" width="9" style="94"/>
    <col min="12730" max="12731" width="0" style="94" hidden="1" customWidth="1"/>
    <col min="12732" max="12732" width="13.7109375" style="94" customWidth="1"/>
    <col min="12733" max="12733" width="52.85546875" style="94" customWidth="1"/>
    <col min="12734" max="12773" width="0" style="94" hidden="1" customWidth="1"/>
    <col min="12774" max="12775" width="14.85546875" style="94" customWidth="1"/>
    <col min="12776" max="12777" width="0" style="94" hidden="1" customWidth="1"/>
    <col min="12778" max="12778" width="14.85546875" style="94" customWidth="1"/>
    <col min="12779" max="12780" width="0" style="94" hidden="1" customWidth="1"/>
    <col min="12781" max="12781" width="14.85546875" style="94" customWidth="1"/>
    <col min="12782" max="12783" width="0" style="94" hidden="1" customWidth="1"/>
    <col min="12784" max="12784" width="14.85546875" style="94" customWidth="1"/>
    <col min="12785" max="12786" width="0" style="94" hidden="1" customWidth="1"/>
    <col min="12787" max="12787" width="14.85546875" style="94" customWidth="1"/>
    <col min="12788" max="12789" width="0" style="94" hidden="1" customWidth="1"/>
    <col min="12790" max="12791" width="14.85546875" style="94" customWidth="1"/>
    <col min="12792" max="12792" width="44.42578125" style="94" customWidth="1"/>
    <col min="12793" max="12797" width="14.85546875" style="94" customWidth="1"/>
    <col min="12798" max="12798" width="63.85546875" style="94" customWidth="1"/>
    <col min="12799" max="12799" width="13.28515625" style="94" customWidth="1"/>
    <col min="12800" max="12985" width="9" style="94"/>
    <col min="12986" max="12987" width="0" style="94" hidden="1" customWidth="1"/>
    <col min="12988" max="12988" width="13.7109375" style="94" customWidth="1"/>
    <col min="12989" max="12989" width="52.85546875" style="94" customWidth="1"/>
    <col min="12990" max="13029" width="0" style="94" hidden="1" customWidth="1"/>
    <col min="13030" max="13031" width="14.85546875" style="94" customWidth="1"/>
    <col min="13032" max="13033" width="0" style="94" hidden="1" customWidth="1"/>
    <col min="13034" max="13034" width="14.85546875" style="94" customWidth="1"/>
    <col min="13035" max="13036" width="0" style="94" hidden="1" customWidth="1"/>
    <col min="13037" max="13037" width="14.85546875" style="94" customWidth="1"/>
    <col min="13038" max="13039" width="0" style="94" hidden="1" customWidth="1"/>
    <col min="13040" max="13040" width="14.85546875" style="94" customWidth="1"/>
    <col min="13041" max="13042" width="0" style="94" hidden="1" customWidth="1"/>
    <col min="13043" max="13043" width="14.85546875" style="94" customWidth="1"/>
    <col min="13044" max="13045" width="0" style="94" hidden="1" customWidth="1"/>
    <col min="13046" max="13047" width="14.85546875" style="94" customWidth="1"/>
    <col min="13048" max="13048" width="44.42578125" style="94" customWidth="1"/>
    <col min="13049" max="13053" width="14.85546875" style="94" customWidth="1"/>
    <col min="13054" max="13054" width="63.85546875" style="94" customWidth="1"/>
    <col min="13055" max="13055" width="13.28515625" style="94" customWidth="1"/>
    <col min="13056" max="13241" width="9" style="94"/>
    <col min="13242" max="13243" width="0" style="94" hidden="1" customWidth="1"/>
    <col min="13244" max="13244" width="13.7109375" style="94" customWidth="1"/>
    <col min="13245" max="13245" width="52.85546875" style="94" customWidth="1"/>
    <col min="13246" max="13285" width="0" style="94" hidden="1" customWidth="1"/>
    <col min="13286" max="13287" width="14.85546875" style="94" customWidth="1"/>
    <col min="13288" max="13289" width="0" style="94" hidden="1" customWidth="1"/>
    <col min="13290" max="13290" width="14.85546875" style="94" customWidth="1"/>
    <col min="13291" max="13292" width="0" style="94" hidden="1" customWidth="1"/>
    <col min="13293" max="13293" width="14.85546875" style="94" customWidth="1"/>
    <col min="13294" max="13295" width="0" style="94" hidden="1" customWidth="1"/>
    <col min="13296" max="13296" width="14.85546875" style="94" customWidth="1"/>
    <col min="13297" max="13298" width="0" style="94" hidden="1" customWidth="1"/>
    <col min="13299" max="13299" width="14.85546875" style="94" customWidth="1"/>
    <col min="13300" max="13301" width="0" style="94" hidden="1" customWidth="1"/>
    <col min="13302" max="13303" width="14.85546875" style="94" customWidth="1"/>
    <col min="13304" max="13304" width="44.42578125" style="94" customWidth="1"/>
    <col min="13305" max="13309" width="14.85546875" style="94" customWidth="1"/>
    <col min="13310" max="13310" width="63.85546875" style="94" customWidth="1"/>
    <col min="13311" max="13311" width="13.28515625" style="94" customWidth="1"/>
    <col min="13312" max="13497" width="9" style="94"/>
    <col min="13498" max="13499" width="0" style="94" hidden="1" customWidth="1"/>
    <col min="13500" max="13500" width="13.7109375" style="94" customWidth="1"/>
    <col min="13501" max="13501" width="52.85546875" style="94" customWidth="1"/>
    <col min="13502" max="13541" width="0" style="94" hidden="1" customWidth="1"/>
    <col min="13542" max="13543" width="14.85546875" style="94" customWidth="1"/>
    <col min="13544" max="13545" width="0" style="94" hidden="1" customWidth="1"/>
    <col min="13546" max="13546" width="14.85546875" style="94" customWidth="1"/>
    <col min="13547" max="13548" width="0" style="94" hidden="1" customWidth="1"/>
    <col min="13549" max="13549" width="14.85546875" style="94" customWidth="1"/>
    <col min="13550" max="13551" width="0" style="94" hidden="1" customWidth="1"/>
    <col min="13552" max="13552" width="14.85546875" style="94" customWidth="1"/>
    <col min="13553" max="13554" width="0" style="94" hidden="1" customWidth="1"/>
    <col min="13555" max="13555" width="14.85546875" style="94" customWidth="1"/>
    <col min="13556" max="13557" width="0" style="94" hidden="1" customWidth="1"/>
    <col min="13558" max="13559" width="14.85546875" style="94" customWidth="1"/>
    <col min="13560" max="13560" width="44.42578125" style="94" customWidth="1"/>
    <col min="13561" max="13565" width="14.85546875" style="94" customWidth="1"/>
    <col min="13566" max="13566" width="63.85546875" style="94" customWidth="1"/>
    <col min="13567" max="13567" width="13.28515625" style="94" customWidth="1"/>
    <col min="13568" max="13753" width="9" style="94"/>
    <col min="13754" max="13755" width="0" style="94" hidden="1" customWidth="1"/>
    <col min="13756" max="13756" width="13.7109375" style="94" customWidth="1"/>
    <col min="13757" max="13757" width="52.85546875" style="94" customWidth="1"/>
    <col min="13758" max="13797" width="0" style="94" hidden="1" customWidth="1"/>
    <col min="13798" max="13799" width="14.85546875" style="94" customWidth="1"/>
    <col min="13800" max="13801" width="0" style="94" hidden="1" customWidth="1"/>
    <col min="13802" max="13802" width="14.85546875" style="94" customWidth="1"/>
    <col min="13803" max="13804" width="0" style="94" hidden="1" customWidth="1"/>
    <col min="13805" max="13805" width="14.85546875" style="94" customWidth="1"/>
    <col min="13806" max="13807" width="0" style="94" hidden="1" customWidth="1"/>
    <col min="13808" max="13808" width="14.85546875" style="94" customWidth="1"/>
    <col min="13809" max="13810" width="0" style="94" hidden="1" customWidth="1"/>
    <col min="13811" max="13811" width="14.85546875" style="94" customWidth="1"/>
    <col min="13812" max="13813" width="0" style="94" hidden="1" customWidth="1"/>
    <col min="13814" max="13815" width="14.85546875" style="94" customWidth="1"/>
    <col min="13816" max="13816" width="44.42578125" style="94" customWidth="1"/>
    <col min="13817" max="13821" width="14.85546875" style="94" customWidth="1"/>
    <col min="13822" max="13822" width="63.85546875" style="94" customWidth="1"/>
    <col min="13823" max="13823" width="13.28515625" style="94" customWidth="1"/>
    <col min="13824" max="14009" width="9" style="94"/>
    <col min="14010" max="14011" width="0" style="94" hidden="1" customWidth="1"/>
    <col min="14012" max="14012" width="13.7109375" style="94" customWidth="1"/>
    <col min="14013" max="14013" width="52.85546875" style="94" customWidth="1"/>
    <col min="14014" max="14053" width="0" style="94" hidden="1" customWidth="1"/>
    <col min="14054" max="14055" width="14.85546875" style="94" customWidth="1"/>
    <col min="14056" max="14057" width="0" style="94" hidden="1" customWidth="1"/>
    <col min="14058" max="14058" width="14.85546875" style="94" customWidth="1"/>
    <col min="14059" max="14060" width="0" style="94" hidden="1" customWidth="1"/>
    <col min="14061" max="14061" width="14.85546875" style="94" customWidth="1"/>
    <col min="14062" max="14063" width="0" style="94" hidden="1" customWidth="1"/>
    <col min="14064" max="14064" width="14.85546875" style="94" customWidth="1"/>
    <col min="14065" max="14066" width="0" style="94" hidden="1" customWidth="1"/>
    <col min="14067" max="14067" width="14.85546875" style="94" customWidth="1"/>
    <col min="14068" max="14069" width="0" style="94" hidden="1" customWidth="1"/>
    <col min="14070" max="14071" width="14.85546875" style="94" customWidth="1"/>
    <col min="14072" max="14072" width="44.42578125" style="94" customWidth="1"/>
    <col min="14073" max="14077" width="14.85546875" style="94" customWidth="1"/>
    <col min="14078" max="14078" width="63.85546875" style="94" customWidth="1"/>
    <col min="14079" max="14079" width="13.28515625" style="94" customWidth="1"/>
    <col min="14080" max="14265" width="9" style="94"/>
    <col min="14266" max="14267" width="0" style="94" hidden="1" customWidth="1"/>
    <col min="14268" max="14268" width="13.7109375" style="94" customWidth="1"/>
    <col min="14269" max="14269" width="52.85546875" style="94" customWidth="1"/>
    <col min="14270" max="14309" width="0" style="94" hidden="1" customWidth="1"/>
    <col min="14310" max="14311" width="14.85546875" style="94" customWidth="1"/>
    <col min="14312" max="14313" width="0" style="94" hidden="1" customWidth="1"/>
    <col min="14314" max="14314" width="14.85546875" style="94" customWidth="1"/>
    <col min="14315" max="14316" width="0" style="94" hidden="1" customWidth="1"/>
    <col min="14317" max="14317" width="14.85546875" style="94" customWidth="1"/>
    <col min="14318" max="14319" width="0" style="94" hidden="1" customWidth="1"/>
    <col min="14320" max="14320" width="14.85546875" style="94" customWidth="1"/>
    <col min="14321" max="14322" width="0" style="94" hidden="1" customWidth="1"/>
    <col min="14323" max="14323" width="14.85546875" style="94" customWidth="1"/>
    <col min="14324" max="14325" width="0" style="94" hidden="1" customWidth="1"/>
    <col min="14326" max="14327" width="14.85546875" style="94" customWidth="1"/>
    <col min="14328" max="14328" width="44.42578125" style="94" customWidth="1"/>
    <col min="14329" max="14333" width="14.85546875" style="94" customWidth="1"/>
    <col min="14334" max="14334" width="63.85546875" style="94" customWidth="1"/>
    <col min="14335" max="14335" width="13.28515625" style="94" customWidth="1"/>
    <col min="14336" max="14521" width="9" style="94"/>
    <col min="14522" max="14523" width="0" style="94" hidden="1" customWidth="1"/>
    <col min="14524" max="14524" width="13.7109375" style="94" customWidth="1"/>
    <col min="14525" max="14525" width="52.85546875" style="94" customWidth="1"/>
    <col min="14526" max="14565" width="0" style="94" hidden="1" customWidth="1"/>
    <col min="14566" max="14567" width="14.85546875" style="94" customWidth="1"/>
    <col min="14568" max="14569" width="0" style="94" hidden="1" customWidth="1"/>
    <col min="14570" max="14570" width="14.85546875" style="94" customWidth="1"/>
    <col min="14571" max="14572" width="0" style="94" hidden="1" customWidth="1"/>
    <col min="14573" max="14573" width="14.85546875" style="94" customWidth="1"/>
    <col min="14574" max="14575" width="0" style="94" hidden="1" customWidth="1"/>
    <col min="14576" max="14576" width="14.85546875" style="94" customWidth="1"/>
    <col min="14577" max="14578" width="0" style="94" hidden="1" customWidth="1"/>
    <col min="14579" max="14579" width="14.85546875" style="94" customWidth="1"/>
    <col min="14580" max="14581" width="0" style="94" hidden="1" customWidth="1"/>
    <col min="14582" max="14583" width="14.85546875" style="94" customWidth="1"/>
    <col min="14584" max="14584" width="44.42578125" style="94" customWidth="1"/>
    <col min="14585" max="14589" width="14.85546875" style="94" customWidth="1"/>
    <col min="14590" max="14590" width="63.85546875" style="94" customWidth="1"/>
    <col min="14591" max="14591" width="13.28515625" style="94" customWidth="1"/>
    <col min="14592" max="14777" width="9" style="94"/>
    <col min="14778" max="14779" width="0" style="94" hidden="1" customWidth="1"/>
    <col min="14780" max="14780" width="13.7109375" style="94" customWidth="1"/>
    <col min="14781" max="14781" width="52.85546875" style="94" customWidth="1"/>
    <col min="14782" max="14821" width="0" style="94" hidden="1" customWidth="1"/>
    <col min="14822" max="14823" width="14.85546875" style="94" customWidth="1"/>
    <col min="14824" max="14825" width="0" style="94" hidden="1" customWidth="1"/>
    <col min="14826" max="14826" width="14.85546875" style="94" customWidth="1"/>
    <col min="14827" max="14828" width="0" style="94" hidden="1" customWidth="1"/>
    <col min="14829" max="14829" width="14.85546875" style="94" customWidth="1"/>
    <col min="14830" max="14831" width="0" style="94" hidden="1" customWidth="1"/>
    <col min="14832" max="14832" width="14.85546875" style="94" customWidth="1"/>
    <col min="14833" max="14834" width="0" style="94" hidden="1" customWidth="1"/>
    <col min="14835" max="14835" width="14.85546875" style="94" customWidth="1"/>
    <col min="14836" max="14837" width="0" style="94" hidden="1" customWidth="1"/>
    <col min="14838" max="14839" width="14.85546875" style="94" customWidth="1"/>
    <col min="14840" max="14840" width="44.42578125" style="94" customWidth="1"/>
    <col min="14841" max="14845" width="14.85546875" style="94" customWidth="1"/>
    <col min="14846" max="14846" width="63.85546875" style="94" customWidth="1"/>
    <col min="14847" max="14847" width="13.28515625" style="94" customWidth="1"/>
    <col min="14848" max="15033" width="9" style="94"/>
    <col min="15034" max="15035" width="0" style="94" hidden="1" customWidth="1"/>
    <col min="15036" max="15036" width="13.7109375" style="94" customWidth="1"/>
    <col min="15037" max="15037" width="52.85546875" style="94" customWidth="1"/>
    <col min="15038" max="15077" width="0" style="94" hidden="1" customWidth="1"/>
    <col min="15078" max="15079" width="14.85546875" style="94" customWidth="1"/>
    <col min="15080" max="15081" width="0" style="94" hidden="1" customWidth="1"/>
    <col min="15082" max="15082" width="14.85546875" style="94" customWidth="1"/>
    <col min="15083" max="15084" width="0" style="94" hidden="1" customWidth="1"/>
    <col min="15085" max="15085" width="14.85546875" style="94" customWidth="1"/>
    <col min="15086" max="15087" width="0" style="94" hidden="1" customWidth="1"/>
    <col min="15088" max="15088" width="14.85546875" style="94" customWidth="1"/>
    <col min="15089" max="15090" width="0" style="94" hidden="1" customWidth="1"/>
    <col min="15091" max="15091" width="14.85546875" style="94" customWidth="1"/>
    <col min="15092" max="15093" width="0" style="94" hidden="1" customWidth="1"/>
    <col min="15094" max="15095" width="14.85546875" style="94" customWidth="1"/>
    <col min="15096" max="15096" width="44.42578125" style="94" customWidth="1"/>
    <col min="15097" max="15101" width="14.85546875" style="94" customWidth="1"/>
    <col min="15102" max="15102" width="63.85546875" style="94" customWidth="1"/>
    <col min="15103" max="15103" width="13.28515625" style="94" customWidth="1"/>
    <col min="15104" max="15289" width="9" style="94"/>
    <col min="15290" max="15291" width="0" style="94" hidden="1" customWidth="1"/>
    <col min="15292" max="15292" width="13.7109375" style="94" customWidth="1"/>
    <col min="15293" max="15293" width="52.85546875" style="94" customWidth="1"/>
    <col min="15294" max="15333" width="0" style="94" hidden="1" customWidth="1"/>
    <col min="15334" max="15335" width="14.85546875" style="94" customWidth="1"/>
    <col min="15336" max="15337" width="0" style="94" hidden="1" customWidth="1"/>
    <col min="15338" max="15338" width="14.85546875" style="94" customWidth="1"/>
    <col min="15339" max="15340" width="0" style="94" hidden="1" customWidth="1"/>
    <col min="15341" max="15341" width="14.85546875" style="94" customWidth="1"/>
    <col min="15342" max="15343" width="0" style="94" hidden="1" customWidth="1"/>
    <col min="15344" max="15344" width="14.85546875" style="94" customWidth="1"/>
    <col min="15345" max="15346" width="0" style="94" hidden="1" customWidth="1"/>
    <col min="15347" max="15347" width="14.85546875" style="94" customWidth="1"/>
    <col min="15348" max="15349" width="0" style="94" hidden="1" customWidth="1"/>
    <col min="15350" max="15351" width="14.85546875" style="94" customWidth="1"/>
    <col min="15352" max="15352" width="44.42578125" style="94" customWidth="1"/>
    <col min="15353" max="15357" width="14.85546875" style="94" customWidth="1"/>
    <col min="15358" max="15358" width="63.85546875" style="94" customWidth="1"/>
    <col min="15359" max="15359" width="13.28515625" style="94" customWidth="1"/>
    <col min="15360" max="15545" width="9" style="94"/>
    <col min="15546" max="15547" width="0" style="94" hidden="1" customWidth="1"/>
    <col min="15548" max="15548" width="13.7109375" style="94" customWidth="1"/>
    <col min="15549" max="15549" width="52.85546875" style="94" customWidth="1"/>
    <col min="15550" max="15589" width="0" style="94" hidden="1" customWidth="1"/>
    <col min="15590" max="15591" width="14.85546875" style="94" customWidth="1"/>
    <col min="15592" max="15593" width="0" style="94" hidden="1" customWidth="1"/>
    <col min="15594" max="15594" width="14.85546875" style="94" customWidth="1"/>
    <col min="15595" max="15596" width="0" style="94" hidden="1" customWidth="1"/>
    <col min="15597" max="15597" width="14.85546875" style="94" customWidth="1"/>
    <col min="15598" max="15599" width="0" style="94" hidden="1" customWidth="1"/>
    <col min="15600" max="15600" width="14.85546875" style="94" customWidth="1"/>
    <col min="15601" max="15602" width="0" style="94" hidden="1" customWidth="1"/>
    <col min="15603" max="15603" width="14.85546875" style="94" customWidth="1"/>
    <col min="15604" max="15605" width="0" style="94" hidden="1" customWidth="1"/>
    <col min="15606" max="15607" width="14.85546875" style="94" customWidth="1"/>
    <col min="15608" max="15608" width="44.42578125" style="94" customWidth="1"/>
    <col min="15609" max="15613" width="14.85546875" style="94" customWidth="1"/>
    <col min="15614" max="15614" width="63.85546875" style="94" customWidth="1"/>
    <col min="15615" max="15615" width="13.28515625" style="94" customWidth="1"/>
    <col min="15616" max="15801" width="9" style="94"/>
    <col min="15802" max="15803" width="0" style="94" hidden="1" customWidth="1"/>
    <col min="15804" max="15804" width="13.7109375" style="94" customWidth="1"/>
    <col min="15805" max="15805" width="52.85546875" style="94" customWidth="1"/>
    <col min="15806" max="15845" width="0" style="94" hidden="1" customWidth="1"/>
    <col min="15846" max="15847" width="14.85546875" style="94" customWidth="1"/>
    <col min="15848" max="15849" width="0" style="94" hidden="1" customWidth="1"/>
    <col min="15850" max="15850" width="14.85546875" style="94" customWidth="1"/>
    <col min="15851" max="15852" width="0" style="94" hidden="1" customWidth="1"/>
    <col min="15853" max="15853" width="14.85546875" style="94" customWidth="1"/>
    <col min="15854" max="15855" width="0" style="94" hidden="1" customWidth="1"/>
    <col min="15856" max="15856" width="14.85546875" style="94" customWidth="1"/>
    <col min="15857" max="15858" width="0" style="94" hidden="1" customWidth="1"/>
    <col min="15859" max="15859" width="14.85546875" style="94" customWidth="1"/>
    <col min="15860" max="15861" width="0" style="94" hidden="1" customWidth="1"/>
    <col min="15862" max="15863" width="14.85546875" style="94" customWidth="1"/>
    <col min="15864" max="15864" width="44.42578125" style="94" customWidth="1"/>
    <col min="15865" max="15869" width="14.85546875" style="94" customWidth="1"/>
    <col min="15870" max="15870" width="63.85546875" style="94" customWidth="1"/>
    <col min="15871" max="15871" width="13.28515625" style="94" customWidth="1"/>
    <col min="15872" max="16057" width="9" style="94"/>
    <col min="16058" max="16059" width="0" style="94" hidden="1" customWidth="1"/>
    <col min="16060" max="16060" width="13.7109375" style="94" customWidth="1"/>
    <col min="16061" max="16061" width="52.85546875" style="94" customWidth="1"/>
    <col min="16062" max="16101" width="0" style="94" hidden="1" customWidth="1"/>
    <col min="16102" max="16103" width="14.85546875" style="94" customWidth="1"/>
    <col min="16104" max="16105" width="0" style="94" hidden="1" customWidth="1"/>
    <col min="16106" max="16106" width="14.85546875" style="94" customWidth="1"/>
    <col min="16107" max="16108" width="0" style="94" hidden="1" customWidth="1"/>
    <col min="16109" max="16109" width="14.85546875" style="94" customWidth="1"/>
    <col min="16110" max="16111" width="0" style="94" hidden="1" customWidth="1"/>
    <col min="16112" max="16112" width="14.85546875" style="94" customWidth="1"/>
    <col min="16113" max="16114" width="0" style="94" hidden="1" customWidth="1"/>
    <col min="16115" max="16115" width="14.85546875" style="94" customWidth="1"/>
    <col min="16116" max="16117" width="0" style="94" hidden="1" customWidth="1"/>
    <col min="16118" max="16119" width="14.85546875" style="94" customWidth="1"/>
    <col min="16120" max="16120" width="44.42578125" style="94" customWidth="1"/>
    <col min="16121" max="16125" width="14.85546875" style="94" customWidth="1"/>
    <col min="16126" max="16126" width="63.85546875" style="94" customWidth="1"/>
    <col min="16127" max="16127" width="13.28515625" style="94" customWidth="1"/>
    <col min="16128" max="16326" width="9" style="94"/>
    <col min="16327" max="16359" width="9.140625" style="94" customWidth="1"/>
    <col min="16360" max="16384" width="9" style="94"/>
  </cols>
  <sheetData>
    <row r="1" spans="1:23" ht="25.5" outlineLevel="1" x14ac:dyDescent="0.35">
      <c r="C1" s="95" t="s">
        <v>0</v>
      </c>
      <c r="D1" s="95"/>
      <c r="E1" s="1"/>
      <c r="F1" s="1"/>
      <c r="G1" s="96"/>
      <c r="H1" s="2"/>
      <c r="I1" s="96"/>
      <c r="J1" s="96"/>
      <c r="K1" s="2"/>
      <c r="L1" s="96"/>
      <c r="M1" s="96"/>
      <c r="N1" s="2"/>
      <c r="O1" s="96"/>
      <c r="P1" s="96"/>
      <c r="Q1" s="2"/>
      <c r="R1" s="96"/>
      <c r="S1" s="96"/>
      <c r="T1" s="2"/>
      <c r="U1" s="96"/>
      <c r="V1" s="96"/>
      <c r="W1" s="2"/>
    </row>
    <row r="2" spans="1:23" ht="25.5" outlineLevel="1" x14ac:dyDescent="0.35">
      <c r="C2" s="350" t="s">
        <v>1</v>
      </c>
      <c r="D2" s="350"/>
      <c r="G2" s="97"/>
      <c r="H2" s="4"/>
      <c r="I2" s="97"/>
      <c r="J2" s="97"/>
      <c r="K2" s="4"/>
      <c r="L2" s="97"/>
      <c r="M2" s="97"/>
      <c r="N2" s="4"/>
      <c r="O2" s="5"/>
      <c r="P2" s="97"/>
      <c r="Q2" s="4"/>
      <c r="R2" s="98"/>
      <c r="S2" s="97"/>
      <c r="T2" s="4"/>
      <c r="U2" s="98"/>
      <c r="V2" s="97"/>
      <c r="W2" s="4"/>
    </row>
    <row r="3" spans="1:23" ht="20.25" outlineLevel="1" x14ac:dyDescent="0.3">
      <c r="C3" s="346" t="s">
        <v>2</v>
      </c>
      <c r="D3" s="346"/>
      <c r="E3" s="7"/>
      <c r="F3" s="7"/>
      <c r="G3" s="6"/>
      <c r="I3" s="6"/>
      <c r="J3" s="6"/>
      <c r="L3" s="6"/>
      <c r="M3" s="6"/>
      <c r="O3" s="6"/>
      <c r="P3" s="6"/>
      <c r="R3" s="6"/>
      <c r="S3" s="6"/>
      <c r="U3" s="6"/>
      <c r="V3" s="6"/>
    </row>
    <row r="4" spans="1:23" ht="15.75" outlineLevel="1" thickBot="1" x14ac:dyDescent="0.3">
      <c r="C4" s="9"/>
      <c r="E4" s="7"/>
      <c r="F4" s="7"/>
      <c r="G4" s="8"/>
      <c r="I4" s="7"/>
      <c r="J4" s="8"/>
      <c r="L4" s="7"/>
      <c r="M4" s="8"/>
      <c r="O4" s="7"/>
      <c r="P4" s="8"/>
      <c r="R4" s="7"/>
      <c r="S4" s="8"/>
      <c r="U4" s="7"/>
      <c r="V4" s="8"/>
    </row>
    <row r="5" spans="1:23" ht="55.15" customHeight="1" thickBot="1" x14ac:dyDescent="0.3">
      <c r="C5" s="99" t="s">
        <v>3</v>
      </c>
      <c r="D5" s="100" t="s">
        <v>4</v>
      </c>
      <c r="E5" s="11" t="s">
        <v>6</v>
      </c>
      <c r="F5" s="11" t="s">
        <v>7</v>
      </c>
      <c r="G5" s="10" t="s">
        <v>8</v>
      </c>
      <c r="H5" s="12" t="s">
        <v>9</v>
      </c>
      <c r="I5" s="10" t="s">
        <v>10</v>
      </c>
      <c r="J5" s="10" t="s">
        <v>11</v>
      </c>
      <c r="K5" s="12" t="s">
        <v>9</v>
      </c>
      <c r="L5" s="10" t="s">
        <v>12</v>
      </c>
      <c r="M5" s="10" t="s">
        <v>13</v>
      </c>
      <c r="N5" s="12" t="s">
        <v>9</v>
      </c>
      <c r="O5" s="10" t="s">
        <v>14</v>
      </c>
      <c r="P5" s="10" t="s">
        <v>15</v>
      </c>
      <c r="Q5" s="12" t="s">
        <v>9</v>
      </c>
      <c r="R5" s="10" t="s">
        <v>16</v>
      </c>
      <c r="S5" s="10" t="s">
        <v>17</v>
      </c>
      <c r="T5" s="12" t="s">
        <v>9</v>
      </c>
      <c r="U5" s="10" t="s">
        <v>18</v>
      </c>
      <c r="V5" s="10" t="s">
        <v>19</v>
      </c>
      <c r="W5" s="12" t="s">
        <v>9</v>
      </c>
    </row>
    <row r="6" spans="1:23" x14ac:dyDescent="0.25">
      <c r="C6" s="101" t="s">
        <v>20</v>
      </c>
      <c r="D6" s="102" t="s">
        <v>21</v>
      </c>
      <c r="E6" s="13">
        <v>31414871</v>
      </c>
      <c r="F6" s="13">
        <f t="shared" ref="F6" si="0">ROUND((F7+F11+F14+F17+F20),0)</f>
        <v>31414871</v>
      </c>
      <c r="G6" s="103">
        <f>F6-E6</f>
        <v>0</v>
      </c>
      <c r="H6" s="14"/>
      <c r="I6" s="13">
        <f>ROUND((I7+I11+I14+I17+I20),0)</f>
        <v>31582267</v>
      </c>
      <c r="J6" s="103">
        <f>I6-F6</f>
        <v>167396</v>
      </c>
      <c r="K6" s="14"/>
      <c r="L6" s="13">
        <f>ROUND((L7+L11+L14+L17+L20),0)</f>
        <v>31582267</v>
      </c>
      <c r="M6" s="103">
        <f>L6-I6</f>
        <v>0</v>
      </c>
      <c r="N6" s="14"/>
      <c r="O6" s="13">
        <f>ROUND((O7+O11+O14+O17+O20),0)</f>
        <v>31582267</v>
      </c>
      <c r="P6" s="103">
        <f>O6-L6</f>
        <v>0</v>
      </c>
      <c r="Q6" s="14"/>
      <c r="R6" s="13">
        <f>ROUND((R7+R11+R14+R17+R20),0)</f>
        <v>31732267</v>
      </c>
      <c r="S6" s="103">
        <f>R6-O6</f>
        <v>150000</v>
      </c>
      <c r="T6" s="14"/>
      <c r="U6" s="13">
        <f>ROUND((U7+U11+U14+U17+U20),0)</f>
        <v>32432465</v>
      </c>
      <c r="V6" s="103">
        <f>U6-R6</f>
        <v>700198</v>
      </c>
      <c r="W6" s="14"/>
    </row>
    <row r="7" spans="1:23" x14ac:dyDescent="0.25">
      <c r="B7" s="94" t="s">
        <v>22</v>
      </c>
      <c r="C7" s="104" t="s">
        <v>23</v>
      </c>
      <c r="D7" s="105" t="s">
        <v>24</v>
      </c>
      <c r="E7" s="15">
        <v>28441559</v>
      </c>
      <c r="F7" s="15">
        <f>SUM(F8:F9)</f>
        <v>28441559</v>
      </c>
      <c r="G7" s="106">
        <f t="shared" ref="G7:G72" si="1">F7-E7</f>
        <v>0</v>
      </c>
      <c r="H7" s="16"/>
      <c r="I7" s="106">
        <f>SUM(I8:I9)</f>
        <v>28608955</v>
      </c>
      <c r="J7" s="106">
        <f>I7-F7</f>
        <v>167396</v>
      </c>
      <c r="K7" s="16"/>
      <c r="L7" s="106">
        <f>SUM(L8:L9)</f>
        <v>28608955</v>
      </c>
      <c r="M7" s="106">
        <f>L7-I7</f>
        <v>0</v>
      </c>
      <c r="N7" s="16"/>
      <c r="O7" s="106">
        <f>SUM(O8:O9)</f>
        <v>28608955</v>
      </c>
      <c r="P7" s="106">
        <f>O7-L7</f>
        <v>0</v>
      </c>
      <c r="Q7" s="16"/>
      <c r="R7" s="106">
        <f>SUM(R8:R9)</f>
        <v>28758955</v>
      </c>
      <c r="S7" s="106">
        <f>R7-O7</f>
        <v>150000</v>
      </c>
      <c r="T7" s="16"/>
      <c r="U7" s="106">
        <f>SUM(U8:U9)</f>
        <v>29459153</v>
      </c>
      <c r="V7" s="106">
        <f>U7-R7</f>
        <v>700198</v>
      </c>
      <c r="W7" s="16"/>
    </row>
    <row r="8" spans="1:23" x14ac:dyDescent="0.25">
      <c r="A8" s="94" t="s">
        <v>25</v>
      </c>
      <c r="B8" s="107" t="s">
        <v>26</v>
      </c>
      <c r="C8" s="108" t="s">
        <v>27</v>
      </c>
      <c r="D8" s="109" t="s">
        <v>28</v>
      </c>
      <c r="E8" s="17">
        <v>28441559</v>
      </c>
      <c r="F8" s="17">
        <f>ROUND(E8,0)</f>
        <v>28441559</v>
      </c>
      <c r="G8" s="110">
        <f t="shared" si="1"/>
        <v>0</v>
      </c>
      <c r="H8" s="18"/>
      <c r="I8" s="110">
        <f>ROUND(F8,0)+167396</f>
        <v>28608955</v>
      </c>
      <c r="J8" s="110">
        <f>I8-F8</f>
        <v>167396</v>
      </c>
      <c r="K8" s="18" t="s">
        <v>29</v>
      </c>
      <c r="L8" s="110">
        <f>ROUND(I8,0)</f>
        <v>28608955</v>
      </c>
      <c r="M8" s="110">
        <f>L8-I8</f>
        <v>0</v>
      </c>
      <c r="N8" s="18"/>
      <c r="O8" s="110">
        <f>ROUND(L8,0)</f>
        <v>28608955</v>
      </c>
      <c r="P8" s="110">
        <f>O8-L8</f>
        <v>0</v>
      </c>
      <c r="Q8" s="18"/>
      <c r="R8" s="110">
        <f>ROUND(O8,0)+150000</f>
        <v>28758955</v>
      </c>
      <c r="S8" s="110">
        <f>R8-O8</f>
        <v>150000</v>
      </c>
      <c r="T8" s="18" t="s">
        <v>30</v>
      </c>
      <c r="U8" s="110">
        <f>ROUND(R8,0)+700198</f>
        <v>29459153</v>
      </c>
      <c r="V8" s="110">
        <f>U8-R8</f>
        <v>700198</v>
      </c>
      <c r="W8" s="18" t="s">
        <v>30</v>
      </c>
    </row>
    <row r="9" spans="1:23" ht="27.75" hidden="1" customHeight="1" outlineLevel="1" x14ac:dyDescent="0.25">
      <c r="B9" s="107"/>
      <c r="C9" s="108" t="s">
        <v>31</v>
      </c>
      <c r="D9" s="109" t="s">
        <v>32</v>
      </c>
      <c r="E9" s="17">
        <v>0</v>
      </c>
      <c r="F9" s="17">
        <f>ROUND(E9,0)</f>
        <v>0</v>
      </c>
      <c r="G9" s="110">
        <f t="shared" si="1"/>
        <v>0</v>
      </c>
      <c r="H9" s="18"/>
      <c r="I9" s="110">
        <f>ROUND(H9,0)</f>
        <v>0</v>
      </c>
      <c r="J9" s="110">
        <f t="shared" ref="J9:J73" si="2">I9-F9</f>
        <v>0</v>
      </c>
      <c r="K9" s="18"/>
      <c r="L9" s="110">
        <f>ROUND(K9,0)</f>
        <v>0</v>
      </c>
      <c r="M9" s="110">
        <f t="shared" ref="M9:M73" si="3">L9-I9</f>
        <v>0</v>
      </c>
      <c r="N9" s="18"/>
      <c r="O9" s="110">
        <f>ROUND(N9,0)</f>
        <v>0</v>
      </c>
      <c r="P9" s="110">
        <f t="shared" ref="P9:P73" si="4">O9-L9</f>
        <v>0</v>
      </c>
      <c r="Q9" s="18"/>
      <c r="R9" s="110">
        <f>ROUND(Q9,0)</f>
        <v>0</v>
      </c>
      <c r="S9" s="110">
        <f t="shared" ref="S9:S73" si="5">R9-O9</f>
        <v>0</v>
      </c>
      <c r="T9" s="18"/>
      <c r="U9" s="110">
        <f>ROUND(T9,0)</f>
        <v>0</v>
      </c>
      <c r="V9" s="110">
        <f t="shared" ref="V9:V73" si="6">U9-R9</f>
        <v>0</v>
      </c>
      <c r="W9" s="18"/>
    </row>
    <row r="10" spans="1:23" ht="32.450000000000003" customHeight="1" collapsed="1" x14ac:dyDescent="0.25">
      <c r="C10" s="101" t="s">
        <v>33</v>
      </c>
      <c r="D10" s="102" t="s">
        <v>34</v>
      </c>
      <c r="E10" s="13">
        <v>2903312</v>
      </c>
      <c r="F10" s="13">
        <f>F11+F14+F17</f>
        <v>2903312</v>
      </c>
      <c r="G10" s="103">
        <f t="shared" si="1"/>
        <v>0</v>
      </c>
      <c r="H10" s="14"/>
      <c r="I10" s="13">
        <f>I11+I14+I17</f>
        <v>2903312</v>
      </c>
      <c r="J10" s="103">
        <f t="shared" si="2"/>
        <v>0</v>
      </c>
      <c r="K10" s="14"/>
      <c r="L10" s="13">
        <f>L11+L14+L17</f>
        <v>2903312</v>
      </c>
      <c r="M10" s="103">
        <f t="shared" si="3"/>
        <v>0</v>
      </c>
      <c r="N10" s="14"/>
      <c r="O10" s="13">
        <f>O11+O14+O17</f>
        <v>2903312</v>
      </c>
      <c r="P10" s="103">
        <f t="shared" si="4"/>
        <v>0</v>
      </c>
      <c r="Q10" s="14"/>
      <c r="R10" s="13">
        <f>R11+R14+R17</f>
        <v>2903312</v>
      </c>
      <c r="S10" s="103">
        <f t="shared" si="5"/>
        <v>0</v>
      </c>
      <c r="T10" s="14"/>
      <c r="U10" s="13">
        <f>U11+U14+U17</f>
        <v>2903312</v>
      </c>
      <c r="V10" s="103">
        <f t="shared" si="6"/>
        <v>0</v>
      </c>
      <c r="W10" s="14"/>
    </row>
    <row r="11" spans="1:23" x14ac:dyDescent="0.25">
      <c r="B11" s="94" t="s">
        <v>35</v>
      </c>
      <c r="C11" s="112" t="s">
        <v>36</v>
      </c>
      <c r="D11" s="113" t="s">
        <v>37</v>
      </c>
      <c r="E11" s="19">
        <v>1998295</v>
      </c>
      <c r="F11" s="19">
        <f>SUM(F12:F13)</f>
        <v>1998295</v>
      </c>
      <c r="G11" s="114">
        <f t="shared" si="1"/>
        <v>0</v>
      </c>
      <c r="H11" s="20"/>
      <c r="I11" s="114">
        <f>SUM(I12:I13)</f>
        <v>1998295</v>
      </c>
      <c r="J11" s="114">
        <f t="shared" si="2"/>
        <v>0</v>
      </c>
      <c r="K11" s="20"/>
      <c r="L11" s="114">
        <f>SUM(L12:L13)</f>
        <v>1998295</v>
      </c>
      <c r="M11" s="114">
        <f t="shared" si="3"/>
        <v>0</v>
      </c>
      <c r="N11" s="20"/>
      <c r="O11" s="114">
        <f>SUM(O12:O13)</f>
        <v>1998295</v>
      </c>
      <c r="P11" s="114">
        <f t="shared" si="4"/>
        <v>0</v>
      </c>
      <c r="Q11" s="20"/>
      <c r="R11" s="114">
        <f>SUM(R12:R13)</f>
        <v>1998295</v>
      </c>
      <c r="S11" s="114">
        <f t="shared" si="5"/>
        <v>0</v>
      </c>
      <c r="T11" s="20"/>
      <c r="U11" s="114">
        <f>SUM(U12:U13)</f>
        <v>1998295</v>
      </c>
      <c r="V11" s="114">
        <f t="shared" si="6"/>
        <v>0</v>
      </c>
      <c r="W11" s="20"/>
    </row>
    <row r="12" spans="1:23" x14ac:dyDescent="0.25">
      <c r="A12" s="94" t="s">
        <v>25</v>
      </c>
      <c r="B12" s="107" t="s">
        <v>38</v>
      </c>
      <c r="C12" s="108" t="s">
        <v>39</v>
      </c>
      <c r="D12" s="109" t="s">
        <v>28</v>
      </c>
      <c r="E12" s="17">
        <v>1807872</v>
      </c>
      <c r="F12" s="17">
        <f>ROUND(E12,0)</f>
        <v>1807872</v>
      </c>
      <c r="G12" s="110">
        <f t="shared" si="1"/>
        <v>0</v>
      </c>
      <c r="H12" s="21"/>
      <c r="I12" s="110">
        <f>ROUND(F12,0)</f>
        <v>1807872</v>
      </c>
      <c r="J12" s="110">
        <f t="shared" si="2"/>
        <v>0</v>
      </c>
      <c r="K12" s="21"/>
      <c r="L12" s="110">
        <f>ROUND(I12,0)</f>
        <v>1807872</v>
      </c>
      <c r="M12" s="110">
        <f t="shared" si="3"/>
        <v>0</v>
      </c>
      <c r="N12" s="21"/>
      <c r="O12" s="110">
        <f>ROUND(L12,0)</f>
        <v>1807872</v>
      </c>
      <c r="P12" s="110">
        <f t="shared" si="4"/>
        <v>0</v>
      </c>
      <c r="Q12" s="21"/>
      <c r="R12" s="110">
        <f>ROUND(O12,0)</f>
        <v>1807872</v>
      </c>
      <c r="S12" s="110">
        <f t="shared" si="5"/>
        <v>0</v>
      </c>
      <c r="T12" s="21"/>
      <c r="U12" s="110">
        <f>ROUND(R12,0)</f>
        <v>1807872</v>
      </c>
      <c r="V12" s="110">
        <f t="shared" si="6"/>
        <v>0</v>
      </c>
      <c r="W12" s="21"/>
    </row>
    <row r="13" spans="1:23" x14ac:dyDescent="0.25">
      <c r="A13" s="94" t="s">
        <v>25</v>
      </c>
      <c r="B13" s="107" t="s">
        <v>40</v>
      </c>
      <c r="C13" s="108" t="s">
        <v>41</v>
      </c>
      <c r="D13" s="109" t="s">
        <v>42</v>
      </c>
      <c r="E13" s="17">
        <v>190423</v>
      </c>
      <c r="F13" s="17">
        <f>ROUND(E13,0)</f>
        <v>190423</v>
      </c>
      <c r="G13" s="110">
        <f t="shared" si="1"/>
        <v>0</v>
      </c>
      <c r="H13" s="18"/>
      <c r="I13" s="110">
        <f>ROUND(F13,0)</f>
        <v>190423</v>
      </c>
      <c r="J13" s="110">
        <f t="shared" si="2"/>
        <v>0</v>
      </c>
      <c r="K13" s="18"/>
      <c r="L13" s="110">
        <f>ROUND(I13,0)</f>
        <v>190423</v>
      </c>
      <c r="M13" s="110">
        <f t="shared" si="3"/>
        <v>0</v>
      </c>
      <c r="N13" s="18"/>
      <c r="O13" s="110">
        <f>ROUND(L13,0)</f>
        <v>190423</v>
      </c>
      <c r="P13" s="110">
        <f t="shared" si="4"/>
        <v>0</v>
      </c>
      <c r="Q13" s="18"/>
      <c r="R13" s="110">
        <f>ROUND(O13,0)</f>
        <v>190423</v>
      </c>
      <c r="S13" s="110">
        <f t="shared" si="5"/>
        <v>0</v>
      </c>
      <c r="T13" s="18"/>
      <c r="U13" s="110">
        <f>ROUND(R13,0)</f>
        <v>190423</v>
      </c>
      <c r="V13" s="110">
        <f t="shared" si="6"/>
        <v>0</v>
      </c>
      <c r="W13" s="18"/>
    </row>
    <row r="14" spans="1:23" x14ac:dyDescent="0.25">
      <c r="B14" s="94" t="s">
        <v>43</v>
      </c>
      <c r="C14" s="112" t="s">
        <v>44</v>
      </c>
      <c r="D14" s="113" t="s">
        <v>45</v>
      </c>
      <c r="E14" s="19">
        <v>412472</v>
      </c>
      <c r="F14" s="19">
        <f>SUM(F15:F16)</f>
        <v>412472</v>
      </c>
      <c r="G14" s="114">
        <f t="shared" si="1"/>
        <v>0</v>
      </c>
      <c r="H14" s="20"/>
      <c r="I14" s="114">
        <f>SUM(I15:I16)</f>
        <v>412472</v>
      </c>
      <c r="J14" s="114">
        <f t="shared" si="2"/>
        <v>0</v>
      </c>
      <c r="K14" s="20"/>
      <c r="L14" s="114">
        <f>SUM(L15:L16)</f>
        <v>412472</v>
      </c>
      <c r="M14" s="114">
        <f t="shared" si="3"/>
        <v>0</v>
      </c>
      <c r="N14" s="20"/>
      <c r="O14" s="114">
        <f>SUM(O15:O16)</f>
        <v>412472</v>
      </c>
      <c r="P14" s="114">
        <f t="shared" si="4"/>
        <v>0</v>
      </c>
      <c r="Q14" s="20"/>
      <c r="R14" s="114">
        <f>SUM(R15:R16)</f>
        <v>412472</v>
      </c>
      <c r="S14" s="114">
        <f t="shared" si="5"/>
        <v>0</v>
      </c>
      <c r="T14" s="20"/>
      <c r="U14" s="114">
        <f>SUM(U15:U16)</f>
        <v>412472</v>
      </c>
      <c r="V14" s="114">
        <f t="shared" si="6"/>
        <v>0</v>
      </c>
      <c r="W14" s="20"/>
    </row>
    <row r="15" spans="1:23" x14ac:dyDescent="0.25">
      <c r="A15" s="94" t="s">
        <v>25</v>
      </c>
      <c r="B15" s="107" t="s">
        <v>46</v>
      </c>
      <c r="C15" s="108" t="s">
        <v>47</v>
      </c>
      <c r="D15" s="109" t="s">
        <v>48</v>
      </c>
      <c r="E15" s="17">
        <v>326353</v>
      </c>
      <c r="F15" s="17">
        <f>ROUND(E15,0)</f>
        <v>326353</v>
      </c>
      <c r="G15" s="110">
        <f t="shared" si="1"/>
        <v>0</v>
      </c>
      <c r="H15" s="22"/>
      <c r="I15" s="110">
        <f>ROUND(F15,0)</f>
        <v>326353</v>
      </c>
      <c r="J15" s="110">
        <f t="shared" si="2"/>
        <v>0</v>
      </c>
      <c r="K15" s="22"/>
      <c r="L15" s="110">
        <f>ROUND(I15,0)</f>
        <v>326353</v>
      </c>
      <c r="M15" s="110">
        <f t="shared" si="3"/>
        <v>0</v>
      </c>
      <c r="N15" s="22"/>
      <c r="O15" s="110">
        <f>ROUND(L15,0)</f>
        <v>326353</v>
      </c>
      <c r="P15" s="110">
        <f t="shared" si="4"/>
        <v>0</v>
      </c>
      <c r="Q15" s="22"/>
      <c r="R15" s="110">
        <f>ROUND(O15,0)</f>
        <v>326353</v>
      </c>
      <c r="S15" s="110">
        <f t="shared" si="5"/>
        <v>0</v>
      </c>
      <c r="T15" s="22"/>
      <c r="U15" s="110">
        <f>ROUND(R15,0)</f>
        <v>326353</v>
      </c>
      <c r="V15" s="110">
        <f t="shared" si="6"/>
        <v>0</v>
      </c>
      <c r="W15" s="22"/>
    </row>
    <row r="16" spans="1:23" x14ac:dyDescent="0.25">
      <c r="A16" s="94" t="s">
        <v>25</v>
      </c>
      <c r="B16" s="107" t="s">
        <v>49</v>
      </c>
      <c r="C16" s="108" t="s">
        <v>50</v>
      </c>
      <c r="D16" s="109" t="s">
        <v>42</v>
      </c>
      <c r="E16" s="17">
        <v>86119</v>
      </c>
      <c r="F16" s="17">
        <f>ROUND(E16,0)</f>
        <v>86119</v>
      </c>
      <c r="G16" s="110">
        <f t="shared" si="1"/>
        <v>0</v>
      </c>
      <c r="H16" s="18"/>
      <c r="I16" s="110">
        <f>ROUND(F16,0)</f>
        <v>86119</v>
      </c>
      <c r="J16" s="110">
        <f t="shared" si="2"/>
        <v>0</v>
      </c>
      <c r="K16" s="18"/>
      <c r="L16" s="110">
        <f>ROUND(I16,0)</f>
        <v>86119</v>
      </c>
      <c r="M16" s="110">
        <f t="shared" si="3"/>
        <v>0</v>
      </c>
      <c r="N16" s="18"/>
      <c r="O16" s="110">
        <f>ROUND(L16,0)</f>
        <v>86119</v>
      </c>
      <c r="P16" s="110">
        <f t="shared" si="4"/>
        <v>0</v>
      </c>
      <c r="Q16" s="18"/>
      <c r="R16" s="110">
        <f>ROUND(O16,0)</f>
        <v>86119</v>
      </c>
      <c r="S16" s="110">
        <f t="shared" si="5"/>
        <v>0</v>
      </c>
      <c r="T16" s="18"/>
      <c r="U16" s="110">
        <f>ROUND(R16,0)</f>
        <v>86119</v>
      </c>
      <c r="V16" s="110">
        <f t="shared" si="6"/>
        <v>0</v>
      </c>
      <c r="W16" s="18"/>
    </row>
    <row r="17" spans="1:23" ht="29.25" x14ac:dyDescent="0.25">
      <c r="B17" s="94" t="s">
        <v>51</v>
      </c>
      <c r="C17" s="112" t="s">
        <v>52</v>
      </c>
      <c r="D17" s="113" t="s">
        <v>53</v>
      </c>
      <c r="E17" s="19">
        <v>492545</v>
      </c>
      <c r="F17" s="19">
        <f>SUM(F18:F19)</f>
        <v>492545</v>
      </c>
      <c r="G17" s="114">
        <f t="shared" si="1"/>
        <v>0</v>
      </c>
      <c r="H17" s="20"/>
      <c r="I17" s="114">
        <f>SUM(I18:I19)</f>
        <v>492545</v>
      </c>
      <c r="J17" s="114">
        <f t="shared" si="2"/>
        <v>0</v>
      </c>
      <c r="K17" s="20"/>
      <c r="L17" s="114">
        <f>SUM(L18:L19)</f>
        <v>492545</v>
      </c>
      <c r="M17" s="114">
        <f t="shared" si="3"/>
        <v>0</v>
      </c>
      <c r="N17" s="20"/>
      <c r="O17" s="114">
        <f>SUM(O18:O19)</f>
        <v>492545</v>
      </c>
      <c r="P17" s="114">
        <f t="shared" si="4"/>
        <v>0</v>
      </c>
      <c r="Q17" s="20"/>
      <c r="R17" s="114">
        <f>SUM(R18:R19)</f>
        <v>492545</v>
      </c>
      <c r="S17" s="114">
        <f t="shared" si="5"/>
        <v>0</v>
      </c>
      <c r="T17" s="20"/>
      <c r="U17" s="114">
        <f>SUM(U18:U19)</f>
        <v>492545</v>
      </c>
      <c r="V17" s="114">
        <f t="shared" si="6"/>
        <v>0</v>
      </c>
      <c r="W17" s="20"/>
    </row>
    <row r="18" spans="1:23" ht="18.75" customHeight="1" x14ac:dyDescent="0.25">
      <c r="A18" s="94" t="s">
        <v>25</v>
      </c>
      <c r="B18" s="107" t="s">
        <v>54</v>
      </c>
      <c r="C18" s="108" t="s">
        <v>55</v>
      </c>
      <c r="D18" s="109" t="s">
        <v>48</v>
      </c>
      <c r="E18" s="17">
        <v>431787</v>
      </c>
      <c r="F18" s="17">
        <f>ROUND(E18,0)</f>
        <v>431787</v>
      </c>
      <c r="G18" s="110">
        <f t="shared" si="1"/>
        <v>0</v>
      </c>
      <c r="H18" s="22"/>
      <c r="I18" s="110">
        <f>ROUND(F18,0)</f>
        <v>431787</v>
      </c>
      <c r="J18" s="110">
        <f t="shared" si="2"/>
        <v>0</v>
      </c>
      <c r="K18" s="22"/>
      <c r="L18" s="110">
        <f>ROUND(I18,0)</f>
        <v>431787</v>
      </c>
      <c r="M18" s="110">
        <f t="shared" si="3"/>
        <v>0</v>
      </c>
      <c r="N18" s="22"/>
      <c r="O18" s="110">
        <f>ROUND(L18,0)</f>
        <v>431787</v>
      </c>
      <c r="P18" s="110">
        <f t="shared" si="4"/>
        <v>0</v>
      </c>
      <c r="Q18" s="22"/>
      <c r="R18" s="110">
        <f>ROUND(O18,0)</f>
        <v>431787</v>
      </c>
      <c r="S18" s="110">
        <f t="shared" si="5"/>
        <v>0</v>
      </c>
      <c r="T18" s="22"/>
      <c r="U18" s="110">
        <f>ROUND(R18,0)</f>
        <v>431787</v>
      </c>
      <c r="V18" s="110">
        <f t="shared" si="6"/>
        <v>0</v>
      </c>
      <c r="W18" s="22"/>
    </row>
    <row r="19" spans="1:23" x14ac:dyDescent="0.25">
      <c r="A19" s="94" t="s">
        <v>25</v>
      </c>
      <c r="B19" s="107" t="s">
        <v>56</v>
      </c>
      <c r="C19" s="108" t="s">
        <v>57</v>
      </c>
      <c r="D19" s="109" t="s">
        <v>42</v>
      </c>
      <c r="E19" s="17">
        <v>60758</v>
      </c>
      <c r="F19" s="17">
        <f>ROUND(E19,0)</f>
        <v>60758</v>
      </c>
      <c r="G19" s="110">
        <f t="shared" si="1"/>
        <v>0</v>
      </c>
      <c r="H19" s="21"/>
      <c r="I19" s="110">
        <f>ROUND(F19,0)</f>
        <v>60758</v>
      </c>
      <c r="J19" s="110">
        <f t="shared" si="2"/>
        <v>0</v>
      </c>
      <c r="K19" s="21"/>
      <c r="L19" s="110">
        <f>ROUND(I19,0)</f>
        <v>60758</v>
      </c>
      <c r="M19" s="110">
        <f t="shared" si="3"/>
        <v>0</v>
      </c>
      <c r="N19" s="21"/>
      <c r="O19" s="110">
        <f>ROUND(L19,0)</f>
        <v>60758</v>
      </c>
      <c r="P19" s="110">
        <f t="shared" si="4"/>
        <v>0</v>
      </c>
      <c r="Q19" s="21"/>
      <c r="R19" s="110">
        <f>ROUND(O19,0)</f>
        <v>60758</v>
      </c>
      <c r="S19" s="110">
        <f t="shared" si="5"/>
        <v>0</v>
      </c>
      <c r="T19" s="21"/>
      <c r="U19" s="110">
        <f>ROUND(R19,0)</f>
        <v>60758</v>
      </c>
      <c r="V19" s="110">
        <f t="shared" si="6"/>
        <v>0</v>
      </c>
      <c r="W19" s="21"/>
    </row>
    <row r="20" spans="1:23" ht="29.25" x14ac:dyDescent="0.25">
      <c r="B20" s="115"/>
      <c r="C20" s="112" t="s">
        <v>58</v>
      </c>
      <c r="D20" s="113" t="s">
        <v>59</v>
      </c>
      <c r="E20" s="19">
        <v>70000</v>
      </c>
      <c r="F20" s="19">
        <f t="shared" ref="F20" si="7">SUM(F21:F22)</f>
        <v>70000</v>
      </c>
      <c r="G20" s="114">
        <f t="shared" si="1"/>
        <v>0</v>
      </c>
      <c r="H20" s="20"/>
      <c r="I20" s="114">
        <f>SUM(I21:I22)</f>
        <v>70000</v>
      </c>
      <c r="J20" s="114">
        <f t="shared" si="2"/>
        <v>0</v>
      </c>
      <c r="K20" s="20"/>
      <c r="L20" s="114">
        <f>SUM(L21:L22)</f>
        <v>70000</v>
      </c>
      <c r="M20" s="114">
        <f t="shared" si="3"/>
        <v>0</v>
      </c>
      <c r="N20" s="20"/>
      <c r="O20" s="114">
        <f>SUM(O21:O22)</f>
        <v>70000</v>
      </c>
      <c r="P20" s="114">
        <f t="shared" si="4"/>
        <v>0</v>
      </c>
      <c r="Q20" s="20"/>
      <c r="R20" s="114">
        <f>SUM(R21:R22)</f>
        <v>70000</v>
      </c>
      <c r="S20" s="114">
        <f t="shared" si="5"/>
        <v>0</v>
      </c>
      <c r="T20" s="20"/>
      <c r="U20" s="114">
        <f>SUM(U21:U22)</f>
        <v>70000</v>
      </c>
      <c r="V20" s="114">
        <f t="shared" si="6"/>
        <v>0</v>
      </c>
      <c r="W20" s="20"/>
    </row>
    <row r="21" spans="1:23" ht="14.45" customHeight="1" outlineLevel="1" x14ac:dyDescent="0.25">
      <c r="B21" s="107" t="s">
        <v>60</v>
      </c>
      <c r="C21" s="108" t="s">
        <v>61</v>
      </c>
      <c r="D21" s="109" t="s">
        <v>62</v>
      </c>
      <c r="E21" s="17">
        <v>0</v>
      </c>
      <c r="F21" s="17">
        <f>ROUND(E21,0)</f>
        <v>0</v>
      </c>
      <c r="G21" s="110">
        <f t="shared" si="1"/>
        <v>0</v>
      </c>
      <c r="H21" s="22"/>
      <c r="I21" s="110">
        <f>ROUND(F21,0)</f>
        <v>0</v>
      </c>
      <c r="J21" s="110">
        <f t="shared" si="2"/>
        <v>0</v>
      </c>
      <c r="K21" s="22"/>
      <c r="L21" s="110">
        <f>ROUND(I21,0)</f>
        <v>0</v>
      </c>
      <c r="M21" s="110">
        <f t="shared" si="3"/>
        <v>0</v>
      </c>
      <c r="N21" s="22"/>
      <c r="O21" s="110">
        <f>ROUND(L21,0)</f>
        <v>0</v>
      </c>
      <c r="P21" s="110">
        <f t="shared" si="4"/>
        <v>0</v>
      </c>
      <c r="Q21" s="22"/>
      <c r="R21" s="110">
        <f>ROUND(O21,0)</f>
        <v>0</v>
      </c>
      <c r="S21" s="110">
        <f t="shared" si="5"/>
        <v>0</v>
      </c>
      <c r="T21" s="22"/>
      <c r="U21" s="110">
        <f>ROUND(R21,0)</f>
        <v>0</v>
      </c>
      <c r="V21" s="110">
        <f t="shared" si="6"/>
        <v>0</v>
      </c>
      <c r="W21" s="22"/>
    </row>
    <row r="22" spans="1:23" ht="15.6" customHeight="1" x14ac:dyDescent="0.25">
      <c r="B22" s="107" t="s">
        <v>63</v>
      </c>
      <c r="C22" s="108" t="s">
        <v>61</v>
      </c>
      <c r="D22" s="109" t="s">
        <v>64</v>
      </c>
      <c r="E22" s="17">
        <v>70000</v>
      </c>
      <c r="F22" s="17">
        <f>ROUND(E22,0)</f>
        <v>70000</v>
      </c>
      <c r="G22" s="110">
        <f t="shared" si="1"/>
        <v>0</v>
      </c>
      <c r="H22" s="23"/>
      <c r="I22" s="110">
        <f>ROUND(F22,0)</f>
        <v>70000</v>
      </c>
      <c r="J22" s="110">
        <f t="shared" si="2"/>
        <v>0</v>
      </c>
      <c r="K22" s="23"/>
      <c r="L22" s="110">
        <f>ROUND(I22,0)</f>
        <v>70000</v>
      </c>
      <c r="M22" s="110">
        <f t="shared" si="3"/>
        <v>0</v>
      </c>
      <c r="N22" s="23"/>
      <c r="O22" s="110">
        <f>ROUND(L22,0)</f>
        <v>70000</v>
      </c>
      <c r="P22" s="110">
        <f t="shared" si="4"/>
        <v>0</v>
      </c>
      <c r="Q22" s="23"/>
      <c r="R22" s="110">
        <f>ROUND(O22,0)</f>
        <v>70000</v>
      </c>
      <c r="S22" s="110">
        <f t="shared" si="5"/>
        <v>0</v>
      </c>
      <c r="T22" s="23"/>
      <c r="U22" s="110">
        <f>ROUND(R22,0)</f>
        <v>70000</v>
      </c>
      <c r="V22" s="110">
        <f t="shared" si="6"/>
        <v>0</v>
      </c>
      <c r="W22" s="23"/>
    </row>
    <row r="23" spans="1:23" ht="15.75" customHeight="1" x14ac:dyDescent="0.25">
      <c r="B23" s="94" t="s">
        <v>65</v>
      </c>
      <c r="C23" s="112" t="s">
        <v>66</v>
      </c>
      <c r="D23" s="113" t="s">
        <v>67</v>
      </c>
      <c r="E23" s="19">
        <v>160000</v>
      </c>
      <c r="F23" s="19">
        <f t="shared" ref="F23" si="8">F24+F28</f>
        <v>160000</v>
      </c>
      <c r="G23" s="114">
        <f t="shared" si="1"/>
        <v>0</v>
      </c>
      <c r="H23" s="20"/>
      <c r="I23" s="114">
        <f>I24+I28</f>
        <v>160000</v>
      </c>
      <c r="J23" s="114">
        <f t="shared" si="2"/>
        <v>0</v>
      </c>
      <c r="K23" s="20"/>
      <c r="L23" s="114">
        <f>L24+L28</f>
        <v>160000</v>
      </c>
      <c r="M23" s="114">
        <f t="shared" si="3"/>
        <v>0</v>
      </c>
      <c r="N23" s="20"/>
      <c r="O23" s="114">
        <f>O24+O28</f>
        <v>160000</v>
      </c>
      <c r="P23" s="114">
        <f t="shared" si="4"/>
        <v>0</v>
      </c>
      <c r="Q23" s="20"/>
      <c r="R23" s="114">
        <f>R24+R28</f>
        <v>160000</v>
      </c>
      <c r="S23" s="114">
        <f t="shared" si="5"/>
        <v>0</v>
      </c>
      <c r="T23" s="20"/>
      <c r="U23" s="114">
        <f>U24+U28</f>
        <v>160000</v>
      </c>
      <c r="V23" s="114">
        <f t="shared" si="6"/>
        <v>0</v>
      </c>
      <c r="W23" s="20"/>
    </row>
    <row r="24" spans="1:23" x14ac:dyDescent="0.25">
      <c r="A24" s="94" t="s">
        <v>25</v>
      </c>
      <c r="B24" s="94" t="s">
        <v>68</v>
      </c>
      <c r="C24" s="108" t="s">
        <v>69</v>
      </c>
      <c r="D24" s="109" t="s">
        <v>70</v>
      </c>
      <c r="E24" s="17">
        <v>6700</v>
      </c>
      <c r="F24" s="17">
        <f>F25+F26+F27</f>
        <v>6700</v>
      </c>
      <c r="G24" s="110">
        <f t="shared" si="1"/>
        <v>0</v>
      </c>
      <c r="H24" s="21"/>
      <c r="I24" s="110">
        <f>I25+I26+I27</f>
        <v>6700</v>
      </c>
      <c r="J24" s="110">
        <f t="shared" si="2"/>
        <v>0</v>
      </c>
      <c r="K24" s="21"/>
      <c r="L24" s="110">
        <f>L25+L26+L27</f>
        <v>6700</v>
      </c>
      <c r="M24" s="110">
        <f t="shared" si="3"/>
        <v>0</v>
      </c>
      <c r="N24" s="21"/>
      <c r="O24" s="110">
        <f>O25+O26+O27</f>
        <v>6700</v>
      </c>
      <c r="P24" s="110">
        <f t="shared" si="4"/>
        <v>0</v>
      </c>
      <c r="Q24" s="21"/>
      <c r="R24" s="110">
        <f>R25+R26+R27</f>
        <v>6700</v>
      </c>
      <c r="S24" s="110">
        <f t="shared" si="5"/>
        <v>0</v>
      </c>
      <c r="T24" s="21"/>
      <c r="U24" s="110">
        <f>U25+U26+U27</f>
        <v>6700</v>
      </c>
      <c r="V24" s="110">
        <f t="shared" si="6"/>
        <v>0</v>
      </c>
      <c r="W24" s="21"/>
    </row>
    <row r="25" spans="1:23" ht="26.25" x14ac:dyDescent="0.25">
      <c r="B25" s="107" t="s">
        <v>71</v>
      </c>
      <c r="C25" s="116" t="s">
        <v>72</v>
      </c>
      <c r="D25" s="117" t="s">
        <v>73</v>
      </c>
      <c r="E25" s="17">
        <v>1700</v>
      </c>
      <c r="F25" s="17">
        <f>ROUND(E25,0)</f>
        <v>1700</v>
      </c>
      <c r="G25" s="110">
        <f t="shared" si="1"/>
        <v>0</v>
      </c>
      <c r="H25" s="21"/>
      <c r="I25" s="110">
        <f>ROUND(F25,0)</f>
        <v>1700</v>
      </c>
      <c r="J25" s="110">
        <f t="shared" si="2"/>
        <v>0</v>
      </c>
      <c r="K25" s="21"/>
      <c r="L25" s="110">
        <f>ROUND(I25,0)</f>
        <v>1700</v>
      </c>
      <c r="M25" s="110">
        <f t="shared" si="3"/>
        <v>0</v>
      </c>
      <c r="N25" s="21"/>
      <c r="O25" s="110">
        <f>ROUND(L25,0)</f>
        <v>1700</v>
      </c>
      <c r="P25" s="110">
        <f t="shared" si="4"/>
        <v>0</v>
      </c>
      <c r="Q25" s="21"/>
      <c r="R25" s="110">
        <f>ROUND(O25,0)</f>
        <v>1700</v>
      </c>
      <c r="S25" s="110">
        <f t="shared" si="5"/>
        <v>0</v>
      </c>
      <c r="T25" s="21"/>
      <c r="U25" s="110">
        <f>ROUND(R25,0)</f>
        <v>1700</v>
      </c>
      <c r="V25" s="110">
        <f t="shared" si="6"/>
        <v>0</v>
      </c>
      <c r="W25" s="21"/>
    </row>
    <row r="26" spans="1:23" ht="26.25" x14ac:dyDescent="0.25">
      <c r="B26" s="107" t="s">
        <v>74</v>
      </c>
      <c r="C26" s="116" t="s">
        <v>75</v>
      </c>
      <c r="D26" s="117" t="s">
        <v>76</v>
      </c>
      <c r="E26" s="17">
        <v>4500</v>
      </c>
      <c r="F26" s="17">
        <f>ROUND(E26,0)</f>
        <v>4500</v>
      </c>
      <c r="G26" s="110">
        <f t="shared" si="1"/>
        <v>0</v>
      </c>
      <c r="H26" s="21"/>
      <c r="I26" s="110">
        <f>ROUND(F26,0)</f>
        <v>4500</v>
      </c>
      <c r="J26" s="110">
        <f t="shared" si="2"/>
        <v>0</v>
      </c>
      <c r="K26" s="21"/>
      <c r="L26" s="110">
        <f>ROUND(I26,0)</f>
        <v>4500</v>
      </c>
      <c r="M26" s="110">
        <f t="shared" si="3"/>
        <v>0</v>
      </c>
      <c r="N26" s="21"/>
      <c r="O26" s="110">
        <f>ROUND(L26,0)</f>
        <v>4500</v>
      </c>
      <c r="P26" s="110">
        <f t="shared" si="4"/>
        <v>0</v>
      </c>
      <c r="Q26" s="21"/>
      <c r="R26" s="110">
        <f>ROUND(O26,0)</f>
        <v>4500</v>
      </c>
      <c r="S26" s="110">
        <f t="shared" si="5"/>
        <v>0</v>
      </c>
      <c r="T26" s="21"/>
      <c r="U26" s="110">
        <f>ROUND(R26,0)</f>
        <v>4500</v>
      </c>
      <c r="V26" s="110">
        <f t="shared" si="6"/>
        <v>0</v>
      </c>
      <c r="W26" s="21"/>
    </row>
    <row r="27" spans="1:23" ht="26.25" x14ac:dyDescent="0.25">
      <c r="B27" s="107" t="s">
        <v>77</v>
      </c>
      <c r="C27" s="116" t="s">
        <v>78</v>
      </c>
      <c r="D27" s="117" t="s">
        <v>79</v>
      </c>
      <c r="E27" s="17">
        <v>500</v>
      </c>
      <c r="F27" s="17">
        <f>ROUND(E27,0)</f>
        <v>500</v>
      </c>
      <c r="G27" s="110">
        <f t="shared" si="1"/>
        <v>0</v>
      </c>
      <c r="H27" s="21"/>
      <c r="I27" s="110">
        <f>ROUND(F27,0)</f>
        <v>500</v>
      </c>
      <c r="J27" s="110">
        <f t="shared" si="2"/>
        <v>0</v>
      </c>
      <c r="K27" s="21"/>
      <c r="L27" s="110">
        <f>ROUND(I27,0)</f>
        <v>500</v>
      </c>
      <c r="M27" s="110">
        <f t="shared" si="3"/>
        <v>0</v>
      </c>
      <c r="N27" s="21"/>
      <c r="O27" s="110">
        <f>ROUND(L27,0)</f>
        <v>500</v>
      </c>
      <c r="P27" s="110">
        <f t="shared" si="4"/>
        <v>0</v>
      </c>
      <c r="Q27" s="21"/>
      <c r="R27" s="110">
        <f>ROUND(O27,0)</f>
        <v>500</v>
      </c>
      <c r="S27" s="110">
        <f t="shared" si="5"/>
        <v>0</v>
      </c>
      <c r="T27" s="21"/>
      <c r="U27" s="110">
        <f>ROUND(R27,0)</f>
        <v>500</v>
      </c>
      <c r="V27" s="110">
        <f t="shared" si="6"/>
        <v>0</v>
      </c>
      <c r="W27" s="21"/>
    </row>
    <row r="28" spans="1:23" x14ac:dyDescent="0.25">
      <c r="A28" s="94" t="s">
        <v>25</v>
      </c>
      <c r="B28" s="94" t="s">
        <v>80</v>
      </c>
      <c r="C28" s="108" t="s">
        <v>81</v>
      </c>
      <c r="D28" s="109" t="s">
        <v>82</v>
      </c>
      <c r="E28" s="17">
        <v>153300</v>
      </c>
      <c r="F28" s="17">
        <f>SUM(F29:F35)</f>
        <v>153300</v>
      </c>
      <c r="G28" s="110">
        <f t="shared" si="1"/>
        <v>0</v>
      </c>
      <c r="H28" s="21"/>
      <c r="I28" s="110">
        <f>SUM(I29:I35)</f>
        <v>153300</v>
      </c>
      <c r="J28" s="110">
        <f t="shared" si="2"/>
        <v>0</v>
      </c>
      <c r="K28" s="21"/>
      <c r="L28" s="110">
        <f>SUM(L29:L35)</f>
        <v>153300</v>
      </c>
      <c r="M28" s="110">
        <f t="shared" si="3"/>
        <v>0</v>
      </c>
      <c r="N28" s="21"/>
      <c r="O28" s="110">
        <f>SUM(O29:O35)</f>
        <v>153300</v>
      </c>
      <c r="P28" s="110">
        <f t="shared" si="4"/>
        <v>0</v>
      </c>
      <c r="Q28" s="21"/>
      <c r="R28" s="110">
        <f>SUM(R29:R35)</f>
        <v>153300</v>
      </c>
      <c r="S28" s="110">
        <f t="shared" si="5"/>
        <v>0</v>
      </c>
      <c r="T28" s="21"/>
      <c r="U28" s="110">
        <f>SUM(U29:U35)</f>
        <v>153300</v>
      </c>
      <c r="V28" s="110">
        <f t="shared" si="6"/>
        <v>0</v>
      </c>
      <c r="W28" s="21"/>
    </row>
    <row r="29" spans="1:23" ht="26.25" x14ac:dyDescent="0.25">
      <c r="B29" s="107" t="s">
        <v>83</v>
      </c>
      <c r="C29" s="116" t="s">
        <v>84</v>
      </c>
      <c r="D29" s="117" t="s">
        <v>85</v>
      </c>
      <c r="E29" s="17">
        <v>350</v>
      </c>
      <c r="F29" s="17">
        <f t="shared" ref="F29:F35" si="9">ROUND(E29,0)</f>
        <v>350</v>
      </c>
      <c r="G29" s="110">
        <f t="shared" si="1"/>
        <v>0</v>
      </c>
      <c r="H29" s="21"/>
      <c r="I29" s="110">
        <f t="shared" ref="I29:I35" si="10">ROUND(F29,0)</f>
        <v>350</v>
      </c>
      <c r="J29" s="110">
        <f t="shared" si="2"/>
        <v>0</v>
      </c>
      <c r="K29" s="21"/>
      <c r="L29" s="110">
        <f t="shared" ref="L29:L35" si="11">ROUND(I29,0)</f>
        <v>350</v>
      </c>
      <c r="M29" s="110">
        <f t="shared" si="3"/>
        <v>0</v>
      </c>
      <c r="N29" s="21"/>
      <c r="O29" s="110">
        <f t="shared" ref="O29:O35" si="12">ROUND(L29,0)</f>
        <v>350</v>
      </c>
      <c r="P29" s="110">
        <f t="shared" si="4"/>
        <v>0</v>
      </c>
      <c r="Q29" s="21"/>
      <c r="R29" s="110">
        <f t="shared" ref="R29:R35" si="13">ROUND(O29,0)</f>
        <v>350</v>
      </c>
      <c r="S29" s="110">
        <f t="shared" si="5"/>
        <v>0</v>
      </c>
      <c r="T29" s="21"/>
      <c r="U29" s="110">
        <f t="shared" ref="U29:U35" si="14">ROUND(R29,0)</f>
        <v>350</v>
      </c>
      <c r="V29" s="110">
        <f t="shared" si="6"/>
        <v>0</v>
      </c>
      <c r="W29" s="21"/>
    </row>
    <row r="30" spans="1:23" ht="26.25" x14ac:dyDescent="0.25">
      <c r="B30" s="118" t="s">
        <v>86</v>
      </c>
      <c r="C30" s="116" t="s">
        <v>87</v>
      </c>
      <c r="D30" s="117" t="s">
        <v>88</v>
      </c>
      <c r="E30" s="17">
        <v>1100</v>
      </c>
      <c r="F30" s="17">
        <f t="shared" si="9"/>
        <v>1100</v>
      </c>
      <c r="G30" s="110">
        <f t="shared" si="1"/>
        <v>0</v>
      </c>
      <c r="H30" s="21"/>
      <c r="I30" s="110">
        <f t="shared" si="10"/>
        <v>1100</v>
      </c>
      <c r="J30" s="110">
        <f t="shared" si="2"/>
        <v>0</v>
      </c>
      <c r="K30" s="21"/>
      <c r="L30" s="110">
        <f t="shared" si="11"/>
        <v>1100</v>
      </c>
      <c r="M30" s="110">
        <f t="shared" si="3"/>
        <v>0</v>
      </c>
      <c r="N30" s="21"/>
      <c r="O30" s="110">
        <f t="shared" si="12"/>
        <v>1100</v>
      </c>
      <c r="P30" s="110">
        <f t="shared" si="4"/>
        <v>0</v>
      </c>
      <c r="Q30" s="21"/>
      <c r="R30" s="110">
        <f t="shared" si="13"/>
        <v>1100</v>
      </c>
      <c r="S30" s="110">
        <f t="shared" si="5"/>
        <v>0</v>
      </c>
      <c r="T30" s="21"/>
      <c r="U30" s="110">
        <f t="shared" si="14"/>
        <v>1100</v>
      </c>
      <c r="V30" s="110">
        <f t="shared" si="6"/>
        <v>0</v>
      </c>
      <c r="W30" s="21"/>
    </row>
    <row r="31" spans="1:23" x14ac:dyDescent="0.25">
      <c r="B31" s="107" t="s">
        <v>89</v>
      </c>
      <c r="C31" s="116" t="s">
        <v>90</v>
      </c>
      <c r="D31" s="117" t="s">
        <v>91</v>
      </c>
      <c r="E31" s="17">
        <v>27000</v>
      </c>
      <c r="F31" s="17">
        <f t="shared" si="9"/>
        <v>27000</v>
      </c>
      <c r="G31" s="110">
        <f t="shared" si="1"/>
        <v>0</v>
      </c>
      <c r="H31" s="21"/>
      <c r="I31" s="110">
        <f t="shared" si="10"/>
        <v>27000</v>
      </c>
      <c r="J31" s="110">
        <f t="shared" si="2"/>
        <v>0</v>
      </c>
      <c r="K31" s="21"/>
      <c r="L31" s="110">
        <f t="shared" si="11"/>
        <v>27000</v>
      </c>
      <c r="M31" s="110">
        <f t="shared" si="3"/>
        <v>0</v>
      </c>
      <c r="N31" s="21"/>
      <c r="O31" s="110">
        <f t="shared" si="12"/>
        <v>27000</v>
      </c>
      <c r="P31" s="110">
        <f t="shared" si="4"/>
        <v>0</v>
      </c>
      <c r="Q31" s="21"/>
      <c r="R31" s="110">
        <f t="shared" si="13"/>
        <v>27000</v>
      </c>
      <c r="S31" s="110">
        <f t="shared" si="5"/>
        <v>0</v>
      </c>
      <c r="T31" s="21"/>
      <c r="U31" s="110">
        <f t="shared" si="14"/>
        <v>27000</v>
      </c>
      <c r="V31" s="110">
        <f t="shared" si="6"/>
        <v>0</v>
      </c>
      <c r="W31" s="21"/>
    </row>
    <row r="32" spans="1:23" x14ac:dyDescent="0.25">
      <c r="B32" s="107" t="s">
        <v>92</v>
      </c>
      <c r="C32" s="116" t="s">
        <v>93</v>
      </c>
      <c r="D32" s="117" t="s">
        <v>94</v>
      </c>
      <c r="E32" s="17">
        <v>0</v>
      </c>
      <c r="F32" s="17">
        <f t="shared" si="9"/>
        <v>0</v>
      </c>
      <c r="G32" s="110">
        <f t="shared" si="1"/>
        <v>0</v>
      </c>
      <c r="H32" s="21"/>
      <c r="I32" s="110">
        <f t="shared" si="10"/>
        <v>0</v>
      </c>
      <c r="J32" s="110">
        <f t="shared" si="2"/>
        <v>0</v>
      </c>
      <c r="K32" s="21"/>
      <c r="L32" s="110">
        <f t="shared" si="11"/>
        <v>0</v>
      </c>
      <c r="M32" s="110">
        <f t="shared" si="3"/>
        <v>0</v>
      </c>
      <c r="N32" s="21"/>
      <c r="O32" s="110">
        <f t="shared" si="12"/>
        <v>0</v>
      </c>
      <c r="P32" s="110">
        <f t="shared" si="4"/>
        <v>0</v>
      </c>
      <c r="Q32" s="21"/>
      <c r="R32" s="110">
        <f t="shared" si="13"/>
        <v>0</v>
      </c>
      <c r="S32" s="110">
        <f t="shared" si="5"/>
        <v>0</v>
      </c>
      <c r="T32" s="21"/>
      <c r="U32" s="110">
        <f t="shared" si="14"/>
        <v>0</v>
      </c>
      <c r="V32" s="110">
        <f t="shared" si="6"/>
        <v>0</v>
      </c>
      <c r="W32" s="21"/>
    </row>
    <row r="33" spans="1:23" ht="26.25" x14ac:dyDescent="0.25">
      <c r="B33" s="107" t="s">
        <v>95</v>
      </c>
      <c r="C33" s="116" t="s">
        <v>96</v>
      </c>
      <c r="D33" s="117" t="s">
        <v>97</v>
      </c>
      <c r="E33" s="17">
        <v>11500</v>
      </c>
      <c r="F33" s="17">
        <f t="shared" si="9"/>
        <v>11500</v>
      </c>
      <c r="G33" s="110">
        <f t="shared" si="1"/>
        <v>0</v>
      </c>
      <c r="H33" s="21"/>
      <c r="I33" s="110">
        <f t="shared" si="10"/>
        <v>11500</v>
      </c>
      <c r="J33" s="110">
        <f t="shared" si="2"/>
        <v>0</v>
      </c>
      <c r="K33" s="21"/>
      <c r="L33" s="110">
        <f t="shared" si="11"/>
        <v>11500</v>
      </c>
      <c r="M33" s="110">
        <f t="shared" si="3"/>
        <v>0</v>
      </c>
      <c r="N33" s="21"/>
      <c r="O33" s="110">
        <f t="shared" si="12"/>
        <v>11500</v>
      </c>
      <c r="P33" s="110">
        <f t="shared" si="4"/>
        <v>0</v>
      </c>
      <c r="Q33" s="21"/>
      <c r="R33" s="110">
        <f t="shared" si="13"/>
        <v>11500</v>
      </c>
      <c r="S33" s="110">
        <f t="shared" si="5"/>
        <v>0</v>
      </c>
      <c r="T33" s="21"/>
      <c r="U33" s="110">
        <f t="shared" si="14"/>
        <v>11500</v>
      </c>
      <c r="V33" s="110">
        <f t="shared" si="6"/>
        <v>0</v>
      </c>
      <c r="W33" s="21"/>
    </row>
    <row r="34" spans="1:23" x14ac:dyDescent="0.25">
      <c r="B34" s="107" t="s">
        <v>98</v>
      </c>
      <c r="C34" s="116" t="s">
        <v>99</v>
      </c>
      <c r="D34" s="117" t="s">
        <v>100</v>
      </c>
      <c r="E34" s="17">
        <v>106350</v>
      </c>
      <c r="F34" s="17">
        <f t="shared" si="9"/>
        <v>106350</v>
      </c>
      <c r="G34" s="110">
        <f t="shared" si="1"/>
        <v>0</v>
      </c>
      <c r="H34" s="21"/>
      <c r="I34" s="110">
        <f t="shared" si="10"/>
        <v>106350</v>
      </c>
      <c r="J34" s="110">
        <f t="shared" si="2"/>
        <v>0</v>
      </c>
      <c r="K34" s="21"/>
      <c r="L34" s="110">
        <f t="shared" si="11"/>
        <v>106350</v>
      </c>
      <c r="M34" s="110">
        <f t="shared" si="3"/>
        <v>0</v>
      </c>
      <c r="N34" s="21"/>
      <c r="O34" s="110">
        <f t="shared" si="12"/>
        <v>106350</v>
      </c>
      <c r="P34" s="110">
        <f t="shared" si="4"/>
        <v>0</v>
      </c>
      <c r="Q34" s="21"/>
      <c r="R34" s="110">
        <f t="shared" si="13"/>
        <v>106350</v>
      </c>
      <c r="S34" s="110">
        <f t="shared" si="5"/>
        <v>0</v>
      </c>
      <c r="T34" s="21"/>
      <c r="U34" s="110">
        <f t="shared" si="14"/>
        <v>106350</v>
      </c>
      <c r="V34" s="110">
        <f t="shared" si="6"/>
        <v>0</v>
      </c>
      <c r="W34" s="21"/>
    </row>
    <row r="35" spans="1:23" x14ac:dyDescent="0.25">
      <c r="B35" s="107" t="s">
        <v>101</v>
      </c>
      <c r="C35" s="116" t="s">
        <v>102</v>
      </c>
      <c r="D35" s="117" t="s">
        <v>103</v>
      </c>
      <c r="E35" s="17">
        <v>7000</v>
      </c>
      <c r="F35" s="17">
        <f t="shared" si="9"/>
        <v>7000</v>
      </c>
      <c r="G35" s="110">
        <f t="shared" si="1"/>
        <v>0</v>
      </c>
      <c r="H35" s="21"/>
      <c r="I35" s="110">
        <f t="shared" si="10"/>
        <v>7000</v>
      </c>
      <c r="J35" s="110">
        <f t="shared" si="2"/>
        <v>0</v>
      </c>
      <c r="K35" s="21"/>
      <c r="L35" s="110">
        <f t="shared" si="11"/>
        <v>7000</v>
      </c>
      <c r="M35" s="110">
        <f t="shared" si="3"/>
        <v>0</v>
      </c>
      <c r="N35" s="21"/>
      <c r="O35" s="110">
        <f t="shared" si="12"/>
        <v>7000</v>
      </c>
      <c r="P35" s="110">
        <f t="shared" si="4"/>
        <v>0</v>
      </c>
      <c r="Q35" s="21"/>
      <c r="R35" s="110">
        <f t="shared" si="13"/>
        <v>7000</v>
      </c>
      <c r="S35" s="110">
        <f t="shared" si="5"/>
        <v>0</v>
      </c>
      <c r="T35" s="21"/>
      <c r="U35" s="110">
        <f t="shared" si="14"/>
        <v>7000</v>
      </c>
      <c r="V35" s="110">
        <f t="shared" si="6"/>
        <v>0</v>
      </c>
      <c r="W35" s="21"/>
    </row>
    <row r="36" spans="1:23" ht="18" customHeight="1" x14ac:dyDescent="0.25">
      <c r="B36" s="94" t="s">
        <v>104</v>
      </c>
      <c r="C36" s="112" t="s">
        <v>105</v>
      </c>
      <c r="D36" s="113" t="s">
        <v>106</v>
      </c>
      <c r="E36" s="19">
        <v>65000</v>
      </c>
      <c r="F36" s="19">
        <f>F37+F38</f>
        <v>65000</v>
      </c>
      <c r="G36" s="114">
        <f t="shared" si="1"/>
        <v>0</v>
      </c>
      <c r="H36" s="24"/>
      <c r="I36" s="114">
        <f>I37+I38</f>
        <v>65000</v>
      </c>
      <c r="J36" s="114">
        <f t="shared" si="2"/>
        <v>0</v>
      </c>
      <c r="K36" s="24"/>
      <c r="L36" s="114">
        <f>L37+L38</f>
        <v>65000</v>
      </c>
      <c r="M36" s="114">
        <f t="shared" si="3"/>
        <v>0</v>
      </c>
      <c r="N36" s="24"/>
      <c r="O36" s="114">
        <f>O37+O38</f>
        <v>65000</v>
      </c>
      <c r="P36" s="114">
        <f t="shared" si="4"/>
        <v>0</v>
      </c>
      <c r="Q36" s="24"/>
      <c r="R36" s="114">
        <f>R37+R38</f>
        <v>65000</v>
      </c>
      <c r="S36" s="114">
        <f t="shared" si="5"/>
        <v>0</v>
      </c>
      <c r="T36" s="24"/>
      <c r="U36" s="114">
        <f>U37+U38</f>
        <v>65000</v>
      </c>
      <c r="V36" s="114">
        <f t="shared" si="6"/>
        <v>0</v>
      </c>
      <c r="W36" s="24"/>
    </row>
    <row r="37" spans="1:23" ht="16.5" customHeight="1" x14ac:dyDescent="0.25">
      <c r="B37" s="115" t="s">
        <v>107</v>
      </c>
      <c r="C37" s="108" t="s">
        <v>108</v>
      </c>
      <c r="D37" s="109" t="s">
        <v>106</v>
      </c>
      <c r="E37" s="17">
        <v>31000</v>
      </c>
      <c r="F37" s="17">
        <f>ROUND(E37,0)</f>
        <v>31000</v>
      </c>
      <c r="G37" s="110">
        <f t="shared" si="1"/>
        <v>0</v>
      </c>
      <c r="H37" s="18"/>
      <c r="I37" s="110">
        <f>ROUND(F37,0)</f>
        <v>31000</v>
      </c>
      <c r="J37" s="110">
        <f t="shared" si="2"/>
        <v>0</v>
      </c>
      <c r="K37" s="18"/>
      <c r="L37" s="110">
        <f>ROUND(I37,0)</f>
        <v>31000</v>
      </c>
      <c r="M37" s="110">
        <f t="shared" si="3"/>
        <v>0</v>
      </c>
      <c r="N37" s="18"/>
      <c r="O37" s="110">
        <f>ROUND(L37,0)</f>
        <v>31000</v>
      </c>
      <c r="P37" s="110">
        <f t="shared" si="4"/>
        <v>0</v>
      </c>
      <c r="Q37" s="18"/>
      <c r="R37" s="110">
        <f>ROUND(O37,0)</f>
        <v>31000</v>
      </c>
      <c r="S37" s="110">
        <f t="shared" si="5"/>
        <v>0</v>
      </c>
      <c r="T37" s="18"/>
      <c r="U37" s="110">
        <f>ROUND(R37,0)</f>
        <v>31000</v>
      </c>
      <c r="V37" s="110">
        <f t="shared" si="6"/>
        <v>0</v>
      </c>
      <c r="W37" s="18"/>
    </row>
    <row r="38" spans="1:23" ht="30" x14ac:dyDescent="0.25">
      <c r="B38" s="115" t="s">
        <v>109</v>
      </c>
      <c r="C38" s="108" t="s">
        <v>110</v>
      </c>
      <c r="D38" s="109" t="s">
        <v>111</v>
      </c>
      <c r="E38" s="17">
        <v>34000</v>
      </c>
      <c r="F38" s="17">
        <f>ROUND(E38,0)</f>
        <v>34000</v>
      </c>
      <c r="G38" s="110">
        <f t="shared" si="1"/>
        <v>0</v>
      </c>
      <c r="H38" s="18"/>
      <c r="I38" s="110">
        <f>ROUND(F38,0)</f>
        <v>34000</v>
      </c>
      <c r="J38" s="110">
        <f t="shared" si="2"/>
        <v>0</v>
      </c>
      <c r="K38" s="18"/>
      <c r="L38" s="110">
        <f>ROUND(I38,0)</f>
        <v>34000</v>
      </c>
      <c r="M38" s="110">
        <f t="shared" si="3"/>
        <v>0</v>
      </c>
      <c r="N38" s="18"/>
      <c r="O38" s="110">
        <f>ROUND(L38,0)</f>
        <v>34000</v>
      </c>
      <c r="P38" s="110">
        <f t="shared" si="4"/>
        <v>0</v>
      </c>
      <c r="Q38" s="18"/>
      <c r="R38" s="110">
        <f>ROUND(O38,0)</f>
        <v>34000</v>
      </c>
      <c r="S38" s="110">
        <f t="shared" si="5"/>
        <v>0</v>
      </c>
      <c r="T38" s="18"/>
      <c r="U38" s="110">
        <f>ROUND(R38,0)</f>
        <v>34000</v>
      </c>
      <c r="V38" s="110">
        <f t="shared" si="6"/>
        <v>0</v>
      </c>
      <c r="W38" s="18"/>
    </row>
    <row r="39" spans="1:23" x14ac:dyDescent="0.25">
      <c r="B39" s="94" t="s">
        <v>112</v>
      </c>
      <c r="C39" s="112" t="s">
        <v>113</v>
      </c>
      <c r="D39" s="113" t="s">
        <v>114</v>
      </c>
      <c r="E39" s="19">
        <v>22453</v>
      </c>
      <c r="F39" s="19">
        <f>F40+F41+F42</f>
        <v>33317</v>
      </c>
      <c r="G39" s="114">
        <f t="shared" si="1"/>
        <v>10864</v>
      </c>
      <c r="H39" s="20"/>
      <c r="I39" s="114">
        <f>I40+I41+I42</f>
        <v>176317</v>
      </c>
      <c r="J39" s="114">
        <f t="shared" si="2"/>
        <v>143000</v>
      </c>
      <c r="K39" s="20"/>
      <c r="L39" s="114">
        <f>L40+L41+L42</f>
        <v>176317</v>
      </c>
      <c r="M39" s="114">
        <f t="shared" si="3"/>
        <v>0</v>
      </c>
      <c r="N39" s="20"/>
      <c r="O39" s="114">
        <f>O40+O41+O42</f>
        <v>176317</v>
      </c>
      <c r="P39" s="114">
        <f t="shared" si="4"/>
        <v>0</v>
      </c>
      <c r="Q39" s="20"/>
      <c r="R39" s="114">
        <f>R40+R41+R42</f>
        <v>176317</v>
      </c>
      <c r="S39" s="114">
        <f t="shared" si="5"/>
        <v>0</v>
      </c>
      <c r="T39" s="20"/>
      <c r="U39" s="114">
        <f>U40+U41+U42</f>
        <v>176317</v>
      </c>
      <c r="V39" s="114">
        <f t="shared" si="6"/>
        <v>0</v>
      </c>
      <c r="W39" s="20"/>
    </row>
    <row r="40" spans="1:23" ht="29.45" customHeight="1" x14ac:dyDescent="0.25">
      <c r="A40" s="94" t="s">
        <v>25</v>
      </c>
      <c r="B40" s="96" t="s">
        <v>115</v>
      </c>
      <c r="C40" s="108" t="s">
        <v>116</v>
      </c>
      <c r="D40" s="119" t="s">
        <v>117</v>
      </c>
      <c r="E40" s="17">
        <v>16000</v>
      </c>
      <c r="F40" s="17">
        <f>ROUND(E40,0)+10864</f>
        <v>26864</v>
      </c>
      <c r="G40" s="110">
        <f t="shared" si="1"/>
        <v>10864</v>
      </c>
      <c r="H40" s="25" t="s">
        <v>118</v>
      </c>
      <c r="I40" s="110">
        <f>ROUND(F40,0)+143000</f>
        <v>169864</v>
      </c>
      <c r="J40" s="111">
        <f t="shared" si="2"/>
        <v>143000</v>
      </c>
      <c r="K40" s="26" t="s">
        <v>119</v>
      </c>
      <c r="L40" s="110">
        <f>ROUND(I40,0)</f>
        <v>169864</v>
      </c>
      <c r="M40" s="110">
        <f t="shared" si="3"/>
        <v>0</v>
      </c>
      <c r="N40" s="25"/>
      <c r="O40" s="110">
        <f>ROUND(L40,0)</f>
        <v>169864</v>
      </c>
      <c r="P40" s="110">
        <f t="shared" si="4"/>
        <v>0</v>
      </c>
      <c r="Q40" s="25"/>
      <c r="R40" s="110">
        <f>ROUND(O40,0)</f>
        <v>169864</v>
      </c>
      <c r="S40" s="110">
        <f t="shared" si="5"/>
        <v>0</v>
      </c>
      <c r="T40" s="25"/>
      <c r="U40" s="110">
        <f>ROUND(R40,0)</f>
        <v>169864</v>
      </c>
      <c r="V40" s="110">
        <f t="shared" si="6"/>
        <v>0</v>
      </c>
      <c r="W40" s="25"/>
    </row>
    <row r="41" spans="1:23" ht="30" x14ac:dyDescent="0.25">
      <c r="B41" s="94" t="s">
        <v>120</v>
      </c>
      <c r="C41" s="108" t="s">
        <v>121</v>
      </c>
      <c r="D41" s="109" t="s">
        <v>122</v>
      </c>
      <c r="E41" s="17">
        <v>500</v>
      </c>
      <c r="F41" s="17">
        <f>ROUND(E41,0)</f>
        <v>500</v>
      </c>
      <c r="G41" s="110">
        <f t="shared" si="1"/>
        <v>0</v>
      </c>
      <c r="H41" s="25"/>
      <c r="I41" s="110">
        <f>ROUND(F41,0)</f>
        <v>500</v>
      </c>
      <c r="J41" s="110">
        <f t="shared" si="2"/>
        <v>0</v>
      </c>
      <c r="K41" s="25"/>
      <c r="L41" s="110">
        <f>ROUND(I41,0)</f>
        <v>500</v>
      </c>
      <c r="M41" s="110">
        <f t="shared" si="3"/>
        <v>0</v>
      </c>
      <c r="N41" s="25"/>
      <c r="O41" s="110">
        <f>ROUND(L41,0)</f>
        <v>500</v>
      </c>
      <c r="P41" s="110">
        <f t="shared" si="4"/>
        <v>0</v>
      </c>
      <c r="Q41" s="25"/>
      <c r="R41" s="110">
        <f>ROUND(O41,0)</f>
        <v>500</v>
      </c>
      <c r="S41" s="110">
        <f t="shared" si="5"/>
        <v>0</v>
      </c>
      <c r="T41" s="25"/>
      <c r="U41" s="110">
        <f>ROUND(R41,0)</f>
        <v>500</v>
      </c>
      <c r="V41" s="110">
        <f t="shared" si="6"/>
        <v>0</v>
      </c>
      <c r="W41" s="25"/>
    </row>
    <row r="42" spans="1:23" x14ac:dyDescent="0.25">
      <c r="C42" s="108" t="s">
        <v>123</v>
      </c>
      <c r="D42" s="109" t="s">
        <v>124</v>
      </c>
      <c r="E42" s="17">
        <v>5953</v>
      </c>
      <c r="F42" s="17">
        <f>ROUND(E42,0)</f>
        <v>5953</v>
      </c>
      <c r="G42" s="110">
        <f t="shared" si="1"/>
        <v>0</v>
      </c>
      <c r="H42" s="18"/>
      <c r="I42" s="110">
        <f>ROUND(F42,0)</f>
        <v>5953</v>
      </c>
      <c r="J42" s="110">
        <f t="shared" si="2"/>
        <v>0</v>
      </c>
      <c r="K42" s="18"/>
      <c r="L42" s="110">
        <f>ROUND(I42,0)</f>
        <v>5953</v>
      </c>
      <c r="M42" s="110">
        <f t="shared" si="3"/>
        <v>0</v>
      </c>
      <c r="N42" s="18"/>
      <c r="O42" s="110">
        <f>ROUND(L42,0)</f>
        <v>5953</v>
      </c>
      <c r="P42" s="110">
        <f t="shared" si="4"/>
        <v>0</v>
      </c>
      <c r="Q42" s="18"/>
      <c r="R42" s="110">
        <f>ROUND(O42,0)</f>
        <v>5953</v>
      </c>
      <c r="S42" s="110">
        <f t="shared" si="5"/>
        <v>0</v>
      </c>
      <c r="T42" s="18"/>
      <c r="U42" s="110">
        <f>ROUND(R42,0)</f>
        <v>5953</v>
      </c>
      <c r="V42" s="110">
        <f t="shared" si="6"/>
        <v>0</v>
      </c>
      <c r="W42" s="18"/>
    </row>
    <row r="43" spans="1:23" ht="15" customHeight="1" x14ac:dyDescent="0.25">
      <c r="B43" s="94" t="s">
        <v>125</v>
      </c>
      <c r="C43" s="121" t="s">
        <v>126</v>
      </c>
      <c r="D43" s="113" t="s">
        <v>127</v>
      </c>
      <c r="E43" s="19">
        <v>433856</v>
      </c>
      <c r="F43" s="19">
        <f>ROUND(E43,0)</f>
        <v>433856</v>
      </c>
      <c r="G43" s="114">
        <f t="shared" si="1"/>
        <v>0</v>
      </c>
      <c r="H43" s="24"/>
      <c r="I43" s="114">
        <f>ROUND(F43,0)</f>
        <v>433856</v>
      </c>
      <c r="J43" s="114">
        <f t="shared" si="2"/>
        <v>0</v>
      </c>
      <c r="K43" s="24"/>
      <c r="L43" s="114">
        <f>ROUND(I43,0)</f>
        <v>433856</v>
      </c>
      <c r="M43" s="114">
        <f t="shared" si="3"/>
        <v>0</v>
      </c>
      <c r="N43" s="24"/>
      <c r="O43" s="114">
        <f>ROUND(L43,0)</f>
        <v>433856</v>
      </c>
      <c r="P43" s="114">
        <f t="shared" si="4"/>
        <v>0</v>
      </c>
      <c r="Q43" s="24"/>
      <c r="R43" s="114">
        <f>ROUND(O43,0)</f>
        <v>433856</v>
      </c>
      <c r="S43" s="114">
        <f t="shared" si="5"/>
        <v>0</v>
      </c>
      <c r="T43" s="24"/>
      <c r="U43" s="114">
        <f>ROUND(R43,0)</f>
        <v>433856</v>
      </c>
      <c r="V43" s="114">
        <f t="shared" si="6"/>
        <v>0</v>
      </c>
      <c r="W43" s="24"/>
    </row>
    <row r="44" spans="1:23" x14ac:dyDescent="0.25">
      <c r="C44" s="121" t="s">
        <v>128</v>
      </c>
      <c r="D44" s="113" t="s">
        <v>129</v>
      </c>
      <c r="E44" s="19">
        <v>9528140.4900000002</v>
      </c>
      <c r="F44" s="19">
        <f>F45+F68</f>
        <v>9575632</v>
      </c>
      <c r="G44" s="114">
        <f t="shared" si="1"/>
        <v>47491.509999999776</v>
      </c>
      <c r="H44" s="114"/>
      <c r="I44" s="114">
        <f t="shared" ref="I44:U44" si="15">I45+I68</f>
        <v>9633217</v>
      </c>
      <c r="J44" s="114">
        <f t="shared" si="15"/>
        <v>57585</v>
      </c>
      <c r="K44" s="114">
        <f t="shared" si="15"/>
        <v>0</v>
      </c>
      <c r="L44" s="114">
        <f t="shared" si="15"/>
        <v>9973168</v>
      </c>
      <c r="M44" s="114">
        <f t="shared" si="15"/>
        <v>339951</v>
      </c>
      <c r="N44" s="114">
        <f t="shared" si="15"/>
        <v>0</v>
      </c>
      <c r="O44" s="114">
        <f t="shared" si="15"/>
        <v>10023168</v>
      </c>
      <c r="P44" s="114">
        <f t="shared" si="15"/>
        <v>50000</v>
      </c>
      <c r="Q44" s="114">
        <f t="shared" si="15"/>
        <v>0</v>
      </c>
      <c r="R44" s="114">
        <f t="shared" si="15"/>
        <v>10063514</v>
      </c>
      <c r="S44" s="114">
        <f t="shared" si="15"/>
        <v>40346</v>
      </c>
      <c r="T44" s="114">
        <f t="shared" si="15"/>
        <v>0</v>
      </c>
      <c r="U44" s="114">
        <f t="shared" si="15"/>
        <v>12153381.83</v>
      </c>
      <c r="V44" s="114">
        <f t="shared" si="6"/>
        <v>2089867.83</v>
      </c>
      <c r="W44" s="114"/>
    </row>
    <row r="45" spans="1:23" ht="17.45" customHeight="1" x14ac:dyDescent="0.25">
      <c r="B45" s="107"/>
      <c r="C45" s="122" t="s">
        <v>130</v>
      </c>
      <c r="D45" s="123" t="s">
        <v>131</v>
      </c>
      <c r="E45" s="27">
        <v>7875899</v>
      </c>
      <c r="F45" s="27">
        <f t="shared" ref="F45" si="16">SUM(F46:F49)+F52+SUM(F56:F67)</f>
        <v>7923391</v>
      </c>
      <c r="G45" s="125">
        <f t="shared" si="1"/>
        <v>47492</v>
      </c>
      <c r="H45" s="125"/>
      <c r="I45" s="125">
        <f>SUM(I46:I49)+I52+SUM(I56:I67)</f>
        <v>7975976</v>
      </c>
      <c r="J45" s="125">
        <f t="shared" si="2"/>
        <v>52585</v>
      </c>
      <c r="K45" s="125"/>
      <c r="L45" s="125">
        <f>SUM(L46:L49)+L52+SUM(L56:L67)</f>
        <v>8315927</v>
      </c>
      <c r="M45" s="125">
        <f t="shared" si="3"/>
        <v>339951</v>
      </c>
      <c r="N45" s="125"/>
      <c r="O45" s="125">
        <f>SUM(O46:O49)+O52+SUM(O56:O67)</f>
        <v>8365927</v>
      </c>
      <c r="P45" s="125">
        <f t="shared" si="4"/>
        <v>50000</v>
      </c>
      <c r="Q45" s="125"/>
      <c r="R45" s="125">
        <f>SUM(R46:R49)+R52+SUM(R56:R67)</f>
        <v>8577592</v>
      </c>
      <c r="S45" s="125">
        <f t="shared" si="5"/>
        <v>211665</v>
      </c>
      <c r="T45" s="125"/>
      <c r="U45" s="125">
        <f>SUM(U46:U49)+U52+SUM(U56:U67)</f>
        <v>10459233.83</v>
      </c>
      <c r="V45" s="125">
        <f t="shared" si="6"/>
        <v>1881641.83</v>
      </c>
      <c r="W45" s="125"/>
    </row>
    <row r="46" spans="1:23" ht="16.899999999999999" customHeight="1" x14ac:dyDescent="0.25">
      <c r="A46" s="94" t="s">
        <v>132</v>
      </c>
      <c r="B46" s="94" t="s">
        <v>133</v>
      </c>
      <c r="C46" s="116" t="s">
        <v>134</v>
      </c>
      <c r="D46" s="109" t="s">
        <v>135</v>
      </c>
      <c r="E46" s="17">
        <v>593640</v>
      </c>
      <c r="F46" s="17">
        <f>ROUND(E46,0)+52289</f>
        <v>645929</v>
      </c>
      <c r="G46" s="110">
        <f t="shared" si="1"/>
        <v>52289</v>
      </c>
      <c r="H46" s="25" t="s">
        <v>136</v>
      </c>
      <c r="I46" s="110">
        <f>ROUND(F46,0)</f>
        <v>645929</v>
      </c>
      <c r="J46" s="110">
        <f t="shared" si="2"/>
        <v>0</v>
      </c>
      <c r="K46" s="25"/>
      <c r="L46" s="110">
        <f>ROUND(I46,0)</f>
        <v>645929</v>
      </c>
      <c r="M46" s="110">
        <f t="shared" si="3"/>
        <v>0</v>
      </c>
      <c r="N46" s="25"/>
      <c r="O46" s="110">
        <f>ROUND(L46,0)</f>
        <v>645929</v>
      </c>
      <c r="P46" s="110">
        <f t="shared" si="4"/>
        <v>0</v>
      </c>
      <c r="Q46" s="25"/>
      <c r="R46" s="110">
        <f>ROUND(O46,0)+29578</f>
        <v>675507</v>
      </c>
      <c r="S46" s="110">
        <f t="shared" si="5"/>
        <v>29578</v>
      </c>
      <c r="T46" s="25" t="s">
        <v>137</v>
      </c>
      <c r="U46" s="110">
        <f>ROUND(R46,0)</f>
        <v>675507</v>
      </c>
      <c r="V46" s="110">
        <f t="shared" si="6"/>
        <v>0</v>
      </c>
      <c r="W46" s="25"/>
    </row>
    <row r="47" spans="1:23" ht="27" customHeight="1" x14ac:dyDescent="0.25">
      <c r="A47" s="94" t="s">
        <v>132</v>
      </c>
      <c r="B47" s="115" t="s">
        <v>138</v>
      </c>
      <c r="C47" s="116" t="s">
        <v>139</v>
      </c>
      <c r="D47" s="109" t="s">
        <v>140</v>
      </c>
      <c r="E47" s="17">
        <v>299288</v>
      </c>
      <c r="F47" s="17">
        <f>ROUND(E47,0)</f>
        <v>299288</v>
      </c>
      <c r="G47" s="110">
        <f t="shared" si="1"/>
        <v>0</v>
      </c>
      <c r="H47" s="18"/>
      <c r="I47" s="110">
        <f>ROUND(F47,0)</f>
        <v>299288</v>
      </c>
      <c r="J47" s="110">
        <f t="shared" si="2"/>
        <v>0</v>
      </c>
      <c r="K47" s="18"/>
      <c r="L47" s="110">
        <f>ROUND(I47,0)</f>
        <v>299288</v>
      </c>
      <c r="M47" s="110">
        <f t="shared" si="3"/>
        <v>0</v>
      </c>
      <c r="N47" s="18"/>
      <c r="O47" s="110">
        <f>ROUND(L47,0)</f>
        <v>299288</v>
      </c>
      <c r="P47" s="110">
        <f t="shared" si="4"/>
        <v>0</v>
      </c>
      <c r="Q47" s="18"/>
      <c r="R47" s="110">
        <f>ROUND(O47,0)+13302</f>
        <v>312590</v>
      </c>
      <c r="S47" s="110">
        <f t="shared" si="5"/>
        <v>13302</v>
      </c>
      <c r="T47" s="25" t="s">
        <v>141</v>
      </c>
      <c r="U47" s="110">
        <f>ROUND(R47,0)</f>
        <v>312590</v>
      </c>
      <c r="V47" s="110">
        <f t="shared" si="6"/>
        <v>0</v>
      </c>
      <c r="W47" s="25"/>
    </row>
    <row r="48" spans="1:23" x14ac:dyDescent="0.25">
      <c r="B48" s="115" t="s">
        <v>142</v>
      </c>
      <c r="C48" s="116" t="s">
        <v>143</v>
      </c>
      <c r="D48" s="109" t="s">
        <v>144</v>
      </c>
      <c r="E48" s="17">
        <v>249276</v>
      </c>
      <c r="F48" s="17">
        <f>ROUND(E48,0)</f>
        <v>249276</v>
      </c>
      <c r="G48" s="110">
        <f t="shared" si="1"/>
        <v>0</v>
      </c>
      <c r="H48" s="25"/>
      <c r="I48" s="110">
        <f>ROUND(F48,0)</f>
        <v>249276</v>
      </c>
      <c r="J48" s="110">
        <f t="shared" si="2"/>
        <v>0</v>
      </c>
      <c r="K48" s="25"/>
      <c r="L48" s="110">
        <f>ROUND(I48,0)</f>
        <v>249276</v>
      </c>
      <c r="M48" s="110">
        <f t="shared" si="3"/>
        <v>0</v>
      </c>
      <c r="N48" s="25"/>
      <c r="O48" s="110">
        <f>ROUND(L48,0)</f>
        <v>249276</v>
      </c>
      <c r="P48" s="110">
        <f t="shared" si="4"/>
        <v>0</v>
      </c>
      <c r="Q48" s="25"/>
      <c r="R48" s="110">
        <f>ROUND(O48,0)</f>
        <v>249276</v>
      </c>
      <c r="S48" s="110">
        <f t="shared" si="5"/>
        <v>0</v>
      </c>
      <c r="T48" s="25"/>
      <c r="U48" s="110">
        <f>ROUND(R48,0)+5192</f>
        <v>254468</v>
      </c>
      <c r="V48" s="110">
        <f t="shared" si="6"/>
        <v>5192</v>
      </c>
      <c r="W48" s="25" t="s">
        <v>716</v>
      </c>
    </row>
    <row r="49" spans="1:23" ht="14.25" customHeight="1" x14ac:dyDescent="0.25">
      <c r="A49" s="94" t="s">
        <v>132</v>
      </c>
      <c r="B49" s="115" t="s">
        <v>145</v>
      </c>
      <c r="C49" s="116" t="s">
        <v>146</v>
      </c>
      <c r="D49" s="109" t="s">
        <v>147</v>
      </c>
      <c r="E49" s="17">
        <v>0</v>
      </c>
      <c r="F49" s="17">
        <f t="shared" ref="F49" si="17">F50+F51</f>
        <v>0</v>
      </c>
      <c r="G49" s="110">
        <f t="shared" si="1"/>
        <v>0</v>
      </c>
      <c r="H49" s="110"/>
      <c r="I49" s="110">
        <f>I50+I51</f>
        <v>0</v>
      </c>
      <c r="J49" s="110">
        <f t="shared" si="2"/>
        <v>0</v>
      </c>
      <c r="K49" s="110"/>
      <c r="L49" s="110">
        <f>L50+L51</f>
        <v>63466</v>
      </c>
      <c r="M49" s="110">
        <f t="shared" si="3"/>
        <v>63466</v>
      </c>
      <c r="N49" s="110"/>
      <c r="O49" s="110">
        <f>O50+O51</f>
        <v>63466</v>
      </c>
      <c r="P49" s="110">
        <f t="shared" si="4"/>
        <v>0</v>
      </c>
      <c r="Q49" s="110"/>
      <c r="R49" s="110">
        <f>R50+R51</f>
        <v>63466</v>
      </c>
      <c r="S49" s="110">
        <f t="shared" si="5"/>
        <v>0</v>
      </c>
      <c r="T49" s="110"/>
      <c r="U49" s="110">
        <f>U50+U51</f>
        <v>64751</v>
      </c>
      <c r="V49" s="110">
        <f t="shared" si="6"/>
        <v>1285</v>
      </c>
      <c r="W49" s="120"/>
    </row>
    <row r="50" spans="1:23" ht="34.9" customHeight="1" x14ac:dyDescent="0.25">
      <c r="B50" s="115"/>
      <c r="C50" s="116" t="s">
        <v>148</v>
      </c>
      <c r="D50" s="117" t="s">
        <v>149</v>
      </c>
      <c r="E50" s="17"/>
      <c r="F50" s="17"/>
      <c r="G50" s="110">
        <f t="shared" si="1"/>
        <v>0</v>
      </c>
      <c r="H50" s="25"/>
      <c r="I50" s="110"/>
      <c r="J50" s="110">
        <f t="shared" si="2"/>
        <v>0</v>
      </c>
      <c r="K50" s="25"/>
      <c r="L50" s="110">
        <f>41084+1240+10652+4493+1870+2968+1159</f>
        <v>63466</v>
      </c>
      <c r="M50" s="110">
        <f t="shared" si="3"/>
        <v>63466</v>
      </c>
      <c r="N50" s="25" t="s">
        <v>150</v>
      </c>
      <c r="O50" s="110">
        <f>41084+1240+10652+4493+1870+2968+1159</f>
        <v>63466</v>
      </c>
      <c r="P50" s="110">
        <f t="shared" si="4"/>
        <v>0</v>
      </c>
      <c r="Q50" s="25"/>
      <c r="R50" s="110">
        <f>41084+1240+10652+4493+1870+2968+1159</f>
        <v>63466</v>
      </c>
      <c r="S50" s="110">
        <f t="shared" si="5"/>
        <v>0</v>
      </c>
      <c r="T50" s="25"/>
      <c r="U50" s="110">
        <f>41084+1240+10652+4493+1870+2968+1159+850+435</f>
        <v>64751</v>
      </c>
      <c r="V50" s="110">
        <f t="shared" si="6"/>
        <v>1285</v>
      </c>
      <c r="W50" s="25" t="s">
        <v>151</v>
      </c>
    </row>
    <row r="51" spans="1:23" ht="17.45" customHeight="1" x14ac:dyDescent="0.25">
      <c r="B51" s="115"/>
      <c r="C51" s="116" t="s">
        <v>152</v>
      </c>
      <c r="D51" s="117" t="s">
        <v>153</v>
      </c>
      <c r="E51" s="17"/>
      <c r="F51" s="17"/>
      <c r="G51" s="110">
        <f t="shared" si="1"/>
        <v>0</v>
      </c>
      <c r="H51" s="25"/>
      <c r="I51" s="110"/>
      <c r="J51" s="110">
        <f t="shared" si="2"/>
        <v>0</v>
      </c>
      <c r="K51" s="25"/>
      <c r="L51" s="110"/>
      <c r="M51" s="110">
        <f t="shared" si="3"/>
        <v>0</v>
      </c>
      <c r="N51" s="25"/>
      <c r="O51" s="110"/>
      <c r="P51" s="110">
        <f t="shared" si="4"/>
        <v>0</v>
      </c>
      <c r="Q51" s="25"/>
      <c r="R51" s="110"/>
      <c r="S51" s="110">
        <f t="shared" si="5"/>
        <v>0</v>
      </c>
      <c r="T51" s="25"/>
      <c r="U51" s="110"/>
      <c r="V51" s="110">
        <f t="shared" si="6"/>
        <v>0</v>
      </c>
      <c r="W51" s="25"/>
    </row>
    <row r="52" spans="1:23" ht="13.9" customHeight="1" x14ac:dyDescent="0.25">
      <c r="B52" s="94" t="s">
        <v>154</v>
      </c>
      <c r="C52" s="116" t="s">
        <v>155</v>
      </c>
      <c r="D52" s="109" t="s">
        <v>156</v>
      </c>
      <c r="E52" s="28">
        <v>5320740</v>
      </c>
      <c r="F52" s="28">
        <f>F53+F54+F55</f>
        <v>5320740</v>
      </c>
      <c r="G52" s="126">
        <f t="shared" si="1"/>
        <v>0</v>
      </c>
      <c r="H52" s="127"/>
      <c r="I52" s="126">
        <f>I53+I54+I55</f>
        <v>5320740</v>
      </c>
      <c r="J52" s="126">
        <f t="shared" si="2"/>
        <v>0</v>
      </c>
      <c r="K52" s="127"/>
      <c r="L52" s="126">
        <f>L53+L54+L55</f>
        <v>5320740</v>
      </c>
      <c r="M52" s="126">
        <f t="shared" si="3"/>
        <v>0</v>
      </c>
      <c r="N52" s="127"/>
      <c r="O52" s="126">
        <f>O53+O54+O55</f>
        <v>5320740</v>
      </c>
      <c r="P52" s="126">
        <f t="shared" si="4"/>
        <v>0</v>
      </c>
      <c r="Q52" s="127"/>
      <c r="R52" s="126">
        <f>R53+R54+R55</f>
        <v>5441043</v>
      </c>
      <c r="S52" s="126">
        <f t="shared" si="5"/>
        <v>120303</v>
      </c>
      <c r="T52" s="127"/>
      <c r="U52" s="126">
        <f>U53+U54+U55</f>
        <v>5441043</v>
      </c>
      <c r="V52" s="126">
        <f t="shared" si="6"/>
        <v>0</v>
      </c>
      <c r="W52" s="127"/>
    </row>
    <row r="53" spans="1:23" s="129" customFormat="1" x14ac:dyDescent="0.25">
      <c r="A53" s="94" t="s">
        <v>132</v>
      </c>
      <c r="B53" s="115" t="s">
        <v>157</v>
      </c>
      <c r="C53" s="116" t="s">
        <v>158</v>
      </c>
      <c r="D53" s="117" t="s">
        <v>159</v>
      </c>
      <c r="E53" s="29">
        <v>723948</v>
      </c>
      <c r="F53" s="29">
        <f t="shared" ref="F53:F65" si="18">ROUND(E53,0)</f>
        <v>723948</v>
      </c>
      <c r="G53" s="128">
        <f t="shared" si="1"/>
        <v>0</v>
      </c>
      <c r="H53" s="30"/>
      <c r="I53" s="128">
        <f t="shared" ref="I53:I60" si="19">ROUND(F53,0)</f>
        <v>723948</v>
      </c>
      <c r="J53" s="128">
        <f t="shared" si="2"/>
        <v>0</v>
      </c>
      <c r="K53" s="30"/>
      <c r="L53" s="128">
        <f t="shared" ref="L53:L60" si="20">ROUND(I53,0)</f>
        <v>723948</v>
      </c>
      <c r="M53" s="128">
        <f t="shared" si="3"/>
        <v>0</v>
      </c>
      <c r="N53" s="30"/>
      <c r="O53" s="128">
        <f t="shared" ref="O53:O60" si="21">ROUND(L53,0)</f>
        <v>723948</v>
      </c>
      <c r="P53" s="128">
        <f t="shared" si="4"/>
        <v>0</v>
      </c>
      <c r="Q53" s="30"/>
      <c r="R53" s="128">
        <f>ROUND(O53,0)+52259+1840</f>
        <v>778047</v>
      </c>
      <c r="S53" s="128">
        <f t="shared" si="5"/>
        <v>54099</v>
      </c>
      <c r="T53" s="30" t="s">
        <v>137</v>
      </c>
      <c r="U53" s="128">
        <f>ROUND(R53,0)</f>
        <v>778047</v>
      </c>
      <c r="V53" s="128">
        <f t="shared" si="6"/>
        <v>0</v>
      </c>
      <c r="W53" s="30"/>
    </row>
    <row r="54" spans="1:23" s="129" customFormat="1" x14ac:dyDescent="0.25">
      <c r="A54" s="94" t="s">
        <v>132</v>
      </c>
      <c r="B54" s="115" t="s">
        <v>160</v>
      </c>
      <c r="C54" s="116" t="s">
        <v>161</v>
      </c>
      <c r="D54" s="117" t="s">
        <v>162</v>
      </c>
      <c r="E54" s="29">
        <v>4279428</v>
      </c>
      <c r="F54" s="29">
        <f>ROUND(E54,0)</f>
        <v>4279428</v>
      </c>
      <c r="G54" s="128">
        <f t="shared" si="1"/>
        <v>0</v>
      </c>
      <c r="H54" s="30"/>
      <c r="I54" s="128">
        <f t="shared" si="19"/>
        <v>4279428</v>
      </c>
      <c r="J54" s="128">
        <f t="shared" si="2"/>
        <v>0</v>
      </c>
      <c r="K54" s="30"/>
      <c r="L54" s="128">
        <f t="shared" si="20"/>
        <v>4279428</v>
      </c>
      <c r="M54" s="128">
        <f t="shared" si="3"/>
        <v>0</v>
      </c>
      <c r="N54" s="30"/>
      <c r="O54" s="128">
        <f t="shared" si="21"/>
        <v>4279428</v>
      </c>
      <c r="P54" s="128">
        <f t="shared" si="4"/>
        <v>0</v>
      </c>
      <c r="Q54" s="30"/>
      <c r="R54" s="128">
        <f>ROUND(O54,0)+67540+5175</f>
        <v>4352143</v>
      </c>
      <c r="S54" s="128">
        <f t="shared" si="5"/>
        <v>72715</v>
      </c>
      <c r="T54" s="30" t="s">
        <v>137</v>
      </c>
      <c r="U54" s="128">
        <f>ROUND(R54,0)</f>
        <v>4352143</v>
      </c>
      <c r="V54" s="128">
        <f t="shared" si="6"/>
        <v>0</v>
      </c>
      <c r="W54" s="30"/>
    </row>
    <row r="55" spans="1:23" s="129" customFormat="1" ht="34.15" customHeight="1" x14ac:dyDescent="0.25">
      <c r="A55" s="94" t="s">
        <v>132</v>
      </c>
      <c r="B55" s="94"/>
      <c r="C55" s="116" t="s">
        <v>163</v>
      </c>
      <c r="D55" s="117" t="s">
        <v>164</v>
      </c>
      <c r="E55" s="29">
        <v>317364</v>
      </c>
      <c r="F55" s="29">
        <f t="shared" si="18"/>
        <v>317364</v>
      </c>
      <c r="G55" s="130">
        <f t="shared" si="1"/>
        <v>0</v>
      </c>
      <c r="H55" s="31"/>
      <c r="I55" s="128">
        <f t="shared" si="19"/>
        <v>317364</v>
      </c>
      <c r="J55" s="130">
        <f t="shared" si="2"/>
        <v>0</v>
      </c>
      <c r="K55" s="31"/>
      <c r="L55" s="128">
        <f t="shared" si="20"/>
        <v>317364</v>
      </c>
      <c r="M55" s="130">
        <f t="shared" si="3"/>
        <v>0</v>
      </c>
      <c r="N55" s="31"/>
      <c r="O55" s="128">
        <f t="shared" si="21"/>
        <v>317364</v>
      </c>
      <c r="P55" s="130">
        <f t="shared" si="4"/>
        <v>0</v>
      </c>
      <c r="Q55" s="31"/>
      <c r="R55" s="128">
        <f>ROUND(O55,0)-6511</f>
        <v>310853</v>
      </c>
      <c r="S55" s="130">
        <f t="shared" si="5"/>
        <v>-6511</v>
      </c>
      <c r="T55" s="31" t="s">
        <v>137</v>
      </c>
      <c r="U55" s="128">
        <f>ROUND(R55,0)</f>
        <v>310853</v>
      </c>
      <c r="V55" s="130">
        <f t="shared" si="6"/>
        <v>0</v>
      </c>
      <c r="W55" s="32"/>
    </row>
    <row r="56" spans="1:23" ht="31.5" customHeight="1" x14ac:dyDescent="0.25">
      <c r="A56" s="94" t="s">
        <v>132</v>
      </c>
      <c r="B56" s="94" t="s">
        <v>165</v>
      </c>
      <c r="C56" s="116" t="s">
        <v>166</v>
      </c>
      <c r="D56" s="109" t="s">
        <v>167</v>
      </c>
      <c r="E56" s="17">
        <v>13088</v>
      </c>
      <c r="F56" s="17">
        <f t="shared" si="18"/>
        <v>13088</v>
      </c>
      <c r="G56" s="110">
        <f t="shared" si="1"/>
        <v>0</v>
      </c>
      <c r="H56" s="21"/>
      <c r="I56" s="110">
        <f t="shared" si="19"/>
        <v>13088</v>
      </c>
      <c r="J56" s="110">
        <f t="shared" si="2"/>
        <v>0</v>
      </c>
      <c r="K56" s="21"/>
      <c r="L56" s="110">
        <f t="shared" si="20"/>
        <v>13088</v>
      </c>
      <c r="M56" s="110">
        <f t="shared" si="3"/>
        <v>0</v>
      </c>
      <c r="N56" s="21"/>
      <c r="O56" s="110">
        <f t="shared" si="21"/>
        <v>13088</v>
      </c>
      <c r="P56" s="110">
        <f t="shared" si="4"/>
        <v>0</v>
      </c>
      <c r="Q56" s="21"/>
      <c r="R56" s="110">
        <f t="shared" ref="R56:R60" si="22">ROUND(O56,0)</f>
        <v>13088</v>
      </c>
      <c r="S56" s="110">
        <f t="shared" si="5"/>
        <v>0</v>
      </c>
      <c r="T56" s="21"/>
      <c r="U56" s="110">
        <f t="shared" ref="U56" si="23">ROUND(R56,0)</f>
        <v>13088</v>
      </c>
      <c r="V56" s="110">
        <f t="shared" si="6"/>
        <v>0</v>
      </c>
      <c r="W56" s="21"/>
    </row>
    <row r="57" spans="1:23" ht="19.149999999999999" customHeight="1" x14ac:dyDescent="0.25">
      <c r="A57" s="94" t="s">
        <v>132</v>
      </c>
      <c r="B57" s="115" t="s">
        <v>168</v>
      </c>
      <c r="C57" s="116" t="s">
        <v>169</v>
      </c>
      <c r="D57" s="109" t="s">
        <v>170</v>
      </c>
      <c r="E57" s="17">
        <v>16104</v>
      </c>
      <c r="F57" s="17">
        <f>ROUND(E57,0)-2011</f>
        <v>14093</v>
      </c>
      <c r="G57" s="110">
        <f t="shared" si="1"/>
        <v>-2011</v>
      </c>
      <c r="H57" s="18" t="s">
        <v>171</v>
      </c>
      <c r="I57" s="110">
        <f t="shared" si="19"/>
        <v>14093</v>
      </c>
      <c r="J57" s="110">
        <f t="shared" si="2"/>
        <v>0</v>
      </c>
      <c r="K57" s="18"/>
      <c r="L57" s="110">
        <f t="shared" si="20"/>
        <v>14093</v>
      </c>
      <c r="M57" s="110">
        <f t="shared" si="3"/>
        <v>0</v>
      </c>
      <c r="N57" s="18"/>
      <c r="O57" s="110">
        <f t="shared" si="21"/>
        <v>14093</v>
      </c>
      <c r="P57" s="110">
        <f t="shared" si="4"/>
        <v>0</v>
      </c>
      <c r="Q57" s="18"/>
      <c r="R57" s="110">
        <f>ROUND(O57,0)+14485</f>
        <v>28578</v>
      </c>
      <c r="S57" s="110">
        <f t="shared" si="5"/>
        <v>14485</v>
      </c>
      <c r="T57" s="344" t="s">
        <v>172</v>
      </c>
      <c r="U57" s="110">
        <f>ROUND(R57,0)</f>
        <v>28578</v>
      </c>
      <c r="V57" s="110">
        <f t="shared" si="6"/>
        <v>0</v>
      </c>
      <c r="W57" s="344"/>
    </row>
    <row r="58" spans="1:23" ht="19.149999999999999" customHeight="1" x14ac:dyDescent="0.25">
      <c r="B58" s="115"/>
      <c r="C58" s="116" t="s">
        <v>173</v>
      </c>
      <c r="D58" s="109" t="s">
        <v>174</v>
      </c>
      <c r="E58" s="17">
        <v>6454</v>
      </c>
      <c r="F58" s="17">
        <f>ROUND(E58,0)-2786</f>
        <v>3668</v>
      </c>
      <c r="G58" s="110">
        <f t="shared" si="1"/>
        <v>-2786</v>
      </c>
      <c r="H58" s="18" t="s">
        <v>171</v>
      </c>
      <c r="I58" s="110">
        <f t="shared" si="19"/>
        <v>3668</v>
      </c>
      <c r="J58" s="110">
        <f t="shared" si="2"/>
        <v>0</v>
      </c>
      <c r="K58" s="18"/>
      <c r="L58" s="110">
        <f t="shared" si="20"/>
        <v>3668</v>
      </c>
      <c r="M58" s="110">
        <f t="shared" si="3"/>
        <v>0</v>
      </c>
      <c r="N58" s="18"/>
      <c r="O58" s="110">
        <f t="shared" si="21"/>
        <v>3668</v>
      </c>
      <c r="P58" s="110">
        <f t="shared" si="4"/>
        <v>0</v>
      </c>
      <c r="Q58" s="18"/>
      <c r="R58" s="110">
        <f>ROUND(O58,0)+3997</f>
        <v>7665</v>
      </c>
      <c r="S58" s="110">
        <f t="shared" si="5"/>
        <v>3997</v>
      </c>
      <c r="T58" s="345"/>
      <c r="U58" s="110">
        <f>ROUND(R58,0)</f>
        <v>7665</v>
      </c>
      <c r="V58" s="110">
        <f t="shared" si="6"/>
        <v>0</v>
      </c>
      <c r="W58" s="345"/>
    </row>
    <row r="59" spans="1:23" ht="18.600000000000001" customHeight="1" x14ac:dyDescent="0.25">
      <c r="B59" s="94" t="s">
        <v>175</v>
      </c>
      <c r="C59" s="116" t="s">
        <v>176</v>
      </c>
      <c r="D59" s="109" t="s">
        <v>177</v>
      </c>
      <c r="E59" s="17">
        <v>421092</v>
      </c>
      <c r="F59" s="17">
        <f t="shared" si="18"/>
        <v>421092</v>
      </c>
      <c r="G59" s="110">
        <f t="shared" si="1"/>
        <v>0</v>
      </c>
      <c r="H59" s="25"/>
      <c r="I59" s="110">
        <f t="shared" si="19"/>
        <v>421092</v>
      </c>
      <c r="J59" s="110">
        <f t="shared" si="2"/>
        <v>0</v>
      </c>
      <c r="K59" s="25"/>
      <c r="L59" s="110">
        <f t="shared" si="20"/>
        <v>421092</v>
      </c>
      <c r="M59" s="110">
        <f t="shared" si="3"/>
        <v>0</v>
      </c>
      <c r="N59" s="25"/>
      <c r="O59" s="110">
        <f t="shared" si="21"/>
        <v>421092</v>
      </c>
      <c r="P59" s="110">
        <f t="shared" si="4"/>
        <v>0</v>
      </c>
      <c r="Q59" s="25"/>
      <c r="R59" s="110">
        <f t="shared" si="22"/>
        <v>421092</v>
      </c>
      <c r="S59" s="110">
        <f t="shared" si="5"/>
        <v>0</v>
      </c>
      <c r="T59" s="25"/>
      <c r="U59" s="110">
        <f t="shared" ref="U59:U60" si="24">ROUND(R59,0)</f>
        <v>421092</v>
      </c>
      <c r="V59" s="110">
        <f t="shared" si="6"/>
        <v>0</v>
      </c>
      <c r="W59" s="25"/>
    </row>
    <row r="60" spans="1:23" ht="31.5" customHeight="1" x14ac:dyDescent="0.25">
      <c r="C60" s="116" t="s">
        <v>178</v>
      </c>
      <c r="D60" s="109" t="s">
        <v>179</v>
      </c>
      <c r="E60" s="17">
        <v>25954</v>
      </c>
      <c r="F60" s="17">
        <f t="shared" si="18"/>
        <v>25954</v>
      </c>
      <c r="G60" s="110">
        <f t="shared" si="1"/>
        <v>0</v>
      </c>
      <c r="H60" s="18"/>
      <c r="I60" s="110">
        <f t="shared" si="19"/>
        <v>25954</v>
      </c>
      <c r="J60" s="110">
        <f t="shared" si="2"/>
        <v>0</v>
      </c>
      <c r="K60" s="18"/>
      <c r="L60" s="110">
        <f t="shared" si="20"/>
        <v>25954</v>
      </c>
      <c r="M60" s="110">
        <f t="shared" si="3"/>
        <v>0</v>
      </c>
      <c r="N60" s="18"/>
      <c r="O60" s="110">
        <f t="shared" si="21"/>
        <v>25954</v>
      </c>
      <c r="P60" s="110">
        <f t="shared" si="4"/>
        <v>0</v>
      </c>
      <c r="Q60" s="18"/>
      <c r="R60" s="110">
        <f t="shared" si="22"/>
        <v>25954</v>
      </c>
      <c r="S60" s="110">
        <f t="shared" si="5"/>
        <v>0</v>
      </c>
      <c r="T60" s="18"/>
      <c r="U60" s="110">
        <f t="shared" si="24"/>
        <v>25954</v>
      </c>
      <c r="V60" s="110">
        <f t="shared" si="6"/>
        <v>0</v>
      </c>
      <c r="W60" s="18"/>
    </row>
    <row r="61" spans="1:23" ht="31.5" hidden="1" customHeight="1" outlineLevel="1" x14ac:dyDescent="0.25">
      <c r="C61" s="116"/>
      <c r="D61" s="109" t="s">
        <v>180</v>
      </c>
      <c r="E61" s="17"/>
      <c r="F61" s="17"/>
      <c r="G61" s="110"/>
      <c r="H61" s="18"/>
      <c r="I61" s="110"/>
      <c r="J61" s="110">
        <f t="shared" si="2"/>
        <v>0</v>
      </c>
      <c r="K61" s="18"/>
      <c r="L61" s="110"/>
      <c r="M61" s="110">
        <f t="shared" si="3"/>
        <v>0</v>
      </c>
      <c r="N61" s="18"/>
      <c r="O61" s="110"/>
      <c r="P61" s="110">
        <f t="shared" si="4"/>
        <v>0</v>
      </c>
      <c r="Q61" s="18"/>
      <c r="R61" s="110"/>
      <c r="S61" s="110">
        <f t="shared" si="5"/>
        <v>0</v>
      </c>
      <c r="T61" s="18"/>
      <c r="U61" s="110"/>
      <c r="V61" s="110">
        <f t="shared" si="6"/>
        <v>0</v>
      </c>
      <c r="W61" s="18"/>
    </row>
    <row r="62" spans="1:23" ht="16.5" customHeight="1" collapsed="1" x14ac:dyDescent="0.25">
      <c r="B62" s="131" t="s">
        <v>181</v>
      </c>
      <c r="C62" s="116" t="s">
        <v>182</v>
      </c>
      <c r="D62" s="132" t="s">
        <v>183</v>
      </c>
      <c r="E62" s="17">
        <v>342263</v>
      </c>
      <c r="F62" s="17">
        <f t="shared" si="18"/>
        <v>342263</v>
      </c>
      <c r="G62" s="110">
        <f t="shared" si="1"/>
        <v>0</v>
      </c>
      <c r="H62" s="18"/>
      <c r="I62" s="110">
        <f>ROUND(F62,0)+32585</f>
        <v>374848</v>
      </c>
      <c r="J62" s="110">
        <f t="shared" si="2"/>
        <v>32585</v>
      </c>
      <c r="K62" s="18" t="s">
        <v>184</v>
      </c>
      <c r="L62" s="110">
        <f>ROUND(I62,0)</f>
        <v>374848</v>
      </c>
      <c r="M62" s="110">
        <f t="shared" si="3"/>
        <v>0</v>
      </c>
      <c r="N62" s="18"/>
      <c r="O62" s="110">
        <f>ROUND(L62,0)</f>
        <v>374848</v>
      </c>
      <c r="P62" s="110">
        <f t="shared" si="4"/>
        <v>0</v>
      </c>
      <c r="Q62" s="18"/>
      <c r="R62" s="110">
        <f>ROUND(O62,0)</f>
        <v>374848</v>
      </c>
      <c r="S62" s="110">
        <f t="shared" si="5"/>
        <v>0</v>
      </c>
      <c r="T62" s="18"/>
      <c r="U62" s="110">
        <f>ROUND(R62,0)</f>
        <v>374848</v>
      </c>
      <c r="V62" s="110">
        <f t="shared" si="6"/>
        <v>0</v>
      </c>
      <c r="W62" s="18"/>
    </row>
    <row r="63" spans="1:23" ht="55.15" customHeight="1" x14ac:dyDescent="0.25">
      <c r="C63" s="116"/>
      <c r="D63" s="109" t="s">
        <v>185</v>
      </c>
      <c r="E63" s="17">
        <v>0</v>
      </c>
      <c r="F63" s="17">
        <f t="shared" si="18"/>
        <v>0</v>
      </c>
      <c r="G63" s="110">
        <f t="shared" si="1"/>
        <v>0</v>
      </c>
      <c r="H63" s="25"/>
      <c r="I63" s="110">
        <f>ROUND(F63,0)</f>
        <v>0</v>
      </c>
      <c r="J63" s="110">
        <f t="shared" si="2"/>
        <v>0</v>
      </c>
      <c r="K63" s="25"/>
      <c r="L63" s="110">
        <f>ROUND(I63,0)</f>
        <v>0</v>
      </c>
      <c r="M63" s="110">
        <f t="shared" si="3"/>
        <v>0</v>
      </c>
      <c r="N63" s="25"/>
      <c r="O63" s="110">
        <f>ROUND(L63,0)</f>
        <v>0</v>
      </c>
      <c r="P63" s="110">
        <f t="shared" si="4"/>
        <v>0</v>
      </c>
      <c r="Q63" s="25"/>
      <c r="R63" s="110">
        <f>ROUND(O63,0)</f>
        <v>0</v>
      </c>
      <c r="S63" s="110">
        <f t="shared" si="5"/>
        <v>0</v>
      </c>
      <c r="T63" s="25"/>
      <c r="U63" s="110">
        <f>ROUND(R63,0)</f>
        <v>0</v>
      </c>
      <c r="V63" s="110">
        <f t="shared" si="6"/>
        <v>0</v>
      </c>
      <c r="W63" s="25"/>
    </row>
    <row r="64" spans="1:23" ht="15.6" customHeight="1" x14ac:dyDescent="0.25">
      <c r="C64" s="116" t="s">
        <v>186</v>
      </c>
      <c r="D64" s="109" t="s">
        <v>187</v>
      </c>
      <c r="E64" s="17">
        <v>50000</v>
      </c>
      <c r="F64" s="17">
        <f t="shared" si="18"/>
        <v>50000</v>
      </c>
      <c r="G64" s="110">
        <f t="shared" si="1"/>
        <v>0</v>
      </c>
      <c r="H64" s="25"/>
      <c r="I64" s="110">
        <f>ROUND(F64,0)+20000</f>
        <v>70000</v>
      </c>
      <c r="J64" s="110">
        <f t="shared" si="2"/>
        <v>20000</v>
      </c>
      <c r="K64" s="25" t="s">
        <v>188</v>
      </c>
      <c r="L64" s="110">
        <f>ROUND(I64,0)</f>
        <v>70000</v>
      </c>
      <c r="M64" s="110">
        <f t="shared" si="3"/>
        <v>0</v>
      </c>
      <c r="N64" s="25"/>
      <c r="O64" s="110">
        <f>ROUND(L64,0)+50000</f>
        <v>120000</v>
      </c>
      <c r="P64" s="110">
        <f t="shared" si="4"/>
        <v>50000</v>
      </c>
      <c r="Q64" s="33" t="s">
        <v>188</v>
      </c>
      <c r="R64" s="110">
        <f>ROUND(O64,0)+30000</f>
        <v>150000</v>
      </c>
      <c r="S64" s="110">
        <f t="shared" si="5"/>
        <v>30000</v>
      </c>
      <c r="T64" s="25" t="s">
        <v>188</v>
      </c>
      <c r="U64" s="110">
        <f>ROUND(R64,0)</f>
        <v>150000</v>
      </c>
      <c r="V64" s="110">
        <f t="shared" si="6"/>
        <v>0</v>
      </c>
      <c r="W64" s="25"/>
    </row>
    <row r="65" spans="1:23" ht="17.45" customHeight="1" x14ac:dyDescent="0.25">
      <c r="B65" s="94" t="s">
        <v>154</v>
      </c>
      <c r="C65" s="116" t="s">
        <v>189</v>
      </c>
      <c r="D65" s="109" t="s">
        <v>190</v>
      </c>
      <c r="E65" s="17">
        <v>400000</v>
      </c>
      <c r="F65" s="17">
        <f t="shared" si="18"/>
        <v>400000</v>
      </c>
      <c r="G65" s="110">
        <f t="shared" si="1"/>
        <v>0</v>
      </c>
      <c r="H65" s="25"/>
      <c r="I65" s="110">
        <f>ROUND(F65,0)</f>
        <v>400000</v>
      </c>
      <c r="J65" s="110">
        <f t="shared" si="2"/>
        <v>0</v>
      </c>
      <c r="K65" s="25"/>
      <c r="L65" s="110">
        <f>ROUND(I65,0)+263500</f>
        <v>663500</v>
      </c>
      <c r="M65" s="110">
        <f t="shared" si="3"/>
        <v>263500</v>
      </c>
      <c r="N65" s="25" t="s">
        <v>191</v>
      </c>
      <c r="O65" s="110">
        <f>ROUND(L65,0)</f>
        <v>663500</v>
      </c>
      <c r="P65" s="110">
        <f t="shared" si="4"/>
        <v>0</v>
      </c>
      <c r="Q65" s="25"/>
      <c r="R65" s="110">
        <f>ROUND(O65,0)</f>
        <v>663500</v>
      </c>
      <c r="S65" s="110">
        <f t="shared" si="5"/>
        <v>0</v>
      </c>
      <c r="T65" s="25"/>
      <c r="U65" s="110">
        <f>ROUND(R65,0)</f>
        <v>663500</v>
      </c>
      <c r="V65" s="110">
        <f t="shared" si="6"/>
        <v>0</v>
      </c>
      <c r="W65" s="25"/>
    </row>
    <row r="66" spans="1:23" ht="17.45" customHeight="1" x14ac:dyDescent="0.25">
      <c r="C66" s="116" t="s">
        <v>192</v>
      </c>
      <c r="D66" s="109" t="s">
        <v>193</v>
      </c>
      <c r="E66" s="17"/>
      <c r="F66" s="17"/>
      <c r="G66" s="110"/>
      <c r="H66" s="25"/>
      <c r="I66" s="110"/>
      <c r="J66" s="110"/>
      <c r="K66" s="25"/>
      <c r="L66" s="110"/>
      <c r="M66" s="110"/>
      <c r="N66" s="25"/>
      <c r="O66" s="110"/>
      <c r="P66" s="110"/>
      <c r="Q66" s="25"/>
      <c r="R66" s="110"/>
      <c r="S66" s="110"/>
      <c r="T66" s="25"/>
      <c r="U66" s="110">
        <v>1875164.83</v>
      </c>
      <c r="V66" s="110">
        <f t="shared" si="6"/>
        <v>1875164.83</v>
      </c>
      <c r="W66" s="25" t="s">
        <v>194</v>
      </c>
    </row>
    <row r="67" spans="1:23" ht="43.9" customHeight="1" x14ac:dyDescent="0.25">
      <c r="A67" s="131" t="s">
        <v>195</v>
      </c>
      <c r="B67" s="94" t="s">
        <v>196</v>
      </c>
      <c r="C67" s="116" t="s">
        <v>197</v>
      </c>
      <c r="D67" s="109" t="s">
        <v>198</v>
      </c>
      <c r="E67" s="17">
        <v>138000</v>
      </c>
      <c r="F67" s="17">
        <f>ROUND(E67,0)</f>
        <v>138000</v>
      </c>
      <c r="G67" s="110">
        <f t="shared" si="1"/>
        <v>0</v>
      </c>
      <c r="H67" s="25"/>
      <c r="I67" s="110">
        <f>ROUND(F67,0)</f>
        <v>138000</v>
      </c>
      <c r="J67" s="110">
        <f t="shared" si="2"/>
        <v>0</v>
      </c>
      <c r="K67" s="25"/>
      <c r="L67" s="110">
        <f>ROUND(I67,0)+5841+7144</f>
        <v>150985</v>
      </c>
      <c r="M67" s="110">
        <f t="shared" si="3"/>
        <v>12985</v>
      </c>
      <c r="N67" s="25" t="s">
        <v>199</v>
      </c>
      <c r="O67" s="110">
        <f>ROUND(L67,0)</f>
        <v>150985</v>
      </c>
      <c r="P67" s="110">
        <f t="shared" si="4"/>
        <v>0</v>
      </c>
      <c r="Q67" s="25"/>
      <c r="R67" s="110">
        <f>ROUND(O67,0)</f>
        <v>150985</v>
      </c>
      <c r="S67" s="110">
        <f t="shared" si="5"/>
        <v>0</v>
      </c>
      <c r="T67" s="25"/>
      <c r="U67" s="110">
        <f>ROUND(R67,0)</f>
        <v>150985</v>
      </c>
      <c r="V67" s="110">
        <f t="shared" si="6"/>
        <v>0</v>
      </c>
      <c r="W67" s="25"/>
    </row>
    <row r="68" spans="1:23" ht="32.25" customHeight="1" x14ac:dyDescent="0.25">
      <c r="C68" s="122" t="s">
        <v>200</v>
      </c>
      <c r="D68" s="123" t="s">
        <v>201</v>
      </c>
      <c r="E68" s="34">
        <v>1652241.49</v>
      </c>
      <c r="F68" s="34">
        <f>SUM(F69:F90)</f>
        <v>1652241</v>
      </c>
      <c r="G68" s="124">
        <f t="shared" si="1"/>
        <v>-0.48999999999068677</v>
      </c>
      <c r="H68" s="35"/>
      <c r="I68" s="124">
        <f>SUM(I69:I88)</f>
        <v>1657241</v>
      </c>
      <c r="J68" s="124">
        <f t="shared" si="2"/>
        <v>5000</v>
      </c>
      <c r="K68" s="35"/>
      <c r="L68" s="124">
        <f>SUM(L69:L88)</f>
        <v>1657241</v>
      </c>
      <c r="M68" s="124">
        <f t="shared" si="3"/>
        <v>0</v>
      </c>
      <c r="N68" s="35"/>
      <c r="O68" s="124">
        <f>SUM(O69:O88)</f>
        <v>1657241</v>
      </c>
      <c r="P68" s="124">
        <f t="shared" si="4"/>
        <v>0</v>
      </c>
      <c r="Q68" s="35"/>
      <c r="R68" s="124">
        <f>SUM(R69:R88)</f>
        <v>1485922</v>
      </c>
      <c r="S68" s="124">
        <f t="shared" si="5"/>
        <v>-171319</v>
      </c>
      <c r="T68" s="35"/>
      <c r="U68" s="124">
        <f>SUM(U69:U90)</f>
        <v>1694148</v>
      </c>
      <c r="V68" s="124">
        <f t="shared" si="6"/>
        <v>208226</v>
      </c>
      <c r="W68" s="35"/>
    </row>
    <row r="69" spans="1:23" x14ac:dyDescent="0.25">
      <c r="A69" s="94" t="s">
        <v>132</v>
      </c>
      <c r="B69" s="115" t="s">
        <v>202</v>
      </c>
      <c r="C69" s="116" t="s">
        <v>203</v>
      </c>
      <c r="D69" s="133" t="s">
        <v>204</v>
      </c>
      <c r="E69" s="17">
        <v>7417</v>
      </c>
      <c r="F69" s="17">
        <f t="shared" ref="F69:F90" si="25">ROUND(E69,0)</f>
        <v>7417</v>
      </c>
      <c r="G69" s="110">
        <f t="shared" si="1"/>
        <v>0</v>
      </c>
      <c r="H69" s="36"/>
      <c r="I69" s="110">
        <f t="shared" ref="I69:I82" si="26">ROUND(F69,0)</f>
        <v>7417</v>
      </c>
      <c r="J69" s="110">
        <f t="shared" si="2"/>
        <v>0</v>
      </c>
      <c r="K69" s="36"/>
      <c r="L69" s="110">
        <f t="shared" ref="L69:L82" si="27">ROUND(I69,0)</f>
        <v>7417</v>
      </c>
      <c r="M69" s="110">
        <f t="shared" si="3"/>
        <v>0</v>
      </c>
      <c r="N69" s="36"/>
      <c r="O69" s="110">
        <f t="shared" ref="O69:O82" si="28">ROUND(L69,0)</f>
        <v>7417</v>
      </c>
      <c r="P69" s="110">
        <f t="shared" si="4"/>
        <v>0</v>
      </c>
      <c r="Q69" s="36"/>
      <c r="R69" s="110">
        <f t="shared" ref="R69:R82" si="29">ROUND(O69,0)</f>
        <v>7417</v>
      </c>
      <c r="S69" s="110">
        <f t="shared" si="5"/>
        <v>0</v>
      </c>
      <c r="T69" s="36"/>
      <c r="U69" s="110">
        <f t="shared" ref="U69:U71" si="30">ROUND(R69,0)</f>
        <v>7417</v>
      </c>
      <c r="V69" s="110">
        <f t="shared" si="6"/>
        <v>0</v>
      </c>
      <c r="W69" s="36"/>
    </row>
    <row r="70" spans="1:23" x14ac:dyDescent="0.25">
      <c r="A70" s="94" t="s">
        <v>205</v>
      </c>
      <c r="B70" s="94" t="s">
        <v>206</v>
      </c>
      <c r="C70" s="116" t="s">
        <v>207</v>
      </c>
      <c r="D70" s="133" t="s">
        <v>208</v>
      </c>
      <c r="E70" s="17">
        <v>109839.1</v>
      </c>
      <c r="F70" s="17">
        <f t="shared" si="25"/>
        <v>109839</v>
      </c>
      <c r="G70" s="110">
        <f t="shared" si="1"/>
        <v>-0.10000000000582077</v>
      </c>
      <c r="H70" s="22"/>
      <c r="I70" s="110">
        <f t="shared" si="26"/>
        <v>109839</v>
      </c>
      <c r="J70" s="110">
        <f t="shared" si="2"/>
        <v>0</v>
      </c>
      <c r="K70" s="22"/>
      <c r="L70" s="110">
        <f t="shared" si="27"/>
        <v>109839</v>
      </c>
      <c r="M70" s="110">
        <f t="shared" si="3"/>
        <v>0</v>
      </c>
      <c r="N70" s="22"/>
      <c r="O70" s="110">
        <f t="shared" si="28"/>
        <v>109839</v>
      </c>
      <c r="P70" s="110">
        <f t="shared" si="4"/>
        <v>0</v>
      </c>
      <c r="Q70" s="22"/>
      <c r="R70" s="110">
        <f t="shared" si="29"/>
        <v>109839</v>
      </c>
      <c r="S70" s="110">
        <f t="shared" si="5"/>
        <v>0</v>
      </c>
      <c r="T70" s="22"/>
      <c r="U70" s="110">
        <f t="shared" si="30"/>
        <v>109839</v>
      </c>
      <c r="V70" s="110">
        <f t="shared" si="6"/>
        <v>0</v>
      </c>
      <c r="W70" s="22"/>
    </row>
    <row r="71" spans="1:23" ht="30" hidden="1" outlineLevel="1" x14ac:dyDescent="0.25">
      <c r="C71" s="116" t="s">
        <v>209</v>
      </c>
      <c r="D71" s="133" t="s">
        <v>210</v>
      </c>
      <c r="E71" s="17">
        <v>0</v>
      </c>
      <c r="F71" s="17">
        <f t="shared" si="25"/>
        <v>0</v>
      </c>
      <c r="G71" s="110">
        <f t="shared" si="1"/>
        <v>0</v>
      </c>
      <c r="H71" s="25"/>
      <c r="I71" s="110">
        <f t="shared" si="26"/>
        <v>0</v>
      </c>
      <c r="J71" s="110">
        <f t="shared" si="2"/>
        <v>0</v>
      </c>
      <c r="K71" s="25"/>
      <c r="L71" s="110">
        <f t="shared" si="27"/>
        <v>0</v>
      </c>
      <c r="M71" s="110">
        <f t="shared" si="3"/>
        <v>0</v>
      </c>
      <c r="N71" s="25"/>
      <c r="O71" s="110">
        <f t="shared" si="28"/>
        <v>0</v>
      </c>
      <c r="P71" s="110">
        <f t="shared" si="4"/>
        <v>0</v>
      </c>
      <c r="Q71" s="25"/>
      <c r="R71" s="110">
        <f t="shared" si="29"/>
        <v>0</v>
      </c>
      <c r="S71" s="110">
        <f t="shared" si="5"/>
        <v>0</v>
      </c>
      <c r="T71" s="25"/>
      <c r="U71" s="110">
        <f t="shared" si="30"/>
        <v>0</v>
      </c>
      <c r="V71" s="110">
        <f t="shared" si="6"/>
        <v>0</v>
      </c>
      <c r="W71" s="25"/>
    </row>
    <row r="72" spans="1:23" ht="30" collapsed="1" x14ac:dyDescent="0.25">
      <c r="B72" s="134" t="s">
        <v>211</v>
      </c>
      <c r="C72" s="116" t="s">
        <v>212</v>
      </c>
      <c r="D72" s="133" t="s">
        <v>213</v>
      </c>
      <c r="E72" s="17">
        <v>0</v>
      </c>
      <c r="F72" s="17">
        <f t="shared" si="25"/>
        <v>0</v>
      </c>
      <c r="G72" s="110">
        <f t="shared" si="1"/>
        <v>0</v>
      </c>
      <c r="H72" s="22"/>
      <c r="I72" s="110">
        <f t="shared" si="26"/>
        <v>0</v>
      </c>
      <c r="J72" s="110">
        <f t="shared" si="2"/>
        <v>0</v>
      </c>
      <c r="K72" s="22"/>
      <c r="L72" s="110">
        <f t="shared" si="27"/>
        <v>0</v>
      </c>
      <c r="M72" s="110">
        <f t="shared" si="3"/>
        <v>0</v>
      </c>
      <c r="N72" s="22"/>
      <c r="O72" s="110">
        <f t="shared" si="28"/>
        <v>0</v>
      </c>
      <c r="P72" s="110">
        <f t="shared" si="4"/>
        <v>0</v>
      </c>
      <c r="Q72" s="22"/>
      <c r="R72" s="110">
        <f>ROUND(O72,0)+125926</f>
        <v>125926</v>
      </c>
      <c r="S72" s="110">
        <f t="shared" si="5"/>
        <v>125926</v>
      </c>
      <c r="T72" s="22" t="s">
        <v>214</v>
      </c>
      <c r="U72" s="110">
        <f>ROUND(R72,0)</f>
        <v>125926</v>
      </c>
      <c r="V72" s="110">
        <f t="shared" si="6"/>
        <v>0</v>
      </c>
      <c r="W72" s="22"/>
    </row>
    <row r="73" spans="1:23" ht="30" x14ac:dyDescent="0.25">
      <c r="B73" s="94" t="s">
        <v>215</v>
      </c>
      <c r="C73" s="116" t="s">
        <v>216</v>
      </c>
      <c r="D73" s="133" t="s">
        <v>217</v>
      </c>
      <c r="E73" s="17">
        <v>0</v>
      </c>
      <c r="F73" s="17">
        <f t="shared" si="25"/>
        <v>0</v>
      </c>
      <c r="G73" s="110">
        <f t="shared" ref="G73:G129" si="31">F73-E73</f>
        <v>0</v>
      </c>
      <c r="H73" s="23"/>
      <c r="I73" s="110">
        <f t="shared" si="26"/>
        <v>0</v>
      </c>
      <c r="J73" s="110">
        <f t="shared" si="2"/>
        <v>0</v>
      </c>
      <c r="K73" s="23"/>
      <c r="L73" s="110">
        <f t="shared" si="27"/>
        <v>0</v>
      </c>
      <c r="M73" s="110">
        <f t="shared" si="3"/>
        <v>0</v>
      </c>
      <c r="N73" s="23"/>
      <c r="O73" s="110">
        <f t="shared" si="28"/>
        <v>0</v>
      </c>
      <c r="P73" s="110">
        <f t="shared" si="4"/>
        <v>0</v>
      </c>
      <c r="Q73" s="23"/>
      <c r="R73" s="110">
        <f t="shared" si="29"/>
        <v>0</v>
      </c>
      <c r="S73" s="110">
        <f t="shared" si="5"/>
        <v>0</v>
      </c>
      <c r="T73" s="23"/>
      <c r="U73" s="110">
        <f t="shared" ref="U73:U82" si="32">ROUND(R73,0)</f>
        <v>0</v>
      </c>
      <c r="V73" s="110">
        <f t="shared" si="6"/>
        <v>0</v>
      </c>
      <c r="W73" s="23"/>
    </row>
    <row r="74" spans="1:23" ht="30" x14ac:dyDescent="0.25">
      <c r="B74" s="115" t="s">
        <v>218</v>
      </c>
      <c r="C74" s="116" t="s">
        <v>219</v>
      </c>
      <c r="D74" s="133" t="s">
        <v>220</v>
      </c>
      <c r="E74" s="17">
        <v>81714</v>
      </c>
      <c r="F74" s="17">
        <f t="shared" si="25"/>
        <v>81714</v>
      </c>
      <c r="G74" s="110">
        <f t="shared" si="31"/>
        <v>0</v>
      </c>
      <c r="H74" s="37"/>
      <c r="I74" s="110">
        <f t="shared" si="26"/>
        <v>81714</v>
      </c>
      <c r="J74" s="110">
        <f t="shared" ref="J74:J129" si="33">I74-F74</f>
        <v>0</v>
      </c>
      <c r="K74" s="37"/>
      <c r="L74" s="110">
        <f t="shared" si="27"/>
        <v>81714</v>
      </c>
      <c r="M74" s="110">
        <f t="shared" ref="M74:M129" si="34">L74-I74</f>
        <v>0</v>
      </c>
      <c r="N74" s="37"/>
      <c r="O74" s="110">
        <f t="shared" si="28"/>
        <v>81714</v>
      </c>
      <c r="P74" s="110">
        <f t="shared" ref="P74:P129" si="35">O74-L74</f>
        <v>0</v>
      </c>
      <c r="Q74" s="37"/>
      <c r="R74" s="110">
        <f t="shared" si="29"/>
        <v>81714</v>
      </c>
      <c r="S74" s="110">
        <f t="shared" ref="S74:S129" si="36">R74-O74</f>
        <v>0</v>
      </c>
      <c r="T74" s="37"/>
      <c r="U74" s="110">
        <f t="shared" si="32"/>
        <v>81714</v>
      </c>
      <c r="V74" s="110">
        <f t="shared" ref="V74:V129" si="37">U74-R74</f>
        <v>0</v>
      </c>
      <c r="W74" s="37"/>
    </row>
    <row r="75" spans="1:23" ht="30" x14ac:dyDescent="0.25">
      <c r="B75" s="115"/>
      <c r="C75" s="116" t="s">
        <v>221</v>
      </c>
      <c r="D75" s="133" t="s">
        <v>222</v>
      </c>
      <c r="E75" s="17">
        <v>117147</v>
      </c>
      <c r="F75" s="17">
        <f t="shared" si="25"/>
        <v>117147</v>
      </c>
      <c r="G75" s="110">
        <f t="shared" si="31"/>
        <v>0</v>
      </c>
      <c r="H75" s="37"/>
      <c r="I75" s="110">
        <f t="shared" si="26"/>
        <v>117147</v>
      </c>
      <c r="J75" s="110">
        <f t="shared" si="33"/>
        <v>0</v>
      </c>
      <c r="K75" s="37"/>
      <c r="L75" s="110">
        <f t="shared" si="27"/>
        <v>117147</v>
      </c>
      <c r="M75" s="110">
        <f t="shared" si="34"/>
        <v>0</v>
      </c>
      <c r="N75" s="37"/>
      <c r="O75" s="110">
        <f t="shared" si="28"/>
        <v>117147</v>
      </c>
      <c r="P75" s="110">
        <f t="shared" si="35"/>
        <v>0</v>
      </c>
      <c r="Q75" s="37"/>
      <c r="R75" s="110">
        <f t="shared" si="29"/>
        <v>117147</v>
      </c>
      <c r="S75" s="110">
        <f t="shared" si="36"/>
        <v>0</v>
      </c>
      <c r="T75" s="37"/>
      <c r="U75" s="110">
        <f t="shared" si="32"/>
        <v>117147</v>
      </c>
      <c r="V75" s="110">
        <f t="shared" si="37"/>
        <v>0</v>
      </c>
      <c r="W75" s="37"/>
    </row>
    <row r="76" spans="1:23" x14ac:dyDescent="0.25">
      <c r="B76" s="115"/>
      <c r="C76" s="116" t="s">
        <v>223</v>
      </c>
      <c r="D76" s="133" t="s">
        <v>224</v>
      </c>
      <c r="E76" s="17">
        <v>291947</v>
      </c>
      <c r="F76" s="17">
        <f t="shared" si="25"/>
        <v>291947</v>
      </c>
      <c r="G76" s="110">
        <f t="shared" si="31"/>
        <v>0</v>
      </c>
      <c r="H76" s="37"/>
      <c r="I76" s="110">
        <f t="shared" si="26"/>
        <v>291947</v>
      </c>
      <c r="J76" s="110">
        <f t="shared" si="33"/>
        <v>0</v>
      </c>
      <c r="K76" s="37"/>
      <c r="L76" s="110">
        <f t="shared" si="27"/>
        <v>291947</v>
      </c>
      <c r="M76" s="110">
        <f t="shared" si="34"/>
        <v>0</v>
      </c>
      <c r="N76" s="37"/>
      <c r="O76" s="110">
        <f t="shared" si="28"/>
        <v>291947</v>
      </c>
      <c r="P76" s="110">
        <f t="shared" si="35"/>
        <v>0</v>
      </c>
      <c r="Q76" s="37"/>
      <c r="R76" s="110">
        <f t="shared" si="29"/>
        <v>291947</v>
      </c>
      <c r="S76" s="110">
        <f t="shared" si="36"/>
        <v>0</v>
      </c>
      <c r="T76" s="37"/>
      <c r="U76" s="110">
        <f t="shared" si="32"/>
        <v>291947</v>
      </c>
      <c r="V76" s="110">
        <f t="shared" si="37"/>
        <v>0</v>
      </c>
      <c r="W76" s="37"/>
    </row>
    <row r="77" spans="1:23" ht="30" x14ac:dyDescent="0.25">
      <c r="A77" s="94" t="s">
        <v>225</v>
      </c>
      <c r="B77" s="135" t="s">
        <v>226</v>
      </c>
      <c r="C77" s="116" t="s">
        <v>227</v>
      </c>
      <c r="D77" s="133" t="s">
        <v>228</v>
      </c>
      <c r="E77" s="17">
        <v>104321.39</v>
      </c>
      <c r="F77" s="17">
        <f t="shared" si="25"/>
        <v>104321</v>
      </c>
      <c r="G77" s="110">
        <f t="shared" si="31"/>
        <v>-0.38999999999941792</v>
      </c>
      <c r="H77" s="37"/>
      <c r="I77" s="110">
        <f t="shared" si="26"/>
        <v>104321</v>
      </c>
      <c r="J77" s="110">
        <f t="shared" si="33"/>
        <v>0</v>
      </c>
      <c r="K77" s="37"/>
      <c r="L77" s="110">
        <f t="shared" si="27"/>
        <v>104321</v>
      </c>
      <c r="M77" s="110">
        <f t="shared" si="34"/>
        <v>0</v>
      </c>
      <c r="N77" s="37"/>
      <c r="O77" s="110">
        <f t="shared" si="28"/>
        <v>104321</v>
      </c>
      <c r="P77" s="110">
        <f t="shared" si="35"/>
        <v>0</v>
      </c>
      <c r="Q77" s="37"/>
      <c r="R77" s="110">
        <f t="shared" si="29"/>
        <v>104321</v>
      </c>
      <c r="S77" s="110">
        <f t="shared" si="36"/>
        <v>0</v>
      </c>
      <c r="T77" s="37"/>
      <c r="U77" s="110">
        <f t="shared" si="32"/>
        <v>104321</v>
      </c>
      <c r="V77" s="110">
        <f t="shared" si="37"/>
        <v>0</v>
      </c>
      <c r="W77" s="37"/>
    </row>
    <row r="78" spans="1:23" x14ac:dyDescent="0.25">
      <c r="B78" s="131" t="s">
        <v>5</v>
      </c>
      <c r="C78" s="116" t="s">
        <v>229</v>
      </c>
      <c r="D78" s="136" t="s">
        <v>230</v>
      </c>
      <c r="E78" s="17">
        <v>40898</v>
      </c>
      <c r="F78" s="17">
        <f t="shared" si="25"/>
        <v>40898</v>
      </c>
      <c r="G78" s="110">
        <f t="shared" si="31"/>
        <v>0</v>
      </c>
      <c r="H78" s="37"/>
      <c r="I78" s="110">
        <f t="shared" si="26"/>
        <v>40898</v>
      </c>
      <c r="J78" s="110">
        <f t="shared" si="33"/>
        <v>0</v>
      </c>
      <c r="K78" s="37"/>
      <c r="L78" s="110">
        <f t="shared" si="27"/>
        <v>40898</v>
      </c>
      <c r="M78" s="110">
        <f t="shared" si="34"/>
        <v>0</v>
      </c>
      <c r="N78" s="37"/>
      <c r="O78" s="110">
        <f t="shared" si="28"/>
        <v>40898</v>
      </c>
      <c r="P78" s="110">
        <f t="shared" si="35"/>
        <v>0</v>
      </c>
      <c r="Q78" s="37"/>
      <c r="R78" s="110">
        <f t="shared" si="29"/>
        <v>40898</v>
      </c>
      <c r="S78" s="110">
        <f t="shared" si="36"/>
        <v>0</v>
      </c>
      <c r="T78" s="37"/>
      <c r="U78" s="110">
        <f t="shared" si="32"/>
        <v>40898</v>
      </c>
      <c r="V78" s="110">
        <f t="shared" si="37"/>
        <v>0</v>
      </c>
      <c r="W78" s="37"/>
    </row>
    <row r="79" spans="1:23" ht="30" hidden="1" outlineLevel="1" x14ac:dyDescent="0.25">
      <c r="B79" s="115"/>
      <c r="C79" s="116" t="s">
        <v>231</v>
      </c>
      <c r="D79" s="133" t="s">
        <v>232</v>
      </c>
      <c r="E79" s="17">
        <v>0</v>
      </c>
      <c r="F79" s="17">
        <f t="shared" si="25"/>
        <v>0</v>
      </c>
      <c r="G79" s="110">
        <f t="shared" si="31"/>
        <v>0</v>
      </c>
      <c r="H79" s="37"/>
      <c r="I79" s="110">
        <f t="shared" si="26"/>
        <v>0</v>
      </c>
      <c r="J79" s="110">
        <f t="shared" si="33"/>
        <v>0</v>
      </c>
      <c r="K79" s="37"/>
      <c r="L79" s="110">
        <f t="shared" si="27"/>
        <v>0</v>
      </c>
      <c r="M79" s="110">
        <f t="shared" si="34"/>
        <v>0</v>
      </c>
      <c r="N79" s="37"/>
      <c r="O79" s="110">
        <f t="shared" si="28"/>
        <v>0</v>
      </c>
      <c r="P79" s="110">
        <f t="shared" si="35"/>
        <v>0</v>
      </c>
      <c r="Q79" s="37"/>
      <c r="R79" s="110">
        <f t="shared" si="29"/>
        <v>0</v>
      </c>
      <c r="S79" s="110">
        <f t="shared" si="36"/>
        <v>0</v>
      </c>
      <c r="T79" s="37"/>
      <c r="U79" s="110">
        <f t="shared" si="32"/>
        <v>0</v>
      </c>
      <c r="V79" s="110">
        <f t="shared" si="37"/>
        <v>0</v>
      </c>
      <c r="W79" s="37"/>
    </row>
    <row r="80" spans="1:23" ht="30" hidden="1" outlineLevel="1" x14ac:dyDescent="0.25">
      <c r="B80" s="115"/>
      <c r="C80" s="116" t="s">
        <v>233</v>
      </c>
      <c r="D80" s="133" t="s">
        <v>234</v>
      </c>
      <c r="E80" s="17">
        <v>0</v>
      </c>
      <c r="F80" s="17">
        <f t="shared" si="25"/>
        <v>0</v>
      </c>
      <c r="G80" s="110">
        <f t="shared" si="31"/>
        <v>0</v>
      </c>
      <c r="H80" s="37"/>
      <c r="I80" s="110">
        <f t="shared" si="26"/>
        <v>0</v>
      </c>
      <c r="J80" s="110">
        <f t="shared" si="33"/>
        <v>0</v>
      </c>
      <c r="K80" s="37"/>
      <c r="L80" s="110">
        <f t="shared" si="27"/>
        <v>0</v>
      </c>
      <c r="M80" s="110">
        <f t="shared" si="34"/>
        <v>0</v>
      </c>
      <c r="N80" s="37"/>
      <c r="O80" s="110">
        <f t="shared" si="28"/>
        <v>0</v>
      </c>
      <c r="P80" s="110">
        <f t="shared" si="35"/>
        <v>0</v>
      </c>
      <c r="Q80" s="37"/>
      <c r="R80" s="110">
        <f t="shared" si="29"/>
        <v>0</v>
      </c>
      <c r="S80" s="110">
        <f t="shared" si="36"/>
        <v>0</v>
      </c>
      <c r="T80" s="37"/>
      <c r="U80" s="110">
        <f t="shared" si="32"/>
        <v>0</v>
      </c>
      <c r="V80" s="110">
        <f t="shared" si="37"/>
        <v>0</v>
      </c>
      <c r="W80" s="37"/>
    </row>
    <row r="81" spans="1:23" collapsed="1" x14ac:dyDescent="0.25">
      <c r="B81" s="137" t="s">
        <v>235</v>
      </c>
      <c r="C81" s="116" t="s">
        <v>236</v>
      </c>
      <c r="D81" s="133" t="s">
        <v>237</v>
      </c>
      <c r="E81" s="17">
        <v>202410</v>
      </c>
      <c r="F81" s="17">
        <f t="shared" si="25"/>
        <v>202410</v>
      </c>
      <c r="G81" s="110">
        <f t="shared" si="31"/>
        <v>0</v>
      </c>
      <c r="H81" s="37"/>
      <c r="I81" s="110">
        <f t="shared" si="26"/>
        <v>202410</v>
      </c>
      <c r="J81" s="110">
        <f t="shared" si="33"/>
        <v>0</v>
      </c>
      <c r="K81" s="37"/>
      <c r="L81" s="110">
        <f t="shared" si="27"/>
        <v>202410</v>
      </c>
      <c r="M81" s="110">
        <f t="shared" si="34"/>
        <v>0</v>
      </c>
      <c r="N81" s="37"/>
      <c r="O81" s="110">
        <f t="shared" si="28"/>
        <v>202410</v>
      </c>
      <c r="P81" s="110">
        <f t="shared" si="35"/>
        <v>0</v>
      </c>
      <c r="Q81" s="37"/>
      <c r="R81" s="110">
        <f t="shared" si="29"/>
        <v>202410</v>
      </c>
      <c r="S81" s="110">
        <f t="shared" si="36"/>
        <v>0</v>
      </c>
      <c r="T81" s="37"/>
      <c r="U81" s="110">
        <f t="shared" si="32"/>
        <v>202410</v>
      </c>
      <c r="V81" s="110">
        <f t="shared" si="37"/>
        <v>0</v>
      </c>
      <c r="W81" s="37"/>
    </row>
    <row r="82" spans="1:23" ht="30" hidden="1" outlineLevel="1" x14ac:dyDescent="0.25">
      <c r="B82" s="115"/>
      <c r="C82" s="116" t="s">
        <v>238</v>
      </c>
      <c r="D82" s="133" t="s">
        <v>239</v>
      </c>
      <c r="E82" s="17">
        <v>0</v>
      </c>
      <c r="F82" s="17">
        <f t="shared" si="25"/>
        <v>0</v>
      </c>
      <c r="G82" s="110">
        <f t="shared" si="31"/>
        <v>0</v>
      </c>
      <c r="H82" s="37"/>
      <c r="I82" s="110">
        <f t="shared" si="26"/>
        <v>0</v>
      </c>
      <c r="J82" s="110">
        <f t="shared" si="33"/>
        <v>0</v>
      </c>
      <c r="K82" s="37"/>
      <c r="L82" s="110">
        <f t="shared" si="27"/>
        <v>0</v>
      </c>
      <c r="M82" s="110">
        <f t="shared" si="34"/>
        <v>0</v>
      </c>
      <c r="N82" s="37"/>
      <c r="O82" s="110">
        <f t="shared" si="28"/>
        <v>0</v>
      </c>
      <c r="P82" s="110">
        <f t="shared" si="35"/>
        <v>0</v>
      </c>
      <c r="Q82" s="37"/>
      <c r="R82" s="110">
        <f t="shared" si="29"/>
        <v>0</v>
      </c>
      <c r="S82" s="110">
        <f t="shared" si="36"/>
        <v>0</v>
      </c>
      <c r="T82" s="37"/>
      <c r="U82" s="110">
        <f t="shared" si="32"/>
        <v>0</v>
      </c>
      <c r="V82" s="110">
        <f t="shared" si="37"/>
        <v>0</v>
      </c>
      <c r="W82" s="37"/>
    </row>
    <row r="83" spans="1:23" collapsed="1" x14ac:dyDescent="0.25">
      <c r="B83" s="115"/>
      <c r="C83" s="116" t="s">
        <v>240</v>
      </c>
      <c r="D83" s="133" t="s">
        <v>241</v>
      </c>
      <c r="E83" s="17">
        <v>2464</v>
      </c>
      <c r="F83" s="17">
        <f t="shared" si="25"/>
        <v>2464</v>
      </c>
      <c r="G83" s="110">
        <f t="shared" si="31"/>
        <v>0</v>
      </c>
      <c r="H83" s="37"/>
      <c r="I83" s="110">
        <f>ROUND(F83,0)+5000</f>
        <v>7464</v>
      </c>
      <c r="J83" s="110">
        <f t="shared" si="33"/>
        <v>5000</v>
      </c>
      <c r="K83" s="37" t="s">
        <v>242</v>
      </c>
      <c r="L83" s="110">
        <f>ROUND(I83,0)</f>
        <v>7464</v>
      </c>
      <c r="M83" s="110">
        <f t="shared" si="34"/>
        <v>0</v>
      </c>
      <c r="N83" s="37"/>
      <c r="O83" s="110">
        <f>ROUND(L83,0)</f>
        <v>7464</v>
      </c>
      <c r="P83" s="110">
        <f t="shared" si="35"/>
        <v>0</v>
      </c>
      <c r="Q83" s="37"/>
      <c r="R83" s="110">
        <f>ROUND(O83,0)</f>
        <v>7464</v>
      </c>
      <c r="S83" s="110">
        <f t="shared" si="36"/>
        <v>0</v>
      </c>
      <c r="T83" s="37"/>
      <c r="U83" s="110">
        <f>ROUND(R83,0)+6000+37300</f>
        <v>50764</v>
      </c>
      <c r="V83" s="110">
        <f t="shared" si="37"/>
        <v>43300</v>
      </c>
      <c r="W83" s="37" t="s">
        <v>243</v>
      </c>
    </row>
    <row r="84" spans="1:23" ht="28.9" hidden="1" customHeight="1" outlineLevel="1" x14ac:dyDescent="0.25">
      <c r="B84" s="115"/>
      <c r="C84" s="116" t="s">
        <v>244</v>
      </c>
      <c r="D84" s="133" t="s">
        <v>245</v>
      </c>
      <c r="E84" s="17">
        <v>0</v>
      </c>
      <c r="F84" s="17">
        <f t="shared" si="25"/>
        <v>0</v>
      </c>
      <c r="G84" s="110">
        <f t="shared" si="31"/>
        <v>0</v>
      </c>
      <c r="H84" s="37"/>
      <c r="I84" s="110">
        <f t="shared" ref="I84:I90" si="38">ROUND(F84,0)</f>
        <v>0</v>
      </c>
      <c r="J84" s="110">
        <f t="shared" si="33"/>
        <v>0</v>
      </c>
      <c r="K84" s="37"/>
      <c r="L84" s="110">
        <f t="shared" ref="L84:L90" si="39">ROUND(I84,0)</f>
        <v>0</v>
      </c>
      <c r="M84" s="110">
        <f t="shared" si="34"/>
        <v>0</v>
      </c>
      <c r="N84" s="37"/>
      <c r="O84" s="110">
        <f t="shared" ref="O84:O90" si="40">ROUND(L84,0)</f>
        <v>0</v>
      </c>
      <c r="P84" s="110">
        <f t="shared" si="35"/>
        <v>0</v>
      </c>
      <c r="Q84" s="37"/>
      <c r="R84" s="110">
        <f t="shared" ref="R84:R90" si="41">ROUND(O84,0)</f>
        <v>0</v>
      </c>
      <c r="S84" s="110">
        <f t="shared" si="36"/>
        <v>0</v>
      </c>
      <c r="T84" s="37"/>
      <c r="U84" s="110">
        <f t="shared" ref="U84:U87" si="42">ROUND(R84,0)</f>
        <v>0</v>
      </c>
      <c r="V84" s="110">
        <f t="shared" si="37"/>
        <v>0</v>
      </c>
      <c r="W84" s="37"/>
    </row>
    <row r="85" spans="1:23" hidden="1" outlineLevel="1" x14ac:dyDescent="0.25">
      <c r="B85" s="115"/>
      <c r="C85" s="116" t="s">
        <v>246</v>
      </c>
      <c r="D85" s="133" t="s">
        <v>247</v>
      </c>
      <c r="E85" s="17">
        <v>0</v>
      </c>
      <c r="F85" s="17">
        <f t="shared" si="25"/>
        <v>0</v>
      </c>
      <c r="G85" s="110">
        <f t="shared" si="31"/>
        <v>0</v>
      </c>
      <c r="H85" s="37"/>
      <c r="I85" s="110">
        <f t="shared" si="38"/>
        <v>0</v>
      </c>
      <c r="J85" s="110">
        <f t="shared" si="33"/>
        <v>0</v>
      </c>
      <c r="K85" s="37"/>
      <c r="L85" s="110">
        <f t="shared" si="39"/>
        <v>0</v>
      </c>
      <c r="M85" s="110">
        <f t="shared" si="34"/>
        <v>0</v>
      </c>
      <c r="N85" s="37"/>
      <c r="O85" s="110">
        <f t="shared" si="40"/>
        <v>0</v>
      </c>
      <c r="P85" s="110">
        <f t="shared" si="35"/>
        <v>0</v>
      </c>
      <c r="Q85" s="37"/>
      <c r="R85" s="110">
        <f t="shared" si="41"/>
        <v>0</v>
      </c>
      <c r="S85" s="110">
        <f t="shared" si="36"/>
        <v>0</v>
      </c>
      <c r="T85" s="37"/>
      <c r="U85" s="110">
        <f t="shared" si="42"/>
        <v>0</v>
      </c>
      <c r="V85" s="110">
        <f t="shared" si="37"/>
        <v>0</v>
      </c>
      <c r="W85" s="37"/>
    </row>
    <row r="86" spans="1:23" ht="30" collapsed="1" x14ac:dyDescent="0.25">
      <c r="B86" s="137" t="s">
        <v>235</v>
      </c>
      <c r="C86" s="116" t="s">
        <v>248</v>
      </c>
      <c r="D86" s="133" t="s">
        <v>249</v>
      </c>
      <c r="E86" s="17">
        <v>14100</v>
      </c>
      <c r="F86" s="17">
        <f t="shared" si="25"/>
        <v>14100</v>
      </c>
      <c r="G86" s="110">
        <f t="shared" si="31"/>
        <v>0</v>
      </c>
      <c r="H86" s="37"/>
      <c r="I86" s="110">
        <f t="shared" si="38"/>
        <v>14100</v>
      </c>
      <c r="J86" s="110">
        <f t="shared" si="33"/>
        <v>0</v>
      </c>
      <c r="K86" s="37"/>
      <c r="L86" s="110">
        <f t="shared" si="39"/>
        <v>14100</v>
      </c>
      <c r="M86" s="110">
        <f t="shared" si="34"/>
        <v>0</v>
      </c>
      <c r="N86" s="37"/>
      <c r="O86" s="110">
        <f t="shared" si="40"/>
        <v>14100</v>
      </c>
      <c r="P86" s="110">
        <f t="shared" si="35"/>
        <v>0</v>
      </c>
      <c r="Q86" s="37"/>
      <c r="R86" s="110">
        <f t="shared" si="41"/>
        <v>14100</v>
      </c>
      <c r="S86" s="110">
        <f t="shared" si="36"/>
        <v>0</v>
      </c>
      <c r="T86" s="37"/>
      <c r="U86" s="110">
        <f t="shared" si="42"/>
        <v>14100</v>
      </c>
      <c r="V86" s="110">
        <f t="shared" si="37"/>
        <v>0</v>
      </c>
      <c r="W86" s="37"/>
    </row>
    <row r="87" spans="1:23" x14ac:dyDescent="0.25">
      <c r="B87" s="131" t="s">
        <v>250</v>
      </c>
      <c r="C87" s="116" t="s">
        <v>251</v>
      </c>
      <c r="D87" s="136" t="s">
        <v>252</v>
      </c>
      <c r="E87" s="17">
        <v>382739</v>
      </c>
      <c r="F87" s="17">
        <f t="shared" si="25"/>
        <v>382739</v>
      </c>
      <c r="G87" s="110">
        <f t="shared" si="31"/>
        <v>0</v>
      </c>
      <c r="H87" s="37"/>
      <c r="I87" s="110">
        <f t="shared" si="38"/>
        <v>382739</v>
      </c>
      <c r="J87" s="110">
        <f t="shared" si="33"/>
        <v>0</v>
      </c>
      <c r="K87" s="37"/>
      <c r="L87" s="110">
        <f t="shared" si="39"/>
        <v>382739</v>
      </c>
      <c r="M87" s="110">
        <f t="shared" si="34"/>
        <v>0</v>
      </c>
      <c r="N87" s="37"/>
      <c r="O87" s="110">
        <f t="shared" si="40"/>
        <v>382739</v>
      </c>
      <c r="P87" s="110">
        <f t="shared" si="35"/>
        <v>0</v>
      </c>
      <c r="Q87" s="37"/>
      <c r="R87" s="110">
        <f t="shared" si="41"/>
        <v>382739</v>
      </c>
      <c r="S87" s="110">
        <f t="shared" si="36"/>
        <v>0</v>
      </c>
      <c r="T87" s="37"/>
      <c r="U87" s="110">
        <f t="shared" si="42"/>
        <v>382739</v>
      </c>
      <c r="V87" s="110">
        <f t="shared" si="37"/>
        <v>0</v>
      </c>
      <c r="W87" s="37"/>
    </row>
    <row r="88" spans="1:23" ht="27.75" customHeight="1" x14ac:dyDescent="0.25">
      <c r="B88" s="115"/>
      <c r="C88" s="116" t="s">
        <v>253</v>
      </c>
      <c r="D88" s="136" t="s">
        <v>254</v>
      </c>
      <c r="E88" s="17">
        <v>297245</v>
      </c>
      <c r="F88" s="17">
        <f t="shared" si="25"/>
        <v>297245</v>
      </c>
      <c r="G88" s="110">
        <f t="shared" si="31"/>
        <v>0</v>
      </c>
      <c r="H88" s="37"/>
      <c r="I88" s="110">
        <f t="shared" si="38"/>
        <v>297245</v>
      </c>
      <c r="J88" s="110">
        <f t="shared" si="33"/>
        <v>0</v>
      </c>
      <c r="K88" s="37"/>
      <c r="L88" s="110">
        <f t="shared" si="39"/>
        <v>297245</v>
      </c>
      <c r="M88" s="110">
        <f t="shared" si="34"/>
        <v>0</v>
      </c>
      <c r="N88" s="37"/>
      <c r="O88" s="110">
        <f t="shared" si="40"/>
        <v>297245</v>
      </c>
      <c r="P88" s="110">
        <f t="shared" si="35"/>
        <v>0</v>
      </c>
      <c r="Q88" s="37"/>
      <c r="R88" s="110">
        <f>ROUND(O88,0)-297245</f>
        <v>0</v>
      </c>
      <c r="S88" s="110">
        <f t="shared" si="36"/>
        <v>-297245</v>
      </c>
      <c r="T88" s="23" t="s">
        <v>255</v>
      </c>
      <c r="U88" s="110">
        <f>ROUND(R88,0)</f>
        <v>0</v>
      </c>
      <c r="V88" s="110">
        <f t="shared" si="37"/>
        <v>0</v>
      </c>
      <c r="W88" s="23"/>
    </row>
    <row r="89" spans="1:23" ht="27.75" customHeight="1" x14ac:dyDescent="0.25">
      <c r="B89" s="115"/>
      <c r="C89" s="116" t="s">
        <v>256</v>
      </c>
      <c r="D89" s="138" t="s">
        <v>210</v>
      </c>
      <c r="E89" s="17"/>
      <c r="F89" s="17"/>
      <c r="G89" s="110"/>
      <c r="H89" s="37"/>
      <c r="I89" s="110"/>
      <c r="J89" s="110"/>
      <c r="K89" s="37"/>
      <c r="L89" s="110"/>
      <c r="M89" s="110"/>
      <c r="N89" s="37"/>
      <c r="O89" s="110"/>
      <c r="P89" s="110"/>
      <c r="Q89" s="37"/>
      <c r="R89" s="110"/>
      <c r="S89" s="110">
        <f t="shared" si="36"/>
        <v>0</v>
      </c>
      <c r="T89" s="23" t="s">
        <v>255</v>
      </c>
      <c r="U89" s="110">
        <f>ROUND(R89,0)+31285</f>
        <v>31285</v>
      </c>
      <c r="V89" s="110">
        <f t="shared" si="37"/>
        <v>31285</v>
      </c>
      <c r="W89" s="25" t="s">
        <v>257</v>
      </c>
    </row>
    <row r="90" spans="1:23" ht="45" x14ac:dyDescent="0.25">
      <c r="B90" s="107" t="s">
        <v>258</v>
      </c>
      <c r="C90" s="116" t="s">
        <v>259</v>
      </c>
      <c r="D90" s="138" t="s">
        <v>260</v>
      </c>
      <c r="E90" s="17">
        <v>0</v>
      </c>
      <c r="F90" s="17">
        <f t="shared" si="25"/>
        <v>0</v>
      </c>
      <c r="G90" s="110">
        <f t="shared" si="31"/>
        <v>0</v>
      </c>
      <c r="H90" s="18"/>
      <c r="I90" s="110">
        <f t="shared" si="38"/>
        <v>0</v>
      </c>
      <c r="J90" s="110">
        <f t="shared" si="33"/>
        <v>0</v>
      </c>
      <c r="K90" s="18"/>
      <c r="L90" s="110">
        <f t="shared" si="39"/>
        <v>0</v>
      </c>
      <c r="M90" s="110">
        <f t="shared" si="34"/>
        <v>0</v>
      </c>
      <c r="N90" s="18"/>
      <c r="O90" s="110">
        <f t="shared" si="40"/>
        <v>0</v>
      </c>
      <c r="P90" s="110">
        <f t="shared" si="35"/>
        <v>0</v>
      </c>
      <c r="Q90" s="18"/>
      <c r="R90" s="110">
        <f t="shared" si="41"/>
        <v>0</v>
      </c>
      <c r="S90" s="110">
        <f t="shared" si="36"/>
        <v>0</v>
      </c>
      <c r="T90" s="18"/>
      <c r="U90" s="110">
        <f>ROUND(R90,0)+133641</f>
        <v>133641</v>
      </c>
      <c r="V90" s="110">
        <f t="shared" si="37"/>
        <v>133641</v>
      </c>
      <c r="W90" s="25" t="s">
        <v>257</v>
      </c>
    </row>
    <row r="91" spans="1:23" x14ac:dyDescent="0.25">
      <c r="C91" s="121" t="s">
        <v>261</v>
      </c>
      <c r="D91" s="113" t="s">
        <v>262</v>
      </c>
      <c r="E91" s="19">
        <v>295000</v>
      </c>
      <c r="F91" s="19">
        <f>F92+F93</f>
        <v>295000</v>
      </c>
      <c r="G91" s="114">
        <f t="shared" si="31"/>
        <v>0</v>
      </c>
      <c r="H91" s="20"/>
      <c r="I91" s="114">
        <f>I92+I93</f>
        <v>295000</v>
      </c>
      <c r="J91" s="114">
        <f t="shared" si="33"/>
        <v>0</v>
      </c>
      <c r="K91" s="20"/>
      <c r="L91" s="114">
        <f>L92+L93</f>
        <v>295000</v>
      </c>
      <c r="M91" s="114">
        <f t="shared" si="34"/>
        <v>0</v>
      </c>
      <c r="N91" s="20"/>
      <c r="O91" s="114">
        <f>O92+O93</f>
        <v>295000</v>
      </c>
      <c r="P91" s="114">
        <f t="shared" si="35"/>
        <v>0</v>
      </c>
      <c r="Q91" s="20"/>
      <c r="R91" s="114">
        <f>R92+R93</f>
        <v>342100</v>
      </c>
      <c r="S91" s="114">
        <f t="shared" si="36"/>
        <v>47100</v>
      </c>
      <c r="T91" s="20"/>
      <c r="U91" s="114">
        <f>U92+U93</f>
        <v>342100</v>
      </c>
      <c r="V91" s="114">
        <f t="shared" si="37"/>
        <v>0</v>
      </c>
      <c r="W91" s="20"/>
    </row>
    <row r="92" spans="1:23" ht="27.6" customHeight="1" x14ac:dyDescent="0.25">
      <c r="B92" s="94" t="s">
        <v>263</v>
      </c>
      <c r="C92" s="108" t="s">
        <v>264</v>
      </c>
      <c r="D92" s="109" t="s">
        <v>265</v>
      </c>
      <c r="E92" s="17">
        <v>295000</v>
      </c>
      <c r="F92" s="17">
        <f>ROUND(E92,0)</f>
        <v>295000</v>
      </c>
      <c r="G92" s="110">
        <f t="shared" si="31"/>
        <v>0</v>
      </c>
      <c r="H92" s="25"/>
      <c r="I92" s="110">
        <f>ROUND(F92,0)</f>
        <v>295000</v>
      </c>
      <c r="J92" s="110">
        <f t="shared" si="33"/>
        <v>0</v>
      </c>
      <c r="K92" s="25"/>
      <c r="L92" s="110">
        <f>ROUND(I92,0)</f>
        <v>295000</v>
      </c>
      <c r="M92" s="110">
        <f t="shared" si="34"/>
        <v>0</v>
      </c>
      <c r="N92" s="25"/>
      <c r="O92" s="110">
        <f>ROUND(L92,0)</f>
        <v>295000</v>
      </c>
      <c r="P92" s="110">
        <f t="shared" si="35"/>
        <v>0</v>
      </c>
      <c r="Q92" s="25"/>
      <c r="R92" s="110">
        <f>ROUND(O92,0)+47100</f>
        <v>342100</v>
      </c>
      <c r="S92" s="110">
        <f t="shared" si="36"/>
        <v>47100</v>
      </c>
      <c r="T92" s="25" t="s">
        <v>266</v>
      </c>
      <c r="U92" s="110">
        <f>ROUND(R92,0)</f>
        <v>342100</v>
      </c>
      <c r="V92" s="110">
        <f t="shared" si="37"/>
        <v>0</v>
      </c>
      <c r="W92" s="25"/>
    </row>
    <row r="93" spans="1:23" ht="16.149999999999999" customHeight="1" x14ac:dyDescent="0.25">
      <c r="B93" s="94" t="s">
        <v>267</v>
      </c>
      <c r="C93" s="108" t="s">
        <v>268</v>
      </c>
      <c r="D93" s="109" t="s">
        <v>269</v>
      </c>
      <c r="E93" s="17">
        <v>0</v>
      </c>
      <c r="F93" s="17">
        <f>ROUND(E93,0)</f>
        <v>0</v>
      </c>
      <c r="G93" s="110">
        <f t="shared" si="31"/>
        <v>0</v>
      </c>
      <c r="H93" s="18"/>
      <c r="I93" s="110">
        <f>ROUND(F93,0)</f>
        <v>0</v>
      </c>
      <c r="J93" s="110">
        <f t="shared" si="33"/>
        <v>0</v>
      </c>
      <c r="K93" s="18"/>
      <c r="L93" s="110">
        <f>ROUND(I93,0)</f>
        <v>0</v>
      </c>
      <c r="M93" s="110">
        <f t="shared" si="34"/>
        <v>0</v>
      </c>
      <c r="N93" s="18"/>
      <c r="O93" s="110">
        <f>ROUND(L93,0)</f>
        <v>0</v>
      </c>
      <c r="P93" s="110">
        <f t="shared" si="35"/>
        <v>0</v>
      </c>
      <c r="Q93" s="18"/>
      <c r="R93" s="110">
        <f>ROUND(O93,0)</f>
        <v>0</v>
      </c>
      <c r="S93" s="110">
        <f t="shared" si="36"/>
        <v>0</v>
      </c>
      <c r="T93" s="18"/>
      <c r="U93" s="110">
        <f>ROUND(R93,0)</f>
        <v>0</v>
      </c>
      <c r="V93" s="110">
        <f t="shared" si="37"/>
        <v>0</v>
      </c>
      <c r="W93" s="18"/>
    </row>
    <row r="94" spans="1:23" ht="35.450000000000003" customHeight="1" x14ac:dyDescent="0.25">
      <c r="C94" s="121" t="s">
        <v>270</v>
      </c>
      <c r="D94" s="113" t="s">
        <v>271</v>
      </c>
      <c r="E94" s="19">
        <v>4234051</v>
      </c>
      <c r="F94" s="19">
        <f t="shared" ref="F94" si="43">F95+F98+F101+F105+F109</f>
        <v>4234051</v>
      </c>
      <c r="G94" s="114">
        <f t="shared" si="31"/>
        <v>0</v>
      </c>
      <c r="H94" s="20"/>
      <c r="I94" s="114">
        <f>I95+I98+I101+I105+I109</f>
        <v>4234051</v>
      </c>
      <c r="J94" s="114">
        <f t="shared" si="33"/>
        <v>0</v>
      </c>
      <c r="K94" s="20"/>
      <c r="L94" s="114">
        <f>L95+L98+L101+L105+L109</f>
        <v>3970551</v>
      </c>
      <c r="M94" s="114">
        <f t="shared" si="34"/>
        <v>-263500</v>
      </c>
      <c r="N94" s="20"/>
      <c r="O94" s="114">
        <f>O95+O98+O101+O105+O109</f>
        <v>3970551</v>
      </c>
      <c r="P94" s="114">
        <f t="shared" si="35"/>
        <v>0</v>
      </c>
      <c r="Q94" s="20"/>
      <c r="R94" s="114">
        <f>R95+R98+R101+R105+R109</f>
        <v>3975551</v>
      </c>
      <c r="S94" s="114">
        <f t="shared" si="36"/>
        <v>5000</v>
      </c>
      <c r="T94" s="20"/>
      <c r="U94" s="114">
        <f>U95+U98+U101+U105+U109</f>
        <v>2474853</v>
      </c>
      <c r="V94" s="114">
        <f t="shared" si="37"/>
        <v>-1500698</v>
      </c>
      <c r="W94" s="20"/>
    </row>
    <row r="95" spans="1:23" x14ac:dyDescent="0.25">
      <c r="A95" s="94" t="s">
        <v>25</v>
      </c>
      <c r="B95" s="94" t="s">
        <v>272</v>
      </c>
      <c r="C95" s="108" t="s">
        <v>273</v>
      </c>
      <c r="D95" s="109" t="s">
        <v>274</v>
      </c>
      <c r="E95" s="17">
        <v>149000</v>
      </c>
      <c r="F95" s="17">
        <f>SUM(F96:F97)</f>
        <v>149000</v>
      </c>
      <c r="G95" s="110">
        <f t="shared" si="31"/>
        <v>0</v>
      </c>
      <c r="H95" s="18"/>
      <c r="I95" s="110">
        <f>SUM(I96:I97)</f>
        <v>149000</v>
      </c>
      <c r="J95" s="110">
        <f t="shared" si="33"/>
        <v>0</v>
      </c>
      <c r="K95" s="18"/>
      <c r="L95" s="110">
        <f>SUM(L96:L97)</f>
        <v>149000</v>
      </c>
      <c r="M95" s="110">
        <f t="shared" si="34"/>
        <v>0</v>
      </c>
      <c r="N95" s="18"/>
      <c r="O95" s="110">
        <f>SUM(O96:O97)</f>
        <v>149000</v>
      </c>
      <c r="P95" s="110">
        <f t="shared" si="35"/>
        <v>0</v>
      </c>
      <c r="Q95" s="18"/>
      <c r="R95" s="110">
        <f>SUM(R96:R97)</f>
        <v>149000</v>
      </c>
      <c r="S95" s="110">
        <f t="shared" si="36"/>
        <v>0</v>
      </c>
      <c r="T95" s="18"/>
      <c r="U95" s="110">
        <f>SUM(U96:U97)</f>
        <v>149000</v>
      </c>
      <c r="V95" s="110">
        <f t="shared" si="37"/>
        <v>0</v>
      </c>
      <c r="W95" s="18"/>
    </row>
    <row r="96" spans="1:23" ht="14.25" customHeight="1" x14ac:dyDescent="0.25">
      <c r="B96" s="94" t="s">
        <v>275</v>
      </c>
      <c r="C96" s="139" t="s">
        <v>276</v>
      </c>
      <c r="D96" s="140" t="s">
        <v>277</v>
      </c>
      <c r="E96" s="17">
        <v>24000</v>
      </c>
      <c r="F96" s="17">
        <f>ROUND(E96,0)</f>
        <v>24000</v>
      </c>
      <c r="G96" s="110">
        <f t="shared" si="31"/>
        <v>0</v>
      </c>
      <c r="H96" s="21"/>
      <c r="I96" s="110">
        <f>ROUND(F96,0)</f>
        <v>24000</v>
      </c>
      <c r="J96" s="110">
        <f t="shared" si="33"/>
        <v>0</v>
      </c>
      <c r="K96" s="21"/>
      <c r="L96" s="110">
        <f>ROUND(I96,0)</f>
        <v>24000</v>
      </c>
      <c r="M96" s="110">
        <f t="shared" si="34"/>
        <v>0</v>
      </c>
      <c r="N96" s="21"/>
      <c r="O96" s="110">
        <f>ROUND(L96,0)</f>
        <v>24000</v>
      </c>
      <c r="P96" s="110">
        <f t="shared" si="35"/>
        <v>0</v>
      </c>
      <c r="Q96" s="21"/>
      <c r="R96" s="110">
        <f>ROUND(O96,0)</f>
        <v>24000</v>
      </c>
      <c r="S96" s="110">
        <f t="shared" si="36"/>
        <v>0</v>
      </c>
      <c r="T96" s="21"/>
      <c r="U96" s="110">
        <f>ROUND(R96,0)</f>
        <v>24000</v>
      </c>
      <c r="V96" s="110">
        <f t="shared" si="37"/>
        <v>0</v>
      </c>
      <c r="W96" s="21"/>
    </row>
    <row r="97" spans="1:23" ht="15.6" customHeight="1" x14ac:dyDescent="0.25">
      <c r="B97" s="94" t="s">
        <v>278</v>
      </c>
      <c r="C97" s="139" t="s">
        <v>279</v>
      </c>
      <c r="D97" s="140" t="s">
        <v>280</v>
      </c>
      <c r="E97" s="17">
        <v>125000</v>
      </c>
      <c r="F97" s="17">
        <f>ROUND(E97,0)</f>
        <v>125000</v>
      </c>
      <c r="G97" s="110">
        <f t="shared" si="31"/>
        <v>0</v>
      </c>
      <c r="H97" s="21"/>
      <c r="I97" s="110">
        <f>ROUND(F97,0)</f>
        <v>125000</v>
      </c>
      <c r="J97" s="110">
        <f t="shared" si="33"/>
        <v>0</v>
      </c>
      <c r="K97" s="21"/>
      <c r="L97" s="110">
        <f>ROUND(I97,0)</f>
        <v>125000</v>
      </c>
      <c r="M97" s="110">
        <f t="shared" si="34"/>
        <v>0</v>
      </c>
      <c r="N97" s="21"/>
      <c r="O97" s="110">
        <f>ROUND(L97,0)</f>
        <v>125000</v>
      </c>
      <c r="P97" s="110">
        <f t="shared" si="35"/>
        <v>0</v>
      </c>
      <c r="Q97" s="21"/>
      <c r="R97" s="110">
        <f>ROUND(O97,0)</f>
        <v>125000</v>
      </c>
      <c r="S97" s="110">
        <f t="shared" si="36"/>
        <v>0</v>
      </c>
      <c r="T97" s="21"/>
      <c r="U97" s="110">
        <f>ROUND(R97,0)</f>
        <v>125000</v>
      </c>
      <c r="V97" s="110">
        <f t="shared" si="37"/>
        <v>0</v>
      </c>
      <c r="W97" s="21"/>
    </row>
    <row r="98" spans="1:23" ht="13.9" customHeight="1" x14ac:dyDescent="0.25">
      <c r="C98" s="108" t="s">
        <v>281</v>
      </c>
      <c r="D98" s="109" t="s">
        <v>282</v>
      </c>
      <c r="E98" s="17">
        <v>0</v>
      </c>
      <c r="F98" s="17">
        <f>F99+F100</f>
        <v>0</v>
      </c>
      <c r="G98" s="110">
        <f t="shared" si="31"/>
        <v>0</v>
      </c>
      <c r="H98" s="38"/>
      <c r="I98" s="110">
        <f>I99+I100</f>
        <v>0</v>
      </c>
      <c r="J98" s="110">
        <f t="shared" si="33"/>
        <v>0</v>
      </c>
      <c r="K98" s="38"/>
      <c r="L98" s="110">
        <f>L99+L100</f>
        <v>0</v>
      </c>
      <c r="M98" s="110">
        <f t="shared" si="34"/>
        <v>0</v>
      </c>
      <c r="N98" s="38"/>
      <c r="O98" s="110">
        <f>O99+O100</f>
        <v>0</v>
      </c>
      <c r="P98" s="110">
        <f t="shared" si="35"/>
        <v>0</v>
      </c>
      <c r="Q98" s="38"/>
      <c r="R98" s="110">
        <f>R99+R100</f>
        <v>0</v>
      </c>
      <c r="S98" s="110">
        <f t="shared" si="36"/>
        <v>0</v>
      </c>
      <c r="T98" s="38"/>
      <c r="U98" s="110">
        <f>U99+U100</f>
        <v>0</v>
      </c>
      <c r="V98" s="110">
        <f t="shared" si="37"/>
        <v>0</v>
      </c>
      <c r="W98" s="38"/>
    </row>
    <row r="99" spans="1:23" x14ac:dyDescent="0.25">
      <c r="C99" s="139" t="s">
        <v>283</v>
      </c>
      <c r="D99" s="140" t="s">
        <v>284</v>
      </c>
      <c r="E99" s="17">
        <v>0</v>
      </c>
      <c r="F99" s="17"/>
      <c r="G99" s="110">
        <f t="shared" si="31"/>
        <v>0</v>
      </c>
      <c r="H99" s="21"/>
      <c r="I99" s="110"/>
      <c r="J99" s="110">
        <f t="shared" si="33"/>
        <v>0</v>
      </c>
      <c r="K99" s="21"/>
      <c r="L99" s="110"/>
      <c r="M99" s="110">
        <f t="shared" si="34"/>
        <v>0</v>
      </c>
      <c r="N99" s="21"/>
      <c r="O99" s="110"/>
      <c r="P99" s="110">
        <f t="shared" si="35"/>
        <v>0</v>
      </c>
      <c r="Q99" s="21"/>
      <c r="R99" s="110"/>
      <c r="S99" s="110">
        <f t="shared" si="36"/>
        <v>0</v>
      </c>
      <c r="T99" s="21"/>
      <c r="U99" s="110"/>
      <c r="V99" s="110">
        <f t="shared" si="37"/>
        <v>0</v>
      </c>
      <c r="W99" s="21"/>
    </row>
    <row r="100" spans="1:23" ht="30" customHeight="1" x14ac:dyDescent="0.25">
      <c r="B100" s="131" t="s">
        <v>285</v>
      </c>
      <c r="C100" s="139" t="s">
        <v>286</v>
      </c>
      <c r="D100" s="133" t="s">
        <v>287</v>
      </c>
      <c r="E100" s="17">
        <v>0</v>
      </c>
      <c r="F100" s="17">
        <f>ROUND(E100,0)</f>
        <v>0</v>
      </c>
      <c r="G100" s="110">
        <f t="shared" si="31"/>
        <v>0</v>
      </c>
      <c r="H100" s="21"/>
      <c r="I100" s="110">
        <f>ROUND(F100,0)</f>
        <v>0</v>
      </c>
      <c r="J100" s="110">
        <f t="shared" si="33"/>
        <v>0</v>
      </c>
      <c r="K100" s="21"/>
      <c r="L100" s="110">
        <f>ROUND(I100,0)</f>
        <v>0</v>
      </c>
      <c r="M100" s="110">
        <f t="shared" si="34"/>
        <v>0</v>
      </c>
      <c r="N100" s="21"/>
      <c r="O100" s="110">
        <f>ROUND(L100,0)</f>
        <v>0</v>
      </c>
      <c r="P100" s="110">
        <f t="shared" si="35"/>
        <v>0</v>
      </c>
      <c r="Q100" s="21"/>
      <c r="R100" s="110">
        <f>ROUND(O100,0)</f>
        <v>0</v>
      </c>
      <c r="S100" s="110">
        <f t="shared" si="36"/>
        <v>0</v>
      </c>
      <c r="T100" s="21"/>
      <c r="U100" s="110">
        <f>ROUND(R100,0)</f>
        <v>0</v>
      </c>
      <c r="V100" s="110">
        <f t="shared" si="37"/>
        <v>0</v>
      </c>
      <c r="W100" s="21"/>
    </row>
    <row r="101" spans="1:23" x14ac:dyDescent="0.25">
      <c r="A101" s="94" t="s">
        <v>25</v>
      </c>
      <c r="B101" s="94" t="s">
        <v>288</v>
      </c>
      <c r="C101" s="108" t="s">
        <v>289</v>
      </c>
      <c r="D101" s="109" t="s">
        <v>290</v>
      </c>
      <c r="E101" s="17">
        <v>157000</v>
      </c>
      <c r="F101" s="17">
        <f>SUM(F102:F104)</f>
        <v>157000</v>
      </c>
      <c r="G101" s="110">
        <f t="shared" si="31"/>
        <v>0</v>
      </c>
      <c r="H101" s="18"/>
      <c r="I101" s="110">
        <f>SUM(I102:I104)</f>
        <v>157000</v>
      </c>
      <c r="J101" s="110">
        <f t="shared" si="33"/>
        <v>0</v>
      </c>
      <c r="K101" s="18"/>
      <c r="L101" s="110">
        <f>SUM(L102:L104)</f>
        <v>157000</v>
      </c>
      <c r="M101" s="110">
        <f t="shared" si="34"/>
        <v>0</v>
      </c>
      <c r="N101" s="18"/>
      <c r="O101" s="110">
        <f>SUM(O102:O104)</f>
        <v>157000</v>
      </c>
      <c r="P101" s="110">
        <f t="shared" si="35"/>
        <v>0</v>
      </c>
      <c r="Q101" s="18"/>
      <c r="R101" s="110">
        <f>SUM(R102:R104)</f>
        <v>157000</v>
      </c>
      <c r="S101" s="110">
        <f t="shared" si="36"/>
        <v>0</v>
      </c>
      <c r="T101" s="18"/>
      <c r="U101" s="110">
        <f>SUM(U102:U104)</f>
        <v>207000</v>
      </c>
      <c r="V101" s="110">
        <f t="shared" si="37"/>
        <v>50000</v>
      </c>
      <c r="W101" s="18"/>
    </row>
    <row r="102" spans="1:23" ht="15.75" customHeight="1" x14ac:dyDescent="0.25">
      <c r="B102" s="94" t="s">
        <v>291</v>
      </c>
      <c r="C102" s="139" t="s">
        <v>292</v>
      </c>
      <c r="D102" s="140" t="s">
        <v>293</v>
      </c>
      <c r="E102" s="17">
        <v>120000</v>
      </c>
      <c r="F102" s="17">
        <f>ROUND(E102,0)</f>
        <v>120000</v>
      </c>
      <c r="G102" s="110">
        <f t="shared" si="31"/>
        <v>0</v>
      </c>
      <c r="H102" s="25"/>
      <c r="I102" s="110">
        <f>ROUND(F102,0)</f>
        <v>120000</v>
      </c>
      <c r="J102" s="110">
        <f t="shared" si="33"/>
        <v>0</v>
      </c>
      <c r="K102" s="25"/>
      <c r="L102" s="110">
        <f>ROUND(I102,0)</f>
        <v>120000</v>
      </c>
      <c r="M102" s="110">
        <f t="shared" si="34"/>
        <v>0</v>
      </c>
      <c r="N102" s="25"/>
      <c r="O102" s="110">
        <f>ROUND(L102,0)</f>
        <v>120000</v>
      </c>
      <c r="P102" s="110">
        <f t="shared" si="35"/>
        <v>0</v>
      </c>
      <c r="Q102" s="25"/>
      <c r="R102" s="110">
        <f>ROUND(O102,0)</f>
        <v>120000</v>
      </c>
      <c r="S102" s="110">
        <f t="shared" si="36"/>
        <v>0</v>
      </c>
      <c r="T102" s="25"/>
      <c r="U102" s="110">
        <f>ROUND(R102,0)+50000</f>
        <v>170000</v>
      </c>
      <c r="V102" s="110">
        <f t="shared" si="37"/>
        <v>50000</v>
      </c>
      <c r="W102" s="25" t="s">
        <v>1150</v>
      </c>
    </row>
    <row r="103" spans="1:23" x14ac:dyDescent="0.25">
      <c r="B103" s="94" t="s">
        <v>294</v>
      </c>
      <c r="C103" s="139" t="s">
        <v>295</v>
      </c>
      <c r="D103" s="140" t="s">
        <v>296</v>
      </c>
      <c r="E103" s="17">
        <v>36000</v>
      </c>
      <c r="F103" s="17">
        <f>ROUND(E103,0)</f>
        <v>36000</v>
      </c>
      <c r="G103" s="110">
        <f t="shared" si="31"/>
        <v>0</v>
      </c>
      <c r="H103" s="18"/>
      <c r="I103" s="110">
        <f>ROUND(F103,0)</f>
        <v>36000</v>
      </c>
      <c r="J103" s="110">
        <f t="shared" si="33"/>
        <v>0</v>
      </c>
      <c r="K103" s="18"/>
      <c r="L103" s="110">
        <f>ROUND(I103,0)</f>
        <v>36000</v>
      </c>
      <c r="M103" s="110">
        <f t="shared" si="34"/>
        <v>0</v>
      </c>
      <c r="N103" s="18"/>
      <c r="O103" s="110">
        <f>ROUND(L103,0)</f>
        <v>36000</v>
      </c>
      <c r="P103" s="110">
        <f t="shared" si="35"/>
        <v>0</v>
      </c>
      <c r="Q103" s="18"/>
      <c r="R103" s="110">
        <f>ROUND(O103,0)</f>
        <v>36000</v>
      </c>
      <c r="S103" s="110">
        <f t="shared" si="36"/>
        <v>0</v>
      </c>
      <c r="T103" s="18"/>
      <c r="U103" s="110">
        <f>ROUND(R103,0)</f>
        <v>36000</v>
      </c>
      <c r="V103" s="110">
        <f t="shared" si="37"/>
        <v>0</v>
      </c>
      <c r="W103" s="18"/>
    </row>
    <row r="104" spans="1:23" x14ac:dyDescent="0.25">
      <c r="C104" s="139" t="s">
        <v>297</v>
      </c>
      <c r="D104" s="133" t="s">
        <v>298</v>
      </c>
      <c r="E104" s="17">
        <v>1000</v>
      </c>
      <c r="F104" s="17">
        <f>ROUND(E104,0)</f>
        <v>1000</v>
      </c>
      <c r="G104" s="110">
        <f t="shared" si="31"/>
        <v>0</v>
      </c>
      <c r="H104" s="18"/>
      <c r="I104" s="110">
        <f>ROUND(F104,0)</f>
        <v>1000</v>
      </c>
      <c r="J104" s="110">
        <f t="shared" si="33"/>
        <v>0</v>
      </c>
      <c r="K104" s="18"/>
      <c r="L104" s="110">
        <f>ROUND(I104,0)</f>
        <v>1000</v>
      </c>
      <c r="M104" s="110">
        <f t="shared" si="34"/>
        <v>0</v>
      </c>
      <c r="N104" s="18"/>
      <c r="O104" s="110">
        <f>ROUND(L104,0)</f>
        <v>1000</v>
      </c>
      <c r="P104" s="110">
        <f t="shared" si="35"/>
        <v>0</v>
      </c>
      <c r="Q104" s="18"/>
      <c r="R104" s="110">
        <f>ROUND(O104,0)</f>
        <v>1000</v>
      </c>
      <c r="S104" s="110">
        <f t="shared" si="36"/>
        <v>0</v>
      </c>
      <c r="T104" s="18"/>
      <c r="U104" s="110">
        <f>ROUND(R104,0)</f>
        <v>1000</v>
      </c>
      <c r="V104" s="110">
        <f t="shared" si="37"/>
        <v>0</v>
      </c>
      <c r="W104" s="18"/>
    </row>
    <row r="105" spans="1:23" ht="25.15" customHeight="1" x14ac:dyDescent="0.25">
      <c r="A105" s="94" t="s">
        <v>25</v>
      </c>
      <c r="B105" s="94" t="s">
        <v>299</v>
      </c>
      <c r="C105" s="108" t="s">
        <v>300</v>
      </c>
      <c r="D105" s="109" t="s">
        <v>301</v>
      </c>
      <c r="E105" s="17">
        <v>3826051</v>
      </c>
      <c r="F105" s="17">
        <f t="shared" ref="F105" si="44">SUM(F106:F108)</f>
        <v>3826051</v>
      </c>
      <c r="G105" s="110">
        <f t="shared" si="31"/>
        <v>0</v>
      </c>
      <c r="H105" s="25"/>
      <c r="I105" s="110">
        <f>SUM(I106:I108)</f>
        <v>3826051</v>
      </c>
      <c r="J105" s="110">
        <f t="shared" si="33"/>
        <v>0</v>
      </c>
      <c r="K105" s="25"/>
      <c r="L105" s="110">
        <f>SUM(L106:L108)</f>
        <v>3562551</v>
      </c>
      <c r="M105" s="110">
        <f t="shared" si="34"/>
        <v>-263500</v>
      </c>
      <c r="N105" s="25"/>
      <c r="O105" s="110">
        <f>SUM(O106:O108)</f>
        <v>3562551</v>
      </c>
      <c r="P105" s="110">
        <f t="shared" si="35"/>
        <v>0</v>
      </c>
      <c r="Q105" s="25"/>
      <c r="R105" s="110">
        <f>SUM(R106:R108)</f>
        <v>3567551</v>
      </c>
      <c r="S105" s="110">
        <f t="shared" si="36"/>
        <v>5000</v>
      </c>
      <c r="T105" s="25"/>
      <c r="U105" s="110">
        <f>SUM(U106:U108)</f>
        <v>2016853</v>
      </c>
      <c r="V105" s="110">
        <f t="shared" si="37"/>
        <v>-1550698</v>
      </c>
      <c r="W105" s="25"/>
    </row>
    <row r="106" spans="1:23" ht="16.5" customHeight="1" x14ac:dyDescent="0.25">
      <c r="A106" s="131" t="s">
        <v>302</v>
      </c>
      <c r="C106" s="139" t="s">
        <v>303</v>
      </c>
      <c r="D106" s="140" t="s">
        <v>301</v>
      </c>
      <c r="E106" s="17">
        <v>110000</v>
      </c>
      <c r="F106" s="17">
        <f>ROUND(E106,0)</f>
        <v>110000</v>
      </c>
      <c r="G106" s="110">
        <f t="shared" si="31"/>
        <v>0</v>
      </c>
      <c r="H106" s="18"/>
      <c r="I106" s="110">
        <f>ROUND(F106,0)</f>
        <v>110000</v>
      </c>
      <c r="J106" s="110">
        <f t="shared" si="33"/>
        <v>0</v>
      </c>
      <c r="K106" s="18"/>
      <c r="L106" s="110">
        <f>ROUND(I106,0)</f>
        <v>110000</v>
      </c>
      <c r="M106" s="110">
        <f t="shared" si="34"/>
        <v>0</v>
      </c>
      <c r="N106" s="18"/>
      <c r="O106" s="110">
        <f>ROUND(L106,0)</f>
        <v>110000</v>
      </c>
      <c r="P106" s="110">
        <f t="shared" si="35"/>
        <v>0</v>
      </c>
      <c r="Q106" s="18"/>
      <c r="R106" s="110">
        <f>ROUND(O106,0)+5000</f>
        <v>115000</v>
      </c>
      <c r="S106" s="110">
        <f t="shared" si="36"/>
        <v>5000</v>
      </c>
      <c r="T106" s="18" t="s">
        <v>304</v>
      </c>
      <c r="U106" s="110">
        <f>ROUND(R106,0)+55000</f>
        <v>170000</v>
      </c>
      <c r="V106" s="110">
        <f t="shared" si="37"/>
        <v>55000</v>
      </c>
      <c r="W106" s="25" t="s">
        <v>1150</v>
      </c>
    </row>
    <row r="107" spans="1:23" ht="16.5" customHeight="1" x14ac:dyDescent="0.25">
      <c r="C107" s="139" t="s">
        <v>305</v>
      </c>
      <c r="D107" s="140" t="s">
        <v>306</v>
      </c>
      <c r="E107" s="17">
        <v>2500</v>
      </c>
      <c r="F107" s="17">
        <f>ROUND(E107,0)</f>
        <v>2500</v>
      </c>
      <c r="G107" s="110">
        <f t="shared" si="31"/>
        <v>0</v>
      </c>
      <c r="H107" s="18"/>
      <c r="I107" s="110">
        <f>ROUND(F107,0)</f>
        <v>2500</v>
      </c>
      <c r="J107" s="110">
        <f t="shared" si="33"/>
        <v>0</v>
      </c>
      <c r="K107" s="18"/>
      <c r="L107" s="110">
        <f>ROUND(I107,0)</f>
        <v>2500</v>
      </c>
      <c r="M107" s="110">
        <f t="shared" si="34"/>
        <v>0</v>
      </c>
      <c r="N107" s="18"/>
      <c r="O107" s="110">
        <f>ROUND(L107,0)</f>
        <v>2500</v>
      </c>
      <c r="P107" s="110">
        <f t="shared" si="35"/>
        <v>0</v>
      </c>
      <c r="Q107" s="18"/>
      <c r="R107" s="110">
        <f>ROUND(O107,0)</f>
        <v>2500</v>
      </c>
      <c r="S107" s="110">
        <f t="shared" si="36"/>
        <v>0</v>
      </c>
      <c r="T107" s="18"/>
      <c r="U107" s="110">
        <f>ROUND(R107,0)</f>
        <v>2500</v>
      </c>
      <c r="V107" s="110">
        <f t="shared" si="37"/>
        <v>0</v>
      </c>
      <c r="W107" s="18"/>
    </row>
    <row r="108" spans="1:23" ht="28.9" customHeight="1" x14ac:dyDescent="0.25">
      <c r="C108" s="139" t="s">
        <v>307</v>
      </c>
      <c r="D108" s="140" t="s">
        <v>308</v>
      </c>
      <c r="E108" s="17">
        <v>3713551</v>
      </c>
      <c r="F108" s="17">
        <f>ROUND(E108,0)</f>
        <v>3713551</v>
      </c>
      <c r="G108" s="110">
        <f t="shared" si="31"/>
        <v>0</v>
      </c>
      <c r="H108" s="18"/>
      <c r="I108" s="110">
        <f>ROUND(F108,0)</f>
        <v>3713551</v>
      </c>
      <c r="J108" s="110">
        <f t="shared" si="33"/>
        <v>0</v>
      </c>
      <c r="K108" s="18"/>
      <c r="L108" s="110">
        <f>ROUND(I108,0)-263500</f>
        <v>3450051</v>
      </c>
      <c r="M108" s="110">
        <f t="shared" si="34"/>
        <v>-263500</v>
      </c>
      <c r="N108" s="25" t="s">
        <v>191</v>
      </c>
      <c r="O108" s="110">
        <f>ROUND(L108,0)</f>
        <v>3450051</v>
      </c>
      <c r="P108" s="110">
        <f t="shared" si="35"/>
        <v>0</v>
      </c>
      <c r="Q108" s="25"/>
      <c r="R108" s="110">
        <f>ROUND(O108,0)</f>
        <v>3450051</v>
      </c>
      <c r="S108" s="110">
        <f t="shared" si="36"/>
        <v>0</v>
      </c>
      <c r="T108" s="25"/>
      <c r="U108" s="110">
        <f>ROUND(R108,0)-1605698</f>
        <v>1844353</v>
      </c>
      <c r="V108" s="110">
        <f t="shared" si="37"/>
        <v>-1605698</v>
      </c>
      <c r="W108" s="25" t="s">
        <v>309</v>
      </c>
    </row>
    <row r="109" spans="1:23" ht="18" customHeight="1" thickBot="1" x14ac:dyDescent="0.3">
      <c r="A109" s="94" t="s">
        <v>25</v>
      </c>
      <c r="B109" s="115" t="s">
        <v>310</v>
      </c>
      <c r="C109" s="108" t="s">
        <v>311</v>
      </c>
      <c r="D109" s="109" t="s">
        <v>312</v>
      </c>
      <c r="E109" s="17">
        <v>102000</v>
      </c>
      <c r="F109" s="17">
        <f>ROUND(E109,0)</f>
        <v>102000</v>
      </c>
      <c r="G109" s="110">
        <f t="shared" si="31"/>
        <v>0</v>
      </c>
      <c r="H109" s="18"/>
      <c r="I109" s="110">
        <f>ROUND(F109,0)</f>
        <v>102000</v>
      </c>
      <c r="J109" s="110">
        <f t="shared" si="33"/>
        <v>0</v>
      </c>
      <c r="K109" s="18"/>
      <c r="L109" s="110">
        <f>ROUND(I109,0)</f>
        <v>102000</v>
      </c>
      <c r="M109" s="110">
        <f t="shared" si="34"/>
        <v>0</v>
      </c>
      <c r="N109" s="18"/>
      <c r="O109" s="110">
        <f>ROUND(L109,0)</f>
        <v>102000</v>
      </c>
      <c r="P109" s="110">
        <f t="shared" si="35"/>
        <v>0</v>
      </c>
      <c r="Q109" s="18"/>
      <c r="R109" s="110">
        <f>ROUND(O109,0)</f>
        <v>102000</v>
      </c>
      <c r="S109" s="110">
        <f t="shared" si="36"/>
        <v>0</v>
      </c>
      <c r="T109" s="18"/>
      <c r="U109" s="110">
        <f>ROUND(R109,0)</f>
        <v>102000</v>
      </c>
      <c r="V109" s="110">
        <f t="shared" si="37"/>
        <v>0</v>
      </c>
      <c r="W109" s="18"/>
    </row>
    <row r="110" spans="1:23" ht="15" customHeight="1" thickBot="1" x14ac:dyDescent="0.3">
      <c r="C110" s="142"/>
      <c r="D110" s="143" t="s">
        <v>313</v>
      </c>
      <c r="E110" s="39">
        <v>46153371.490000002</v>
      </c>
      <c r="F110" s="39">
        <f t="shared" ref="F110" si="45">F7+F11+F14+F17+F20+F23+F36+F39+F43+F44+F91+F94</f>
        <v>46211727</v>
      </c>
      <c r="G110" s="144">
        <f t="shared" si="31"/>
        <v>58355.509999997914</v>
      </c>
      <c r="H110" s="40"/>
      <c r="I110" s="144">
        <f>I7+I11+I14+I17+I20+I23+I36+I39+I43+I44+I91+I94</f>
        <v>46579708</v>
      </c>
      <c r="J110" s="144">
        <f t="shared" si="33"/>
        <v>367981</v>
      </c>
      <c r="K110" s="40"/>
      <c r="L110" s="144">
        <f>L7+L11+L14+L17+L20+L23+L36+L39+L43+L44+L91+L94</f>
        <v>46656159</v>
      </c>
      <c r="M110" s="144">
        <f t="shared" si="34"/>
        <v>76451</v>
      </c>
      <c r="N110" s="40"/>
      <c r="O110" s="144">
        <f>O7+O11+O14+O17+O20+O23+O36+O39+O43+O44+O91+O94</f>
        <v>46706159</v>
      </c>
      <c r="P110" s="144">
        <f t="shared" si="35"/>
        <v>50000</v>
      </c>
      <c r="Q110" s="40"/>
      <c r="R110" s="144">
        <f>R7+R11+R14+R17+R20+R23+R36+R39+R43+R44+R91+R94</f>
        <v>46948605</v>
      </c>
      <c r="S110" s="144">
        <f t="shared" si="36"/>
        <v>242446</v>
      </c>
      <c r="T110" s="40"/>
      <c r="U110" s="144">
        <f>U7+U11+U14+U17+U20+U23+U36+U39+U43+U44+U91+U94</f>
        <v>48237972.829999998</v>
      </c>
      <c r="V110" s="144">
        <f t="shared" si="37"/>
        <v>1289367.8299999982</v>
      </c>
      <c r="W110" s="40"/>
    </row>
    <row r="111" spans="1:23" ht="15.75" thickBot="1" x14ac:dyDescent="0.3">
      <c r="C111" s="145" t="s">
        <v>314</v>
      </c>
      <c r="D111" s="146" t="s">
        <v>315</v>
      </c>
      <c r="E111" s="41">
        <v>7741521.0000000009</v>
      </c>
      <c r="F111" s="41">
        <f>SUM(F112:F113)</f>
        <v>7741521</v>
      </c>
      <c r="G111" s="147">
        <f t="shared" si="31"/>
        <v>0</v>
      </c>
      <c r="H111" s="42"/>
      <c r="I111" s="147">
        <f>SUM(I112:I113)</f>
        <v>7741521</v>
      </c>
      <c r="J111" s="147">
        <f t="shared" si="33"/>
        <v>0</v>
      </c>
      <c r="K111" s="42"/>
      <c r="L111" s="147">
        <f>SUM(L112:L113)</f>
        <v>7741521</v>
      </c>
      <c r="M111" s="147">
        <f t="shared" si="34"/>
        <v>0</v>
      </c>
      <c r="N111" s="42"/>
      <c r="O111" s="147">
        <f>SUM(O112:O113)</f>
        <v>7741521</v>
      </c>
      <c r="P111" s="147">
        <f t="shared" si="35"/>
        <v>0</v>
      </c>
      <c r="Q111" s="42"/>
      <c r="R111" s="147">
        <f>SUM(R112:R113)</f>
        <v>7741521</v>
      </c>
      <c r="S111" s="147">
        <f t="shared" si="36"/>
        <v>0</v>
      </c>
      <c r="T111" s="42"/>
      <c r="U111" s="147">
        <f>SUM(U112:U113)</f>
        <v>7741521</v>
      </c>
      <c r="V111" s="147">
        <f t="shared" si="37"/>
        <v>0</v>
      </c>
      <c r="W111" s="42"/>
    </row>
    <row r="112" spans="1:23" ht="17.25" customHeight="1" x14ac:dyDescent="0.25">
      <c r="C112" s="108" t="s">
        <v>316</v>
      </c>
      <c r="D112" s="109" t="s">
        <v>317</v>
      </c>
      <c r="E112" s="17">
        <v>1454963.94</v>
      </c>
      <c r="F112" s="17">
        <f>ROUND(E112,0)</f>
        <v>1454964</v>
      </c>
      <c r="G112" s="110">
        <f t="shared" si="31"/>
        <v>6.0000000055879354E-2</v>
      </c>
      <c r="H112" s="25"/>
      <c r="I112" s="110">
        <f>ROUND(F112,0)</f>
        <v>1454964</v>
      </c>
      <c r="J112" s="110">
        <f t="shared" si="33"/>
        <v>0</v>
      </c>
      <c r="K112" s="25"/>
      <c r="L112" s="110">
        <f>ROUND(I112,0)</f>
        <v>1454964</v>
      </c>
      <c r="M112" s="110">
        <f t="shared" si="34"/>
        <v>0</v>
      </c>
      <c r="N112" s="25"/>
      <c r="O112" s="110">
        <f>ROUND(L112,0)</f>
        <v>1454964</v>
      </c>
      <c r="P112" s="110">
        <f t="shared" si="35"/>
        <v>0</v>
      </c>
      <c r="Q112" s="25"/>
      <c r="R112" s="110">
        <f>ROUND(O112,0)</f>
        <v>1454964</v>
      </c>
      <c r="S112" s="110">
        <f t="shared" si="36"/>
        <v>0</v>
      </c>
      <c r="T112" s="25"/>
      <c r="U112" s="110">
        <f>ROUND(R112,0)</f>
        <v>1454964</v>
      </c>
      <c r="V112" s="110">
        <f t="shared" si="37"/>
        <v>0</v>
      </c>
      <c r="W112" s="25"/>
    </row>
    <row r="113" spans="1:23" x14ac:dyDescent="0.25">
      <c r="C113" s="108" t="s">
        <v>318</v>
      </c>
      <c r="D113" s="109" t="s">
        <v>319</v>
      </c>
      <c r="E113" s="17">
        <v>6286556.8600000013</v>
      </c>
      <c r="F113" s="17">
        <f>ROUND(E113,0)</f>
        <v>6286557</v>
      </c>
      <c r="G113" s="110">
        <f t="shared" si="31"/>
        <v>0.1399999987334013</v>
      </c>
      <c r="H113" s="18"/>
      <c r="I113" s="110">
        <f>ROUND(F113,0)</f>
        <v>6286557</v>
      </c>
      <c r="J113" s="110">
        <f t="shared" si="33"/>
        <v>0</v>
      </c>
      <c r="K113" s="18"/>
      <c r="L113" s="110">
        <f>ROUND(I113,0)</f>
        <v>6286557</v>
      </c>
      <c r="M113" s="110">
        <f t="shared" si="34"/>
        <v>0</v>
      </c>
      <c r="N113" s="18"/>
      <c r="O113" s="110">
        <f>ROUND(L113,0)</f>
        <v>6286557</v>
      </c>
      <c r="P113" s="110">
        <f t="shared" si="35"/>
        <v>0</v>
      </c>
      <c r="Q113" s="18"/>
      <c r="R113" s="110">
        <f>ROUND(O113,0)</f>
        <v>6286557</v>
      </c>
      <c r="S113" s="110">
        <f t="shared" si="36"/>
        <v>0</v>
      </c>
      <c r="T113" s="18"/>
      <c r="U113" s="110">
        <f>ROUND(R113,0)</f>
        <v>6286557</v>
      </c>
      <c r="V113" s="110">
        <f t="shared" si="37"/>
        <v>0</v>
      </c>
      <c r="W113" s="18"/>
    </row>
    <row r="114" spans="1:23" x14ac:dyDescent="0.25">
      <c r="C114" s="121" t="s">
        <v>320</v>
      </c>
      <c r="D114" s="148" t="s">
        <v>321</v>
      </c>
      <c r="E114" s="43">
        <v>4267403.7422000002</v>
      </c>
      <c r="F114" s="43">
        <f>SUM(F115:F127)</f>
        <v>4267404</v>
      </c>
      <c r="G114" s="114">
        <f t="shared" si="31"/>
        <v>0.25779999978840351</v>
      </c>
      <c r="H114" s="20"/>
      <c r="I114" s="149">
        <f>SUM(I115:I127)</f>
        <v>4393404</v>
      </c>
      <c r="J114" s="114">
        <f t="shared" si="33"/>
        <v>126000</v>
      </c>
      <c r="K114" s="20"/>
      <c r="L114" s="149">
        <f>SUM(L115:L127)</f>
        <v>4477904</v>
      </c>
      <c r="M114" s="114">
        <f t="shared" si="34"/>
        <v>84500</v>
      </c>
      <c r="N114" s="20"/>
      <c r="O114" s="149">
        <f>SUM(O115:O128)</f>
        <v>4545904</v>
      </c>
      <c r="P114" s="114">
        <f t="shared" si="35"/>
        <v>68000</v>
      </c>
      <c r="Q114" s="20"/>
      <c r="R114" s="149">
        <f>SUM(R115:R128)</f>
        <v>2799669</v>
      </c>
      <c r="S114" s="114">
        <f t="shared" si="36"/>
        <v>-1746235</v>
      </c>
      <c r="T114" s="20"/>
      <c r="U114" s="149">
        <f>SUM(U115:U128)</f>
        <v>2647215</v>
      </c>
      <c r="V114" s="114">
        <f t="shared" si="37"/>
        <v>-152454</v>
      </c>
      <c r="W114" s="20"/>
    </row>
    <row r="115" spans="1:23" ht="30" x14ac:dyDescent="0.25">
      <c r="A115" s="131"/>
      <c r="B115" s="131"/>
      <c r="C115" s="139" t="s">
        <v>322</v>
      </c>
      <c r="D115" s="138" t="s">
        <v>245</v>
      </c>
      <c r="E115" s="17">
        <v>59922</v>
      </c>
      <c r="F115" s="17">
        <f t="shared" ref="F115:F126" si="46">ROUND(E115,0)</f>
        <v>59922</v>
      </c>
      <c r="G115" s="151">
        <f t="shared" si="31"/>
        <v>0</v>
      </c>
      <c r="H115" s="23"/>
      <c r="I115" s="110">
        <f t="shared" ref="I115:I126" si="47">ROUND(F115,0)</f>
        <v>59922</v>
      </c>
      <c r="J115" s="151">
        <f t="shared" si="33"/>
        <v>0</v>
      </c>
      <c r="K115" s="23"/>
      <c r="L115" s="110">
        <f t="shared" ref="L115:L126" si="48">ROUND(I115,0)</f>
        <v>59922</v>
      </c>
      <c r="M115" s="151">
        <f t="shared" si="34"/>
        <v>0</v>
      </c>
      <c r="N115" s="23"/>
      <c r="O115" s="110">
        <f t="shared" ref="O115:O124" si="49">ROUND(L115,0)</f>
        <v>59922</v>
      </c>
      <c r="P115" s="151">
        <f t="shared" si="35"/>
        <v>0</v>
      </c>
      <c r="Q115" s="23"/>
      <c r="R115" s="110">
        <f t="shared" ref="R115:R123" si="50">ROUND(O115,0)</f>
        <v>59922</v>
      </c>
      <c r="S115" s="151">
        <f t="shared" si="36"/>
        <v>0</v>
      </c>
      <c r="T115" s="23"/>
      <c r="U115" s="110">
        <f t="shared" ref="U115:U121" si="51">ROUND(R115,0)</f>
        <v>59922</v>
      </c>
      <c r="V115" s="151">
        <f t="shared" si="37"/>
        <v>0</v>
      </c>
      <c r="W115" s="23"/>
    </row>
    <row r="116" spans="1:23" x14ac:dyDescent="0.25">
      <c r="A116" s="131"/>
      <c r="B116" s="131"/>
      <c r="C116" s="139" t="s">
        <v>323</v>
      </c>
      <c r="D116" s="138" t="s">
        <v>247</v>
      </c>
      <c r="E116" s="17">
        <v>207089</v>
      </c>
      <c r="F116" s="17">
        <f t="shared" si="46"/>
        <v>207089</v>
      </c>
      <c r="G116" s="151">
        <f t="shared" si="31"/>
        <v>0</v>
      </c>
      <c r="H116" s="23"/>
      <c r="I116" s="110">
        <f t="shared" si="47"/>
        <v>207089</v>
      </c>
      <c r="J116" s="151">
        <f t="shared" si="33"/>
        <v>0</v>
      </c>
      <c r="K116" s="23"/>
      <c r="L116" s="110">
        <f t="shared" si="48"/>
        <v>207089</v>
      </c>
      <c r="M116" s="151">
        <f t="shared" si="34"/>
        <v>0</v>
      </c>
      <c r="N116" s="23"/>
      <c r="O116" s="110">
        <f t="shared" si="49"/>
        <v>207089</v>
      </c>
      <c r="P116" s="151">
        <f t="shared" si="35"/>
        <v>0</v>
      </c>
      <c r="Q116" s="23"/>
      <c r="R116" s="110">
        <f t="shared" si="50"/>
        <v>207089</v>
      </c>
      <c r="S116" s="151">
        <f t="shared" si="36"/>
        <v>0</v>
      </c>
      <c r="T116" s="23"/>
      <c r="U116" s="110">
        <f t="shared" si="51"/>
        <v>207089</v>
      </c>
      <c r="V116" s="151">
        <f t="shared" si="37"/>
        <v>0</v>
      </c>
      <c r="W116" s="23"/>
    </row>
    <row r="117" spans="1:23" ht="44.45" customHeight="1" x14ac:dyDescent="0.25">
      <c r="A117" s="131"/>
      <c r="B117" s="131"/>
      <c r="C117" s="139" t="s">
        <v>324</v>
      </c>
      <c r="D117" s="152" t="s">
        <v>260</v>
      </c>
      <c r="E117" s="17">
        <v>320141.35220000002</v>
      </c>
      <c r="F117" s="17">
        <f t="shared" si="46"/>
        <v>320141</v>
      </c>
      <c r="G117" s="151">
        <f t="shared" si="31"/>
        <v>-0.35220000002300367</v>
      </c>
      <c r="H117" s="23"/>
      <c r="I117" s="110">
        <f t="shared" si="47"/>
        <v>320141</v>
      </c>
      <c r="J117" s="151">
        <f t="shared" si="33"/>
        <v>0</v>
      </c>
      <c r="K117" s="23"/>
      <c r="L117" s="110">
        <f t="shared" si="48"/>
        <v>320141</v>
      </c>
      <c r="M117" s="151">
        <f t="shared" si="34"/>
        <v>0</v>
      </c>
      <c r="N117" s="23"/>
      <c r="O117" s="110">
        <f t="shared" si="49"/>
        <v>320141</v>
      </c>
      <c r="P117" s="151">
        <f t="shared" si="35"/>
        <v>0</v>
      </c>
      <c r="Q117" s="23"/>
      <c r="R117" s="110">
        <f t="shared" si="50"/>
        <v>320141</v>
      </c>
      <c r="S117" s="151">
        <f t="shared" si="36"/>
        <v>0</v>
      </c>
      <c r="T117" s="23"/>
      <c r="U117" s="110">
        <f>ROUND(R117,0)-152454</f>
        <v>167687</v>
      </c>
      <c r="V117" s="151">
        <f t="shared" si="37"/>
        <v>-152454</v>
      </c>
      <c r="W117" s="23" t="s">
        <v>325</v>
      </c>
    </row>
    <row r="118" spans="1:23" ht="30" x14ac:dyDescent="0.25">
      <c r="A118" s="131" t="s">
        <v>205</v>
      </c>
      <c r="B118" s="131" t="s">
        <v>326</v>
      </c>
      <c r="C118" s="139" t="s">
        <v>327</v>
      </c>
      <c r="D118" s="152" t="s">
        <v>328</v>
      </c>
      <c r="E118" s="17">
        <v>624704.49</v>
      </c>
      <c r="F118" s="17">
        <f t="shared" si="46"/>
        <v>624704</v>
      </c>
      <c r="G118" s="151">
        <f t="shared" si="31"/>
        <v>-0.48999999999068677</v>
      </c>
      <c r="H118" s="22"/>
      <c r="I118" s="110">
        <f t="shared" si="47"/>
        <v>624704</v>
      </c>
      <c r="J118" s="151">
        <f t="shared" si="33"/>
        <v>0</v>
      </c>
      <c r="K118" s="22"/>
      <c r="L118" s="110">
        <f t="shared" si="48"/>
        <v>624704</v>
      </c>
      <c r="M118" s="151">
        <f t="shared" si="34"/>
        <v>0</v>
      </c>
      <c r="N118" s="22"/>
      <c r="O118" s="110">
        <f t="shared" si="49"/>
        <v>624704</v>
      </c>
      <c r="P118" s="151">
        <f t="shared" si="35"/>
        <v>0</v>
      </c>
      <c r="Q118" s="22"/>
      <c r="R118" s="110">
        <f t="shared" si="50"/>
        <v>624704</v>
      </c>
      <c r="S118" s="151">
        <f t="shared" si="36"/>
        <v>0</v>
      </c>
      <c r="T118" s="22"/>
      <c r="U118" s="110">
        <f t="shared" si="51"/>
        <v>624704</v>
      </c>
      <c r="V118" s="151">
        <f t="shared" si="37"/>
        <v>0</v>
      </c>
      <c r="W118" s="22"/>
    </row>
    <row r="119" spans="1:23" ht="30" customHeight="1" x14ac:dyDescent="0.25">
      <c r="A119" s="131"/>
      <c r="B119" s="131"/>
      <c r="C119" s="139" t="s">
        <v>329</v>
      </c>
      <c r="D119" s="152" t="s">
        <v>210</v>
      </c>
      <c r="E119" s="17">
        <v>37334.9</v>
      </c>
      <c r="F119" s="17">
        <f t="shared" si="46"/>
        <v>37335</v>
      </c>
      <c r="G119" s="151">
        <f t="shared" si="31"/>
        <v>9.9999999998544808E-2</v>
      </c>
      <c r="H119" s="22"/>
      <c r="I119" s="110">
        <f t="shared" si="47"/>
        <v>37335</v>
      </c>
      <c r="J119" s="151">
        <f t="shared" si="33"/>
        <v>0</v>
      </c>
      <c r="K119" s="22"/>
      <c r="L119" s="110">
        <f t="shared" si="48"/>
        <v>37335</v>
      </c>
      <c r="M119" s="151">
        <f t="shared" si="34"/>
        <v>0</v>
      </c>
      <c r="N119" s="22"/>
      <c r="O119" s="110">
        <f t="shared" si="49"/>
        <v>37335</v>
      </c>
      <c r="P119" s="151">
        <f t="shared" si="35"/>
        <v>0</v>
      </c>
      <c r="Q119" s="22"/>
      <c r="R119" s="110">
        <f t="shared" si="50"/>
        <v>37335</v>
      </c>
      <c r="S119" s="151">
        <f t="shared" si="36"/>
        <v>0</v>
      </c>
      <c r="T119" s="22"/>
      <c r="U119" s="110">
        <f t="shared" si="51"/>
        <v>37335</v>
      </c>
      <c r="V119" s="151">
        <f t="shared" si="37"/>
        <v>0</v>
      </c>
      <c r="W119" s="22"/>
    </row>
    <row r="120" spans="1:23" x14ac:dyDescent="0.25">
      <c r="B120" s="131"/>
      <c r="C120" s="139" t="s">
        <v>330</v>
      </c>
      <c r="D120" s="152" t="s">
        <v>331</v>
      </c>
      <c r="E120" s="44">
        <v>582946</v>
      </c>
      <c r="F120" s="44">
        <f t="shared" si="46"/>
        <v>582946</v>
      </c>
      <c r="G120" s="153">
        <f t="shared" si="31"/>
        <v>0</v>
      </c>
      <c r="H120" s="45"/>
      <c r="I120" s="150">
        <f>ROUND(F120,0)</f>
        <v>582946</v>
      </c>
      <c r="J120" s="153">
        <f t="shared" si="33"/>
        <v>0</v>
      </c>
      <c r="K120" s="23"/>
      <c r="L120" s="150">
        <f t="shared" si="48"/>
        <v>582946</v>
      </c>
      <c r="M120" s="153">
        <f t="shared" si="34"/>
        <v>0</v>
      </c>
      <c r="N120" s="23"/>
      <c r="O120" s="150">
        <f t="shared" si="49"/>
        <v>582946</v>
      </c>
      <c r="P120" s="153">
        <f t="shared" si="35"/>
        <v>0</v>
      </c>
      <c r="Q120" s="23"/>
      <c r="R120" s="150">
        <f t="shared" si="50"/>
        <v>582946</v>
      </c>
      <c r="S120" s="153">
        <f t="shared" si="36"/>
        <v>0</v>
      </c>
      <c r="T120" s="23"/>
      <c r="U120" s="150">
        <f t="shared" si="51"/>
        <v>582946</v>
      </c>
      <c r="V120" s="153">
        <f t="shared" si="37"/>
        <v>0</v>
      </c>
      <c r="W120" s="23"/>
    </row>
    <row r="121" spans="1:23" ht="45" customHeight="1" x14ac:dyDescent="0.25">
      <c r="B121" s="131"/>
      <c r="C121" s="139" t="s">
        <v>332</v>
      </c>
      <c r="D121" s="154" t="s">
        <v>333</v>
      </c>
      <c r="E121" s="46">
        <v>390000</v>
      </c>
      <c r="F121" s="44">
        <f t="shared" si="46"/>
        <v>390000</v>
      </c>
      <c r="G121" s="153">
        <f t="shared" si="31"/>
        <v>0</v>
      </c>
      <c r="H121" s="45"/>
      <c r="I121" s="150">
        <f t="shared" si="47"/>
        <v>390000</v>
      </c>
      <c r="J121" s="153">
        <f t="shared" si="33"/>
        <v>0</v>
      </c>
      <c r="K121" s="23"/>
      <c r="L121" s="150">
        <f t="shared" si="48"/>
        <v>390000</v>
      </c>
      <c r="M121" s="153">
        <f t="shared" si="34"/>
        <v>0</v>
      </c>
      <c r="N121" s="22"/>
      <c r="O121" s="150">
        <f t="shared" si="49"/>
        <v>390000</v>
      </c>
      <c r="P121" s="153">
        <f t="shared" si="35"/>
        <v>0</v>
      </c>
      <c r="Q121" s="22"/>
      <c r="R121" s="150">
        <f t="shared" si="50"/>
        <v>390000</v>
      </c>
      <c r="S121" s="153">
        <f t="shared" si="36"/>
        <v>0</v>
      </c>
      <c r="T121" s="22"/>
      <c r="U121" s="150">
        <f t="shared" si="51"/>
        <v>390000</v>
      </c>
      <c r="V121" s="153">
        <f t="shared" si="37"/>
        <v>0</v>
      </c>
      <c r="W121" s="22"/>
    </row>
    <row r="122" spans="1:23" ht="16.149999999999999" customHeight="1" x14ac:dyDescent="0.25">
      <c r="B122" s="131"/>
      <c r="C122" s="139" t="s">
        <v>334</v>
      </c>
      <c r="D122" s="155" t="s">
        <v>335</v>
      </c>
      <c r="E122" s="47">
        <v>645000</v>
      </c>
      <c r="F122" s="44">
        <f t="shared" si="46"/>
        <v>645000</v>
      </c>
      <c r="G122" s="153">
        <f t="shared" si="31"/>
        <v>0</v>
      </c>
      <c r="H122" s="45"/>
      <c r="I122" s="150">
        <f t="shared" si="47"/>
        <v>645000</v>
      </c>
      <c r="J122" s="153">
        <f t="shared" si="33"/>
        <v>0</v>
      </c>
      <c r="K122" s="23"/>
      <c r="L122" s="150">
        <f t="shared" si="48"/>
        <v>645000</v>
      </c>
      <c r="M122" s="153">
        <f t="shared" si="34"/>
        <v>0</v>
      </c>
      <c r="N122" s="22"/>
      <c r="O122" s="150">
        <f t="shared" si="49"/>
        <v>645000</v>
      </c>
      <c r="P122" s="153">
        <f t="shared" si="35"/>
        <v>0</v>
      </c>
      <c r="Q122" s="22"/>
      <c r="R122" s="150">
        <f>ROUND(O122,0)-645000</f>
        <v>0</v>
      </c>
      <c r="S122" s="153">
        <f t="shared" si="36"/>
        <v>-645000</v>
      </c>
      <c r="T122" s="22" t="s">
        <v>336</v>
      </c>
      <c r="U122" s="150">
        <f>ROUND(R122,0)</f>
        <v>0</v>
      </c>
      <c r="V122" s="153">
        <f t="shared" si="37"/>
        <v>0</v>
      </c>
      <c r="W122" s="22"/>
    </row>
    <row r="123" spans="1:23" ht="16.149999999999999" customHeight="1" x14ac:dyDescent="0.25">
      <c r="B123" s="131" t="s">
        <v>250</v>
      </c>
      <c r="C123" s="139" t="s">
        <v>337</v>
      </c>
      <c r="D123" s="155" t="s">
        <v>252</v>
      </c>
      <c r="E123" s="48">
        <v>164032</v>
      </c>
      <c r="F123" s="44">
        <f t="shared" si="46"/>
        <v>164032</v>
      </c>
      <c r="G123" s="153">
        <f t="shared" si="31"/>
        <v>0</v>
      </c>
      <c r="H123" s="45"/>
      <c r="I123" s="150">
        <f t="shared" si="47"/>
        <v>164032</v>
      </c>
      <c r="J123" s="153">
        <f t="shared" si="33"/>
        <v>0</v>
      </c>
      <c r="K123" s="23"/>
      <c r="L123" s="150">
        <f t="shared" si="48"/>
        <v>164032</v>
      </c>
      <c r="M123" s="153">
        <f t="shared" si="34"/>
        <v>0</v>
      </c>
      <c r="N123" s="22"/>
      <c r="O123" s="150">
        <f t="shared" si="49"/>
        <v>164032</v>
      </c>
      <c r="P123" s="153">
        <f t="shared" si="35"/>
        <v>0</v>
      </c>
      <c r="Q123" s="22"/>
      <c r="R123" s="150">
        <f t="shared" si="50"/>
        <v>164032</v>
      </c>
      <c r="S123" s="153">
        <f t="shared" si="36"/>
        <v>0</v>
      </c>
      <c r="T123" s="22"/>
      <c r="U123" s="150">
        <f t="shared" ref="U123" si="52">ROUND(R123,0)</f>
        <v>164032</v>
      </c>
      <c r="V123" s="153">
        <f t="shared" si="37"/>
        <v>0</v>
      </c>
      <c r="W123" s="22"/>
    </row>
    <row r="124" spans="1:23" ht="27" customHeight="1" x14ac:dyDescent="0.25">
      <c r="B124" s="131"/>
      <c r="C124" s="139" t="s">
        <v>338</v>
      </c>
      <c r="D124" s="155" t="s">
        <v>254</v>
      </c>
      <c r="E124" s="48">
        <v>907235</v>
      </c>
      <c r="F124" s="44">
        <f t="shared" si="46"/>
        <v>907235</v>
      </c>
      <c r="G124" s="153">
        <f t="shared" si="31"/>
        <v>0</v>
      </c>
      <c r="H124" s="45"/>
      <c r="I124" s="150">
        <f t="shared" si="47"/>
        <v>907235</v>
      </c>
      <c r="J124" s="153">
        <f t="shared" si="33"/>
        <v>0</v>
      </c>
      <c r="K124" s="23"/>
      <c r="L124" s="150">
        <f t="shared" si="48"/>
        <v>907235</v>
      </c>
      <c r="M124" s="153">
        <f t="shared" si="34"/>
        <v>0</v>
      </c>
      <c r="N124" s="49"/>
      <c r="O124" s="150">
        <f t="shared" si="49"/>
        <v>907235</v>
      </c>
      <c r="P124" s="153">
        <f t="shared" si="35"/>
        <v>0</v>
      </c>
      <c r="Q124" s="22"/>
      <c r="R124" s="150">
        <f>ROUND(O124,0)-907235</f>
        <v>0</v>
      </c>
      <c r="S124" s="153">
        <f t="shared" si="36"/>
        <v>-907235</v>
      </c>
      <c r="T124" s="23" t="s">
        <v>255</v>
      </c>
      <c r="U124" s="150">
        <f>ROUND(R124,0)</f>
        <v>0</v>
      </c>
      <c r="V124" s="153">
        <f t="shared" si="37"/>
        <v>0</v>
      </c>
      <c r="W124" s="23"/>
    </row>
    <row r="125" spans="1:23" ht="27.6" customHeight="1" x14ac:dyDescent="0.25">
      <c r="B125" s="131"/>
      <c r="C125" s="156" t="s">
        <v>339</v>
      </c>
      <c r="D125" s="157" t="s">
        <v>340</v>
      </c>
      <c r="E125" s="48">
        <v>203000</v>
      </c>
      <c r="F125" s="44">
        <f t="shared" si="46"/>
        <v>203000</v>
      </c>
      <c r="G125" s="153">
        <f t="shared" si="31"/>
        <v>0</v>
      </c>
      <c r="H125" s="45"/>
      <c r="I125" s="150">
        <f t="shared" si="47"/>
        <v>203000</v>
      </c>
      <c r="J125" s="153">
        <f t="shared" si="33"/>
        <v>0</v>
      </c>
      <c r="K125" s="23"/>
      <c r="L125" s="150">
        <f>ROUND(I125,0)+84500</f>
        <v>287500</v>
      </c>
      <c r="M125" s="153">
        <f t="shared" si="34"/>
        <v>84500</v>
      </c>
      <c r="N125" s="50" t="s">
        <v>341</v>
      </c>
      <c r="O125" s="150">
        <f>ROUND(L125,0)</f>
        <v>287500</v>
      </c>
      <c r="P125" s="153">
        <f t="shared" si="35"/>
        <v>0</v>
      </c>
      <c r="Q125" s="22"/>
      <c r="R125" s="150">
        <f>ROUND(O125,0)</f>
        <v>287500</v>
      </c>
      <c r="S125" s="153">
        <f t="shared" si="36"/>
        <v>0</v>
      </c>
      <c r="T125" s="22"/>
      <c r="U125" s="150">
        <f>ROUND(R125,0)</f>
        <v>287500</v>
      </c>
      <c r="V125" s="153">
        <f t="shared" si="37"/>
        <v>0</v>
      </c>
      <c r="W125" s="22"/>
    </row>
    <row r="126" spans="1:23" ht="42" customHeight="1" x14ac:dyDescent="0.25">
      <c r="B126" s="131"/>
      <c r="C126" s="139" t="s">
        <v>342</v>
      </c>
      <c r="D126" s="158" t="s">
        <v>343</v>
      </c>
      <c r="E126" s="44">
        <v>126000</v>
      </c>
      <c r="F126" s="44">
        <f t="shared" si="46"/>
        <v>126000</v>
      </c>
      <c r="G126" s="153">
        <f t="shared" si="31"/>
        <v>0</v>
      </c>
      <c r="H126" s="45"/>
      <c r="I126" s="150">
        <f t="shared" si="47"/>
        <v>126000</v>
      </c>
      <c r="J126" s="153">
        <f t="shared" si="33"/>
        <v>0</v>
      </c>
      <c r="K126" s="23"/>
      <c r="L126" s="150">
        <f t="shared" si="48"/>
        <v>126000</v>
      </c>
      <c r="M126" s="153">
        <f t="shared" si="34"/>
        <v>0</v>
      </c>
      <c r="N126" s="18"/>
      <c r="O126" s="150">
        <f>ROUND(L126,0)</f>
        <v>126000</v>
      </c>
      <c r="P126" s="153">
        <f t="shared" si="35"/>
        <v>0</v>
      </c>
      <c r="Q126" s="22"/>
      <c r="R126" s="150">
        <f>ROUND(O126,0)-126000</f>
        <v>0</v>
      </c>
      <c r="S126" s="153">
        <f t="shared" si="36"/>
        <v>-126000</v>
      </c>
      <c r="T126" s="23" t="s">
        <v>344</v>
      </c>
      <c r="U126" s="150">
        <f>ROUND(R126,0)</f>
        <v>0</v>
      </c>
      <c r="V126" s="153">
        <f t="shared" si="37"/>
        <v>0</v>
      </c>
      <c r="W126" s="23"/>
    </row>
    <row r="127" spans="1:23" ht="15" customHeight="1" x14ac:dyDescent="0.25">
      <c r="B127" s="131"/>
      <c r="C127" s="139" t="s">
        <v>345</v>
      </c>
      <c r="D127" s="155" t="s">
        <v>346</v>
      </c>
      <c r="E127" s="48">
        <v>0</v>
      </c>
      <c r="F127" s="44">
        <f>ROUND(E127,0)</f>
        <v>0</v>
      </c>
      <c r="G127" s="110">
        <f>F127-E127</f>
        <v>0</v>
      </c>
      <c r="H127" s="51"/>
      <c r="I127" s="150">
        <f>ROUND(F127,0)+126000</f>
        <v>126000</v>
      </c>
      <c r="J127" s="110">
        <f>I127-F127</f>
        <v>126000</v>
      </c>
      <c r="K127" s="23" t="s">
        <v>347</v>
      </c>
      <c r="L127" s="150">
        <f>ROUND(I127,0)</f>
        <v>126000</v>
      </c>
      <c r="M127" s="110">
        <f t="shared" si="34"/>
        <v>0</v>
      </c>
      <c r="N127" s="49"/>
      <c r="O127" s="150">
        <f>ROUND(L127,0)</f>
        <v>126000</v>
      </c>
      <c r="P127" s="159">
        <f t="shared" si="35"/>
        <v>0</v>
      </c>
      <c r="Q127" s="22"/>
      <c r="R127" s="150">
        <f>ROUND(O127,0)</f>
        <v>126000</v>
      </c>
      <c r="S127" s="159">
        <f t="shared" si="36"/>
        <v>0</v>
      </c>
      <c r="T127" s="22"/>
      <c r="U127" s="150">
        <f>ROUND(R127,0)</f>
        <v>126000</v>
      </c>
      <c r="V127" s="159">
        <f t="shared" si="37"/>
        <v>0</v>
      </c>
      <c r="W127" s="22"/>
    </row>
    <row r="128" spans="1:23" ht="13.15" customHeight="1" thickBot="1" x14ac:dyDescent="0.3">
      <c r="B128" s="131"/>
      <c r="C128" s="160" t="s">
        <v>348</v>
      </c>
      <c r="D128" s="161" t="s">
        <v>349</v>
      </c>
      <c r="E128" s="52"/>
      <c r="F128" s="53"/>
      <c r="G128" s="162"/>
      <c r="H128" s="54"/>
      <c r="I128" s="163"/>
      <c r="J128" s="162"/>
      <c r="K128" s="55"/>
      <c r="L128" s="163"/>
      <c r="M128" s="162"/>
      <c r="N128" s="56"/>
      <c r="O128" s="163">
        <v>68000</v>
      </c>
      <c r="P128" s="164">
        <f t="shared" si="35"/>
        <v>68000</v>
      </c>
      <c r="Q128" s="57" t="s">
        <v>350</v>
      </c>
      <c r="R128" s="163">
        <f>68000-68000</f>
        <v>0</v>
      </c>
      <c r="S128" s="164">
        <f t="shared" si="36"/>
        <v>-68000</v>
      </c>
      <c r="T128" s="57" t="s">
        <v>351</v>
      </c>
      <c r="U128" s="163">
        <f>68000-68000</f>
        <v>0</v>
      </c>
      <c r="V128" s="164">
        <f t="shared" si="37"/>
        <v>0</v>
      </c>
      <c r="W128" s="57"/>
    </row>
    <row r="129" spans="2:23" ht="15.75" thickBot="1" x14ac:dyDescent="0.3">
      <c r="C129" s="165"/>
      <c r="D129" s="166" t="s">
        <v>352</v>
      </c>
      <c r="E129" s="41">
        <v>58162296.232200004</v>
      </c>
      <c r="F129" s="41">
        <f t="shared" ref="F129" si="53">F110+F111+F114</f>
        <v>58220652</v>
      </c>
      <c r="G129" s="147">
        <f t="shared" si="31"/>
        <v>58355.76779999584</v>
      </c>
      <c r="H129" s="58"/>
      <c r="I129" s="147">
        <f>I110+I111+I114</f>
        <v>58714633</v>
      </c>
      <c r="J129" s="147">
        <f t="shared" si="33"/>
        <v>493981</v>
      </c>
      <c r="K129" s="58"/>
      <c r="L129" s="147">
        <f>L110+L111+L114</f>
        <v>58875584</v>
      </c>
      <c r="M129" s="147">
        <f t="shared" si="34"/>
        <v>160951</v>
      </c>
      <c r="N129" s="58"/>
      <c r="O129" s="147">
        <f>O110+O111+O114</f>
        <v>58993584</v>
      </c>
      <c r="P129" s="147">
        <f t="shared" si="35"/>
        <v>118000</v>
      </c>
      <c r="Q129" s="58"/>
      <c r="R129" s="147">
        <f>R110+R111+R114</f>
        <v>57489795</v>
      </c>
      <c r="S129" s="147">
        <f t="shared" si="36"/>
        <v>-1503789</v>
      </c>
      <c r="T129" s="58"/>
      <c r="U129" s="147">
        <f>U110+U111+U114</f>
        <v>58626708.829999998</v>
      </c>
      <c r="V129" s="147">
        <f t="shared" si="37"/>
        <v>1136913.8299999982</v>
      </c>
      <c r="W129" s="58"/>
    </row>
    <row r="131" spans="2:23" x14ac:dyDescent="0.25">
      <c r="G131" s="97"/>
      <c r="I131" s="97"/>
      <c r="J131" s="97"/>
      <c r="L131" s="97"/>
      <c r="M131" s="97"/>
      <c r="O131" s="97"/>
      <c r="P131" s="97"/>
      <c r="R131" s="97"/>
      <c r="S131" s="97"/>
      <c r="U131" s="97"/>
      <c r="V131" s="97"/>
    </row>
    <row r="132" spans="2:23" ht="20.25" x14ac:dyDescent="0.3">
      <c r="C132" s="346" t="s">
        <v>353</v>
      </c>
      <c r="D132" s="346"/>
      <c r="G132" s="97"/>
      <c r="I132" s="97"/>
      <c r="J132" s="97"/>
      <c r="L132" s="97"/>
      <c r="M132" s="97"/>
      <c r="O132" s="97"/>
      <c r="P132" s="97"/>
      <c r="R132" s="97"/>
      <c r="S132" s="97"/>
      <c r="U132" s="97"/>
      <c r="V132" s="97"/>
    </row>
    <row r="133" spans="2:23" ht="15.75" thickBot="1" x14ac:dyDescent="0.3">
      <c r="C133" s="347"/>
      <c r="D133" s="347"/>
      <c r="G133" s="59"/>
      <c r="I133" s="59"/>
      <c r="J133" s="59"/>
      <c r="L133" s="59"/>
      <c r="M133" s="59"/>
      <c r="O133" s="59"/>
      <c r="P133" s="59"/>
      <c r="R133" s="59"/>
      <c r="S133" s="59"/>
      <c r="U133" s="59"/>
      <c r="V133" s="59"/>
    </row>
    <row r="134" spans="2:23" ht="57" customHeight="1" outlineLevel="1" thickBot="1" x14ac:dyDescent="0.3">
      <c r="C134" s="99" t="s">
        <v>3</v>
      </c>
      <c r="D134" s="100" t="s">
        <v>4</v>
      </c>
      <c r="E134" s="11" t="s">
        <v>6</v>
      </c>
      <c r="F134" s="11" t="s">
        <v>7</v>
      </c>
      <c r="G134" s="10" t="s">
        <v>8</v>
      </c>
      <c r="H134" s="12" t="s">
        <v>354</v>
      </c>
      <c r="I134" s="10" t="s">
        <v>10</v>
      </c>
      <c r="J134" s="10" t="s">
        <v>11</v>
      </c>
      <c r="K134" s="12" t="s">
        <v>354</v>
      </c>
      <c r="L134" s="10" t="s">
        <v>12</v>
      </c>
      <c r="M134" s="10" t="s">
        <v>13</v>
      </c>
      <c r="N134" s="12" t="s">
        <v>354</v>
      </c>
      <c r="O134" s="10" t="s">
        <v>14</v>
      </c>
      <c r="P134" s="10" t="s">
        <v>15</v>
      </c>
      <c r="Q134" s="12" t="s">
        <v>354</v>
      </c>
      <c r="R134" s="10" t="s">
        <v>14</v>
      </c>
      <c r="S134" s="10" t="s">
        <v>15</v>
      </c>
      <c r="T134" s="12" t="s">
        <v>354</v>
      </c>
      <c r="U134" s="10" t="s">
        <v>14</v>
      </c>
      <c r="V134" s="10" t="s">
        <v>15</v>
      </c>
      <c r="W134" s="12" t="s">
        <v>354</v>
      </c>
    </row>
    <row r="135" spans="2:23" x14ac:dyDescent="0.25">
      <c r="C135" s="169" t="s">
        <v>23</v>
      </c>
      <c r="D135" s="170" t="s">
        <v>355</v>
      </c>
      <c r="E135" s="60">
        <v>8245497.4604350002</v>
      </c>
      <c r="F135" s="60">
        <f t="shared" ref="F135" si="54">SUM(F136:F144)</f>
        <v>8245497</v>
      </c>
      <c r="G135" s="171">
        <f t="shared" ref="G135:G198" si="55">F135-E135</f>
        <v>-0.46043500024825335</v>
      </c>
      <c r="H135" s="61"/>
      <c r="I135" s="171">
        <f>SUM(I136:I144)</f>
        <v>8253567</v>
      </c>
      <c r="J135" s="171">
        <f t="shared" ref="J135:J200" si="56">I135-F135</f>
        <v>8070</v>
      </c>
      <c r="K135" s="61"/>
      <c r="L135" s="171">
        <f>SUM(L136:L144)</f>
        <v>8253567</v>
      </c>
      <c r="M135" s="171">
        <f t="shared" ref="M135:M200" si="57">L135-I135</f>
        <v>0</v>
      </c>
      <c r="N135" s="61"/>
      <c r="O135" s="171">
        <f>SUM(O136:O144)</f>
        <v>8293568</v>
      </c>
      <c r="P135" s="171">
        <f t="shared" ref="P135:P200" si="58">O135-L135</f>
        <v>40001</v>
      </c>
      <c r="Q135" s="61"/>
      <c r="R135" s="171">
        <f>SUM(R136:R144)</f>
        <v>8440403</v>
      </c>
      <c r="S135" s="171">
        <f t="shared" ref="S135:S200" si="59">R135-O135</f>
        <v>146835</v>
      </c>
      <c r="T135" s="61"/>
      <c r="U135" s="171">
        <f>SUM(U136:U144)</f>
        <v>8545433</v>
      </c>
      <c r="V135" s="171">
        <f t="shared" ref="V135:V200" si="60">U135-R135</f>
        <v>105030</v>
      </c>
      <c r="W135" s="61"/>
    </row>
    <row r="136" spans="2:23" ht="31.5" customHeight="1" x14ac:dyDescent="0.25">
      <c r="B136" s="131" t="s">
        <v>356</v>
      </c>
      <c r="C136" s="172" t="s">
        <v>27</v>
      </c>
      <c r="D136" s="173" t="s">
        <v>357</v>
      </c>
      <c r="E136" s="34">
        <v>1904696</v>
      </c>
      <c r="F136" s="34">
        <f>ROUND(E136,0)</f>
        <v>1904696</v>
      </c>
      <c r="G136" s="124">
        <f t="shared" si="55"/>
        <v>0</v>
      </c>
      <c r="H136" s="35"/>
      <c r="I136" s="124">
        <f>ROUND(F136,0)-16038</f>
        <v>1888658</v>
      </c>
      <c r="J136" s="174">
        <f t="shared" si="56"/>
        <v>-16038</v>
      </c>
      <c r="K136" s="62" t="s">
        <v>358</v>
      </c>
      <c r="L136" s="124">
        <f t="shared" ref="L136:L147" si="61">ROUND(I136,0)</f>
        <v>1888658</v>
      </c>
      <c r="M136" s="124">
        <f t="shared" si="57"/>
        <v>0</v>
      </c>
      <c r="N136" s="35"/>
      <c r="O136" s="124">
        <f t="shared" ref="O136:O147" si="62">ROUND(L136,0)</f>
        <v>1888658</v>
      </c>
      <c r="P136" s="124">
        <f t="shared" si="58"/>
        <v>0</v>
      </c>
      <c r="Q136" s="35"/>
      <c r="R136" s="124">
        <f t="shared" ref="R136:R141" si="63">ROUND(O136,0)</f>
        <v>1888658</v>
      </c>
      <c r="S136" s="124">
        <f t="shared" si="59"/>
        <v>0</v>
      </c>
      <c r="T136" s="35"/>
      <c r="U136" s="124">
        <f t="shared" ref="U136:U147" si="64">ROUND(R136,0)</f>
        <v>1888658</v>
      </c>
      <c r="V136" s="124">
        <f t="shared" si="60"/>
        <v>0</v>
      </c>
      <c r="W136" s="35"/>
    </row>
    <row r="137" spans="2:23" x14ac:dyDescent="0.25">
      <c r="B137" s="131" t="s">
        <v>359</v>
      </c>
      <c r="C137" s="172" t="s">
        <v>31</v>
      </c>
      <c r="D137" s="173" t="s">
        <v>360</v>
      </c>
      <c r="E137" s="34">
        <v>355819</v>
      </c>
      <c r="F137" s="34">
        <f t="shared" ref="F137:F146" si="65">ROUND(E137,0)</f>
        <v>355819</v>
      </c>
      <c r="G137" s="124">
        <f t="shared" si="55"/>
        <v>0</v>
      </c>
      <c r="H137" s="63"/>
      <c r="I137" s="124">
        <f t="shared" ref="I137:I142" si="66">ROUND(F137,0)</f>
        <v>355819</v>
      </c>
      <c r="J137" s="124">
        <f t="shared" si="56"/>
        <v>0</v>
      </c>
      <c r="K137" s="63"/>
      <c r="L137" s="124">
        <f t="shared" si="61"/>
        <v>355819</v>
      </c>
      <c r="M137" s="124">
        <f t="shared" si="57"/>
        <v>0</v>
      </c>
      <c r="N137" s="63"/>
      <c r="O137" s="124">
        <f t="shared" si="62"/>
        <v>355819</v>
      </c>
      <c r="P137" s="124">
        <f t="shared" si="58"/>
        <v>0</v>
      </c>
      <c r="Q137" s="63"/>
      <c r="R137" s="124">
        <f t="shared" si="63"/>
        <v>355819</v>
      </c>
      <c r="S137" s="124">
        <f t="shared" si="59"/>
        <v>0</v>
      </c>
      <c r="T137" s="63"/>
      <c r="U137" s="124">
        <f t="shared" si="64"/>
        <v>355819</v>
      </c>
      <c r="V137" s="124">
        <f t="shared" si="60"/>
        <v>0</v>
      </c>
      <c r="W137" s="63"/>
    </row>
    <row r="138" spans="2:23" ht="13.15" customHeight="1" x14ac:dyDescent="0.25">
      <c r="B138" s="131" t="s">
        <v>361</v>
      </c>
      <c r="C138" s="172" t="s">
        <v>362</v>
      </c>
      <c r="D138" s="173" t="s">
        <v>363</v>
      </c>
      <c r="E138" s="34">
        <v>58895</v>
      </c>
      <c r="F138" s="34">
        <f>ROUND(E138,0)</f>
        <v>58895</v>
      </c>
      <c r="G138" s="124">
        <f t="shared" si="55"/>
        <v>0</v>
      </c>
      <c r="H138" s="35"/>
      <c r="I138" s="124">
        <f t="shared" si="66"/>
        <v>58895</v>
      </c>
      <c r="J138" s="124">
        <f t="shared" si="56"/>
        <v>0</v>
      </c>
      <c r="K138" s="35"/>
      <c r="L138" s="124">
        <f t="shared" si="61"/>
        <v>58895</v>
      </c>
      <c r="M138" s="124">
        <f t="shared" si="57"/>
        <v>0</v>
      </c>
      <c r="N138" s="35"/>
      <c r="O138" s="124">
        <f t="shared" si="62"/>
        <v>58895</v>
      </c>
      <c r="P138" s="124">
        <f t="shared" si="58"/>
        <v>0</v>
      </c>
      <c r="Q138" s="35"/>
      <c r="R138" s="124">
        <f t="shared" si="63"/>
        <v>58895</v>
      </c>
      <c r="S138" s="124">
        <f t="shared" si="59"/>
        <v>0</v>
      </c>
      <c r="T138" s="35"/>
      <c r="U138" s="124">
        <f t="shared" si="64"/>
        <v>58895</v>
      </c>
      <c r="V138" s="124">
        <f t="shared" si="60"/>
        <v>0</v>
      </c>
      <c r="W138" s="35"/>
    </row>
    <row r="139" spans="2:23" ht="14.45" customHeight="1" x14ac:dyDescent="0.25">
      <c r="B139" s="131" t="s">
        <v>364</v>
      </c>
      <c r="C139" s="172" t="s">
        <v>365</v>
      </c>
      <c r="D139" s="173" t="s">
        <v>366</v>
      </c>
      <c r="E139" s="34">
        <v>50294</v>
      </c>
      <c r="F139" s="34">
        <f t="shared" si="65"/>
        <v>50294</v>
      </c>
      <c r="G139" s="124">
        <f t="shared" si="55"/>
        <v>0</v>
      </c>
      <c r="H139" s="35"/>
      <c r="I139" s="124">
        <f t="shared" si="66"/>
        <v>50294</v>
      </c>
      <c r="J139" s="124">
        <f t="shared" si="56"/>
        <v>0</v>
      </c>
      <c r="K139" s="35"/>
      <c r="L139" s="124">
        <f t="shared" si="61"/>
        <v>50294</v>
      </c>
      <c r="M139" s="124">
        <f t="shared" si="57"/>
        <v>0</v>
      </c>
      <c r="N139" s="35"/>
      <c r="O139" s="124">
        <f t="shared" si="62"/>
        <v>50294</v>
      </c>
      <c r="P139" s="124">
        <f t="shared" si="58"/>
        <v>0</v>
      </c>
      <c r="Q139" s="35"/>
      <c r="R139" s="124">
        <f t="shared" si="63"/>
        <v>50294</v>
      </c>
      <c r="S139" s="124">
        <f t="shared" si="59"/>
        <v>0</v>
      </c>
      <c r="T139" s="35"/>
      <c r="U139" s="124">
        <f t="shared" si="64"/>
        <v>50294</v>
      </c>
      <c r="V139" s="124">
        <f t="shared" si="60"/>
        <v>0</v>
      </c>
      <c r="W139" s="35"/>
    </row>
    <row r="140" spans="2:23" ht="18" customHeight="1" x14ac:dyDescent="0.25">
      <c r="B140" s="131" t="s">
        <v>367</v>
      </c>
      <c r="C140" s="172" t="s">
        <v>368</v>
      </c>
      <c r="D140" s="173" t="s">
        <v>369</v>
      </c>
      <c r="E140" s="34">
        <v>6588</v>
      </c>
      <c r="F140" s="34">
        <f t="shared" si="65"/>
        <v>6588</v>
      </c>
      <c r="G140" s="124">
        <f t="shared" si="55"/>
        <v>0</v>
      </c>
      <c r="H140" s="63"/>
      <c r="I140" s="124">
        <f t="shared" si="66"/>
        <v>6588</v>
      </c>
      <c r="J140" s="124">
        <f t="shared" si="56"/>
        <v>0</v>
      </c>
      <c r="K140" s="63"/>
      <c r="L140" s="124">
        <f t="shared" si="61"/>
        <v>6588</v>
      </c>
      <c r="M140" s="124">
        <f t="shared" si="57"/>
        <v>0</v>
      </c>
      <c r="N140" s="63"/>
      <c r="O140" s="124">
        <f t="shared" si="62"/>
        <v>6588</v>
      </c>
      <c r="P140" s="124">
        <f t="shared" si="58"/>
        <v>0</v>
      </c>
      <c r="Q140" s="63"/>
      <c r="R140" s="124">
        <f t="shared" si="63"/>
        <v>6588</v>
      </c>
      <c r="S140" s="124">
        <f t="shared" si="59"/>
        <v>0</v>
      </c>
      <c r="T140" s="63"/>
      <c r="U140" s="124">
        <f t="shared" si="64"/>
        <v>6588</v>
      </c>
      <c r="V140" s="124">
        <f t="shared" si="60"/>
        <v>0</v>
      </c>
      <c r="W140" s="63"/>
    </row>
    <row r="141" spans="2:23" ht="29.45" customHeight="1" x14ac:dyDescent="0.25">
      <c r="B141" s="131" t="s">
        <v>370</v>
      </c>
      <c r="C141" s="172" t="s">
        <v>371</v>
      </c>
      <c r="D141" s="173" t="s">
        <v>372</v>
      </c>
      <c r="E141" s="34">
        <v>71620</v>
      </c>
      <c r="F141" s="34">
        <f t="shared" si="65"/>
        <v>71620</v>
      </c>
      <c r="G141" s="124">
        <f t="shared" si="55"/>
        <v>0</v>
      </c>
      <c r="H141" s="63"/>
      <c r="I141" s="124">
        <f>ROUND(F141,0)-2000</f>
        <v>69620</v>
      </c>
      <c r="J141" s="124">
        <f t="shared" si="56"/>
        <v>-2000</v>
      </c>
      <c r="K141" s="63" t="s">
        <v>373</v>
      </c>
      <c r="L141" s="124">
        <f t="shared" si="61"/>
        <v>69620</v>
      </c>
      <c r="M141" s="124">
        <f t="shared" si="57"/>
        <v>0</v>
      </c>
      <c r="N141" s="63"/>
      <c r="O141" s="124">
        <f t="shared" si="62"/>
        <v>69620</v>
      </c>
      <c r="P141" s="124">
        <f t="shared" si="58"/>
        <v>0</v>
      </c>
      <c r="Q141" s="63"/>
      <c r="R141" s="124">
        <f t="shared" si="63"/>
        <v>69620</v>
      </c>
      <c r="S141" s="124">
        <f t="shared" si="59"/>
        <v>0</v>
      </c>
      <c r="T141" s="63"/>
      <c r="U141" s="124">
        <f t="shared" si="64"/>
        <v>69620</v>
      </c>
      <c r="V141" s="124">
        <f t="shared" si="60"/>
        <v>0</v>
      </c>
      <c r="W141" s="63"/>
    </row>
    <row r="142" spans="2:23" ht="29.45" customHeight="1" x14ac:dyDescent="0.25">
      <c r="B142" s="131" t="s">
        <v>356</v>
      </c>
      <c r="C142" s="172" t="s">
        <v>374</v>
      </c>
      <c r="D142" s="173" t="s">
        <v>375</v>
      </c>
      <c r="E142" s="34">
        <v>1047339</v>
      </c>
      <c r="F142" s="34">
        <f t="shared" si="65"/>
        <v>1047339</v>
      </c>
      <c r="G142" s="124">
        <f t="shared" si="55"/>
        <v>0</v>
      </c>
      <c r="H142" s="35"/>
      <c r="I142" s="124">
        <f t="shared" si="66"/>
        <v>1047339</v>
      </c>
      <c r="J142" s="124">
        <f t="shared" si="56"/>
        <v>0</v>
      </c>
      <c r="K142" s="35"/>
      <c r="L142" s="124">
        <f t="shared" si="61"/>
        <v>1047339</v>
      </c>
      <c r="M142" s="124">
        <f t="shared" si="57"/>
        <v>0</v>
      </c>
      <c r="N142" s="35"/>
      <c r="O142" s="124">
        <f>ROUND(L142,0)+40001</f>
        <v>1087340</v>
      </c>
      <c r="P142" s="124">
        <f t="shared" si="58"/>
        <v>40001</v>
      </c>
      <c r="Q142" s="35" t="s">
        <v>376</v>
      </c>
      <c r="R142" s="124">
        <f>ROUND(O142,0)+137123</f>
        <v>1224463</v>
      </c>
      <c r="S142" s="124">
        <f t="shared" si="59"/>
        <v>137123</v>
      </c>
      <c r="T142" s="35" t="s">
        <v>377</v>
      </c>
      <c r="U142" s="124">
        <f t="shared" si="64"/>
        <v>1224463</v>
      </c>
      <c r="V142" s="124">
        <f t="shared" si="60"/>
        <v>0</v>
      </c>
      <c r="W142" s="35"/>
    </row>
    <row r="143" spans="2:23" ht="30" x14ac:dyDescent="0.25">
      <c r="B143" s="131" t="s">
        <v>356</v>
      </c>
      <c r="C143" s="172" t="s">
        <v>378</v>
      </c>
      <c r="D143" s="173" t="s">
        <v>379</v>
      </c>
      <c r="E143" s="34">
        <v>4392666</v>
      </c>
      <c r="F143" s="34">
        <f t="shared" si="65"/>
        <v>4392666</v>
      </c>
      <c r="G143" s="124">
        <f t="shared" si="55"/>
        <v>0</v>
      </c>
      <c r="H143" s="63"/>
      <c r="I143" s="124">
        <f>ROUND(F143,0)+26108</f>
        <v>4418774</v>
      </c>
      <c r="J143" s="124">
        <f t="shared" si="56"/>
        <v>26108</v>
      </c>
      <c r="K143" s="63" t="s">
        <v>29</v>
      </c>
      <c r="L143" s="124">
        <f t="shared" si="61"/>
        <v>4418774</v>
      </c>
      <c r="M143" s="124">
        <f t="shared" si="57"/>
        <v>0</v>
      </c>
      <c r="N143" s="63"/>
      <c r="O143" s="124">
        <f t="shared" si="62"/>
        <v>4418774</v>
      </c>
      <c r="P143" s="124">
        <f t="shared" si="58"/>
        <v>0</v>
      </c>
      <c r="Q143" s="63"/>
      <c r="R143" s="124">
        <f>ROUND(O143,0)+9712</f>
        <v>4428486</v>
      </c>
      <c r="S143" s="124">
        <f t="shared" si="59"/>
        <v>9712</v>
      </c>
      <c r="T143" s="63" t="s">
        <v>30</v>
      </c>
      <c r="U143" s="124">
        <f>ROUND(R143,0)+105030</f>
        <v>4533516</v>
      </c>
      <c r="V143" s="124">
        <f t="shared" si="60"/>
        <v>105030</v>
      </c>
      <c r="W143" s="35" t="s">
        <v>1151</v>
      </c>
    </row>
    <row r="144" spans="2:23" ht="42.6" customHeight="1" x14ac:dyDescent="0.25">
      <c r="B144" s="131" t="s">
        <v>380</v>
      </c>
      <c r="C144" s="172" t="s">
        <v>381</v>
      </c>
      <c r="D144" s="173" t="s">
        <v>382</v>
      </c>
      <c r="E144" s="34">
        <v>357580.46043500002</v>
      </c>
      <c r="F144" s="34">
        <f>ROUND(E144,0)</f>
        <v>357580</v>
      </c>
      <c r="G144" s="124">
        <f t="shared" si="55"/>
        <v>-0.4604350000154227</v>
      </c>
      <c r="H144" s="35"/>
      <c r="I144" s="124">
        <f>ROUND(F144,0)</f>
        <v>357580</v>
      </c>
      <c r="J144" s="124">
        <f t="shared" si="56"/>
        <v>0</v>
      </c>
      <c r="K144" s="35"/>
      <c r="L144" s="124">
        <f t="shared" si="61"/>
        <v>357580</v>
      </c>
      <c r="M144" s="124">
        <f t="shared" si="57"/>
        <v>0</v>
      </c>
      <c r="N144" s="35"/>
      <c r="O144" s="124">
        <f t="shared" si="62"/>
        <v>357580</v>
      </c>
      <c r="P144" s="124">
        <f t="shared" si="58"/>
        <v>0</v>
      </c>
      <c r="Q144" s="35"/>
      <c r="R144" s="124">
        <f>ROUND(O144,0)</f>
        <v>357580</v>
      </c>
      <c r="S144" s="124">
        <f t="shared" si="59"/>
        <v>0</v>
      </c>
      <c r="T144" s="35"/>
      <c r="U144" s="124">
        <f t="shared" si="64"/>
        <v>357580</v>
      </c>
      <c r="V144" s="124">
        <f t="shared" si="60"/>
        <v>0</v>
      </c>
      <c r="W144" s="35"/>
    </row>
    <row r="145" spans="2:23" x14ac:dyDescent="0.25">
      <c r="C145" s="175" t="s">
        <v>36</v>
      </c>
      <c r="D145" s="176" t="s">
        <v>383</v>
      </c>
      <c r="E145" s="19">
        <v>0</v>
      </c>
      <c r="F145" s="19">
        <f t="shared" si="65"/>
        <v>0</v>
      </c>
      <c r="G145" s="114">
        <f t="shared" si="55"/>
        <v>0</v>
      </c>
      <c r="H145" s="20"/>
      <c r="I145" s="114">
        <f>ROUND(F145,0)</f>
        <v>0</v>
      </c>
      <c r="J145" s="114">
        <f t="shared" si="56"/>
        <v>0</v>
      </c>
      <c r="K145" s="20"/>
      <c r="L145" s="114">
        <f t="shared" si="61"/>
        <v>0</v>
      </c>
      <c r="M145" s="114">
        <f t="shared" si="57"/>
        <v>0</v>
      </c>
      <c r="N145" s="20"/>
      <c r="O145" s="114">
        <f t="shared" si="62"/>
        <v>0</v>
      </c>
      <c r="P145" s="114">
        <f t="shared" si="58"/>
        <v>0</v>
      </c>
      <c r="Q145" s="20"/>
      <c r="R145" s="114">
        <f>ROUND(O145,0)</f>
        <v>0</v>
      </c>
      <c r="S145" s="114">
        <f t="shared" si="59"/>
        <v>0</v>
      </c>
      <c r="T145" s="20"/>
      <c r="U145" s="114">
        <f t="shared" si="64"/>
        <v>0</v>
      </c>
      <c r="V145" s="114">
        <f t="shared" si="60"/>
        <v>0</v>
      </c>
      <c r="W145" s="20"/>
    </row>
    <row r="146" spans="2:23" ht="13.9" customHeight="1" x14ac:dyDescent="0.25">
      <c r="B146" s="131" t="s">
        <v>384</v>
      </c>
      <c r="C146" s="172" t="s">
        <v>39</v>
      </c>
      <c r="D146" s="173" t="s">
        <v>385</v>
      </c>
      <c r="E146" s="34">
        <v>0</v>
      </c>
      <c r="F146" s="34">
        <f t="shared" si="65"/>
        <v>0</v>
      </c>
      <c r="G146" s="124">
        <f t="shared" si="55"/>
        <v>0</v>
      </c>
      <c r="H146" s="63"/>
      <c r="I146" s="124">
        <f>ROUND(F146,0)</f>
        <v>0</v>
      </c>
      <c r="J146" s="124">
        <f t="shared" si="56"/>
        <v>0</v>
      </c>
      <c r="K146" s="63"/>
      <c r="L146" s="124">
        <f t="shared" si="61"/>
        <v>0</v>
      </c>
      <c r="M146" s="124">
        <f t="shared" si="57"/>
        <v>0</v>
      </c>
      <c r="N146" s="63"/>
      <c r="O146" s="124">
        <f t="shared" si="62"/>
        <v>0</v>
      </c>
      <c r="P146" s="124">
        <f t="shared" si="58"/>
        <v>0</v>
      </c>
      <c r="Q146" s="63"/>
      <c r="R146" s="124">
        <f>ROUND(O146,0)</f>
        <v>0</v>
      </c>
      <c r="S146" s="124">
        <f t="shared" si="59"/>
        <v>0</v>
      </c>
      <c r="T146" s="63"/>
      <c r="U146" s="124">
        <f t="shared" si="64"/>
        <v>0</v>
      </c>
      <c r="V146" s="124">
        <f t="shared" si="60"/>
        <v>0</v>
      </c>
      <c r="W146" s="63"/>
    </row>
    <row r="147" spans="2:23" ht="15" customHeight="1" collapsed="1" x14ac:dyDescent="0.25">
      <c r="B147" s="131" t="s">
        <v>386</v>
      </c>
      <c r="C147" s="175" t="s">
        <v>44</v>
      </c>
      <c r="D147" s="176" t="s">
        <v>387</v>
      </c>
      <c r="E147" s="19">
        <v>936069.29245700024</v>
      </c>
      <c r="F147" s="19">
        <f>ROUND(E147,0)</f>
        <v>936069</v>
      </c>
      <c r="G147" s="114">
        <f t="shared" si="55"/>
        <v>-0.29245700023602694</v>
      </c>
      <c r="H147" s="24"/>
      <c r="I147" s="114">
        <f>ROUND(F147,0)</f>
        <v>936069</v>
      </c>
      <c r="J147" s="114">
        <f t="shared" si="56"/>
        <v>0</v>
      </c>
      <c r="K147" s="64"/>
      <c r="L147" s="114">
        <f t="shared" si="61"/>
        <v>936069</v>
      </c>
      <c r="M147" s="114">
        <f t="shared" si="57"/>
        <v>0</v>
      </c>
      <c r="N147" s="24"/>
      <c r="O147" s="114">
        <f t="shared" si="62"/>
        <v>936069</v>
      </c>
      <c r="P147" s="114">
        <f t="shared" si="58"/>
        <v>0</v>
      </c>
      <c r="Q147" s="24"/>
      <c r="R147" s="114">
        <f>ROUND(O147,0)</f>
        <v>936069</v>
      </c>
      <c r="S147" s="114">
        <f t="shared" si="59"/>
        <v>0</v>
      </c>
      <c r="T147" s="24"/>
      <c r="U147" s="114">
        <f t="shared" si="64"/>
        <v>936069</v>
      </c>
      <c r="V147" s="114">
        <f t="shared" si="60"/>
        <v>0</v>
      </c>
      <c r="W147" s="24"/>
    </row>
    <row r="148" spans="2:23" s="177" customFormat="1" ht="16.899999999999999" customHeight="1" x14ac:dyDescent="0.25">
      <c r="C148" s="175" t="s">
        <v>52</v>
      </c>
      <c r="D148" s="176" t="s">
        <v>388</v>
      </c>
      <c r="E148" s="19">
        <v>556693.29264600005</v>
      </c>
      <c r="F148" s="19">
        <f t="shared" ref="F148" si="67">F149+F152</f>
        <v>556693</v>
      </c>
      <c r="G148" s="114">
        <f t="shared" si="55"/>
        <v>-0.29264600004535168</v>
      </c>
      <c r="H148" s="24"/>
      <c r="I148" s="114">
        <f>I149+I152</f>
        <v>589278</v>
      </c>
      <c r="J148" s="114">
        <f t="shared" si="56"/>
        <v>32585</v>
      </c>
      <c r="K148" s="24"/>
      <c r="L148" s="114">
        <f>L149+L152</f>
        <v>589278</v>
      </c>
      <c r="M148" s="114">
        <f t="shared" si="57"/>
        <v>0</v>
      </c>
      <c r="N148" s="24"/>
      <c r="O148" s="114">
        <f>O149+O152</f>
        <v>589278</v>
      </c>
      <c r="P148" s="114">
        <f t="shared" si="58"/>
        <v>0</v>
      </c>
      <c r="Q148" s="24"/>
      <c r="R148" s="114">
        <f>R149+R152</f>
        <v>589278</v>
      </c>
      <c r="S148" s="114">
        <f t="shared" si="59"/>
        <v>0</v>
      </c>
      <c r="T148" s="24"/>
      <c r="U148" s="114">
        <f>U149+U152</f>
        <v>589278</v>
      </c>
      <c r="V148" s="114">
        <f t="shared" si="60"/>
        <v>0</v>
      </c>
      <c r="W148" s="24"/>
    </row>
    <row r="149" spans="2:23" x14ac:dyDescent="0.25">
      <c r="B149" s="131" t="s">
        <v>389</v>
      </c>
      <c r="C149" s="172" t="s">
        <v>55</v>
      </c>
      <c r="D149" s="173" t="s">
        <v>390</v>
      </c>
      <c r="E149" s="34">
        <v>207617.29264600005</v>
      </c>
      <c r="F149" s="34">
        <f>SUM(F150:F151)</f>
        <v>207617</v>
      </c>
      <c r="G149" s="124">
        <f t="shared" ref="G149" si="68">SUM(G150:G151)</f>
        <v>3.7353999970946461E-2</v>
      </c>
      <c r="H149" s="124"/>
      <c r="I149" s="124">
        <f>SUM(I150:I151)</f>
        <v>207617</v>
      </c>
      <c r="J149" s="124">
        <f t="shared" si="56"/>
        <v>0</v>
      </c>
      <c r="K149" s="124"/>
      <c r="L149" s="124">
        <f>SUM(L150:L151)</f>
        <v>207617</v>
      </c>
      <c r="M149" s="124">
        <f t="shared" si="57"/>
        <v>0</v>
      </c>
      <c r="N149" s="124"/>
      <c r="O149" s="124">
        <f>SUM(O150:O151)</f>
        <v>207617</v>
      </c>
      <c r="P149" s="124">
        <f t="shared" si="58"/>
        <v>0</v>
      </c>
      <c r="Q149" s="124"/>
      <c r="R149" s="124">
        <f>SUM(R150:R151)</f>
        <v>207617</v>
      </c>
      <c r="S149" s="124">
        <f t="shared" si="59"/>
        <v>0</v>
      </c>
      <c r="T149" s="124"/>
      <c r="U149" s="124">
        <f>SUM(U150:U151)</f>
        <v>207617</v>
      </c>
      <c r="V149" s="124">
        <f t="shared" si="60"/>
        <v>0</v>
      </c>
      <c r="W149" s="124"/>
    </row>
    <row r="150" spans="2:23" x14ac:dyDescent="0.25">
      <c r="B150" s="131" t="s">
        <v>389</v>
      </c>
      <c r="C150" s="178" t="s">
        <v>391</v>
      </c>
      <c r="D150" s="179" t="s">
        <v>392</v>
      </c>
      <c r="E150" s="17">
        <v>162450.96264600003</v>
      </c>
      <c r="F150" s="17">
        <f>ROUND(E150,0)</f>
        <v>162451</v>
      </c>
      <c r="G150" s="110">
        <f t="shared" si="55"/>
        <v>3.7353999970946461E-2</v>
      </c>
      <c r="H150" s="18"/>
      <c r="I150" s="110">
        <f>ROUND(F150,0)</f>
        <v>162451</v>
      </c>
      <c r="J150" s="110">
        <f t="shared" si="56"/>
        <v>0</v>
      </c>
      <c r="K150" s="18"/>
      <c r="L150" s="110">
        <f>ROUND(I150,0)</f>
        <v>162451</v>
      </c>
      <c r="M150" s="110">
        <f t="shared" si="57"/>
        <v>0</v>
      </c>
      <c r="N150" s="18"/>
      <c r="O150" s="110">
        <f>ROUND(L150,0)</f>
        <v>162451</v>
      </c>
      <c r="P150" s="110">
        <f t="shared" si="58"/>
        <v>0</v>
      </c>
      <c r="Q150" s="18"/>
      <c r="R150" s="110">
        <f>ROUND(O150,0)</f>
        <v>162451</v>
      </c>
      <c r="S150" s="110">
        <f t="shared" si="59"/>
        <v>0</v>
      </c>
      <c r="T150" s="18"/>
      <c r="U150" s="110">
        <f>ROUND(R150,0)</f>
        <v>162451</v>
      </c>
      <c r="V150" s="110">
        <f t="shared" si="60"/>
        <v>0</v>
      </c>
      <c r="W150" s="18"/>
    </row>
    <row r="151" spans="2:23" x14ac:dyDescent="0.25">
      <c r="B151" s="131"/>
      <c r="C151" s="178" t="s">
        <v>393</v>
      </c>
      <c r="D151" s="179" t="s">
        <v>394</v>
      </c>
      <c r="E151" s="17">
        <v>45166.33</v>
      </c>
      <c r="F151" s="17">
        <f>ROUND(E151,0)</f>
        <v>45166</v>
      </c>
      <c r="G151" s="110"/>
      <c r="H151" s="18"/>
      <c r="I151" s="110">
        <f>ROUND(F151,0)</f>
        <v>45166</v>
      </c>
      <c r="J151" s="110">
        <f t="shared" si="56"/>
        <v>0</v>
      </c>
      <c r="K151" s="18"/>
      <c r="L151" s="110">
        <f>ROUND(I151,0)</f>
        <v>45166</v>
      </c>
      <c r="M151" s="110">
        <f t="shared" si="57"/>
        <v>0</v>
      </c>
      <c r="N151" s="18"/>
      <c r="O151" s="110">
        <f>ROUND(L151,0)</f>
        <v>45166</v>
      </c>
      <c r="P151" s="110">
        <f t="shared" si="58"/>
        <v>0</v>
      </c>
      <c r="Q151" s="18"/>
      <c r="R151" s="110">
        <f>ROUND(O151,0)</f>
        <v>45166</v>
      </c>
      <c r="S151" s="110">
        <f t="shared" si="59"/>
        <v>0</v>
      </c>
      <c r="T151" s="18"/>
      <c r="U151" s="110">
        <f>ROUND(R151,0)</f>
        <v>45166</v>
      </c>
      <c r="V151" s="110">
        <f t="shared" si="60"/>
        <v>0</v>
      </c>
      <c r="W151" s="18"/>
    </row>
    <row r="152" spans="2:23" x14ac:dyDescent="0.25">
      <c r="B152" s="131" t="s">
        <v>395</v>
      </c>
      <c r="C152" s="172" t="s">
        <v>57</v>
      </c>
      <c r="D152" s="173" t="s">
        <v>396</v>
      </c>
      <c r="E152" s="34">
        <v>349076</v>
      </c>
      <c r="F152" s="34">
        <f>ROUND(E152,0)</f>
        <v>349076</v>
      </c>
      <c r="G152" s="124">
        <f t="shared" si="55"/>
        <v>0</v>
      </c>
      <c r="H152" s="63"/>
      <c r="I152" s="124">
        <f>ROUND(F152,0)+32585</f>
        <v>381661</v>
      </c>
      <c r="J152" s="124">
        <f t="shared" si="56"/>
        <v>32585</v>
      </c>
      <c r="K152" s="124" t="s">
        <v>184</v>
      </c>
      <c r="L152" s="124">
        <f>ROUND(I152,0)</f>
        <v>381661</v>
      </c>
      <c r="M152" s="124">
        <f t="shared" si="57"/>
        <v>0</v>
      </c>
      <c r="N152" s="124"/>
      <c r="O152" s="124">
        <f>ROUND(L152,0)</f>
        <v>381661</v>
      </c>
      <c r="P152" s="124">
        <f t="shared" si="58"/>
        <v>0</v>
      </c>
      <c r="Q152" s="124"/>
      <c r="R152" s="124">
        <f>ROUND(O152,0)</f>
        <v>381661</v>
      </c>
      <c r="S152" s="124">
        <f t="shared" si="59"/>
        <v>0</v>
      </c>
      <c r="T152" s="124"/>
      <c r="U152" s="124">
        <f>ROUND(R152,0)</f>
        <v>381661</v>
      </c>
      <c r="V152" s="124">
        <f t="shared" si="60"/>
        <v>0</v>
      </c>
      <c r="W152" s="124"/>
    </row>
    <row r="153" spans="2:23" x14ac:dyDescent="0.25">
      <c r="C153" s="175" t="s">
        <v>58</v>
      </c>
      <c r="D153" s="176" t="s">
        <v>397</v>
      </c>
      <c r="E153" s="19">
        <v>260002</v>
      </c>
      <c r="F153" s="19">
        <f t="shared" ref="F153" si="69">F154</f>
        <v>260002</v>
      </c>
      <c r="G153" s="114">
        <f t="shared" si="55"/>
        <v>0</v>
      </c>
      <c r="H153" s="20"/>
      <c r="I153" s="114">
        <f>I154</f>
        <v>260002</v>
      </c>
      <c r="J153" s="114">
        <f t="shared" si="56"/>
        <v>0</v>
      </c>
      <c r="K153" s="20"/>
      <c r="L153" s="114">
        <f>L154</f>
        <v>260002</v>
      </c>
      <c r="M153" s="114">
        <f t="shared" si="57"/>
        <v>0</v>
      </c>
      <c r="N153" s="20"/>
      <c r="O153" s="114">
        <f>O154</f>
        <v>260002</v>
      </c>
      <c r="P153" s="114">
        <f t="shared" si="58"/>
        <v>0</v>
      </c>
      <c r="Q153" s="20"/>
      <c r="R153" s="114">
        <f>R154</f>
        <v>260002</v>
      </c>
      <c r="S153" s="114">
        <f t="shared" si="59"/>
        <v>0</v>
      </c>
      <c r="T153" s="20"/>
      <c r="U153" s="114">
        <f>U154</f>
        <v>110002</v>
      </c>
      <c r="V153" s="114">
        <f t="shared" si="60"/>
        <v>-150000</v>
      </c>
      <c r="W153" s="20"/>
    </row>
    <row r="154" spans="2:23" ht="27.6" customHeight="1" x14ac:dyDescent="0.25">
      <c r="B154" s="131" t="s">
        <v>398</v>
      </c>
      <c r="C154" s="172" t="s">
        <v>61</v>
      </c>
      <c r="D154" s="173" t="s">
        <v>399</v>
      </c>
      <c r="E154" s="34">
        <v>260002</v>
      </c>
      <c r="F154" s="34">
        <f>ROUND(E154,0)</f>
        <v>260002</v>
      </c>
      <c r="G154" s="124">
        <f t="shared" si="55"/>
        <v>0</v>
      </c>
      <c r="H154" s="35"/>
      <c r="I154" s="124">
        <f>ROUND(F154,0)</f>
        <v>260002</v>
      </c>
      <c r="J154" s="124">
        <f t="shared" si="56"/>
        <v>0</v>
      </c>
      <c r="K154" s="35"/>
      <c r="L154" s="124">
        <f>ROUND(I154,0)</f>
        <v>260002</v>
      </c>
      <c r="M154" s="124">
        <f t="shared" si="57"/>
        <v>0</v>
      </c>
      <c r="N154" s="35"/>
      <c r="O154" s="124">
        <f>ROUND(L154,0)</f>
        <v>260002</v>
      </c>
      <c r="P154" s="124">
        <f t="shared" si="58"/>
        <v>0</v>
      </c>
      <c r="Q154" s="35"/>
      <c r="R154" s="124">
        <f>ROUND(O154,0)</f>
        <v>260002</v>
      </c>
      <c r="S154" s="124">
        <f t="shared" si="59"/>
        <v>0</v>
      </c>
      <c r="T154" s="35"/>
      <c r="U154" s="124">
        <f>ROUND(R154,0)-150000</f>
        <v>110002</v>
      </c>
      <c r="V154" s="124">
        <f t="shared" si="60"/>
        <v>-150000</v>
      </c>
      <c r="W154" s="35" t="s">
        <v>1148</v>
      </c>
    </row>
    <row r="155" spans="2:23" ht="29.25" x14ac:dyDescent="0.25">
      <c r="C155" s="175" t="s">
        <v>66</v>
      </c>
      <c r="D155" s="176" t="s">
        <v>401</v>
      </c>
      <c r="E155" s="19">
        <v>16329241.372453</v>
      </c>
      <c r="F155" s="19">
        <f t="shared" ref="F155" si="70">F156+F157+F158+F159+F171</f>
        <v>16329241</v>
      </c>
      <c r="G155" s="114">
        <f>G157+G158+G159+G171</f>
        <v>-0.3724529993487522</v>
      </c>
      <c r="H155" s="114"/>
      <c r="I155" s="114">
        <f>I156+I157+I158+I159+I171</f>
        <v>16651546</v>
      </c>
      <c r="J155" s="114">
        <f t="shared" si="56"/>
        <v>322305</v>
      </c>
      <c r="K155" s="114"/>
      <c r="L155" s="114">
        <f>L156+L157+L158+L159+L171</f>
        <v>16728872</v>
      </c>
      <c r="M155" s="114">
        <f t="shared" si="57"/>
        <v>77326</v>
      </c>
      <c r="N155" s="114"/>
      <c r="O155" s="114">
        <f>O156+O157+O158+O159+O171</f>
        <v>16750347</v>
      </c>
      <c r="P155" s="114">
        <f t="shared" si="58"/>
        <v>21475</v>
      </c>
      <c r="Q155" s="114"/>
      <c r="R155" s="114">
        <f>R156+R157+R158+R159+R171</f>
        <v>14810347</v>
      </c>
      <c r="S155" s="114">
        <f t="shared" si="59"/>
        <v>-1940000</v>
      </c>
      <c r="T155" s="114"/>
      <c r="U155" s="114">
        <f>U156+U157+U158+U159+U171</f>
        <v>15607183</v>
      </c>
      <c r="V155" s="114">
        <f t="shared" si="60"/>
        <v>796836</v>
      </c>
      <c r="W155" s="114"/>
    </row>
    <row r="156" spans="2:23" ht="15.6" customHeight="1" x14ac:dyDescent="0.25">
      <c r="B156" s="131" t="s">
        <v>384</v>
      </c>
      <c r="C156" s="172" t="s">
        <v>69</v>
      </c>
      <c r="D156" s="180" t="s">
        <v>385</v>
      </c>
      <c r="E156" s="34">
        <v>70000</v>
      </c>
      <c r="F156" s="34">
        <f>ROUND(E156,0)</f>
        <v>70000</v>
      </c>
      <c r="G156" s="124">
        <f>F156-E156</f>
        <v>0</v>
      </c>
      <c r="H156" s="63"/>
      <c r="I156" s="124">
        <f>ROUND(F156,0)</f>
        <v>70000</v>
      </c>
      <c r="J156" s="124">
        <f t="shared" si="56"/>
        <v>0</v>
      </c>
      <c r="K156" s="63"/>
      <c r="L156" s="124">
        <f>ROUND(I156,0)</f>
        <v>70000</v>
      </c>
      <c r="M156" s="124">
        <f t="shared" si="57"/>
        <v>0</v>
      </c>
      <c r="N156" s="63"/>
      <c r="O156" s="124">
        <f>ROUND(L156,0)</f>
        <v>70000</v>
      </c>
      <c r="P156" s="124">
        <f t="shared" si="58"/>
        <v>0</v>
      </c>
      <c r="Q156" s="63"/>
      <c r="R156" s="124">
        <f>ROUND(O156,0)</f>
        <v>70000</v>
      </c>
      <c r="S156" s="124">
        <f t="shared" si="59"/>
        <v>0</v>
      </c>
      <c r="T156" s="63"/>
      <c r="U156" s="124">
        <f>ROUND(R156,0)</f>
        <v>70000</v>
      </c>
      <c r="V156" s="124">
        <f t="shared" si="60"/>
        <v>0</v>
      </c>
      <c r="W156" s="63"/>
    </row>
    <row r="157" spans="2:23" ht="19.149999999999999" customHeight="1" x14ac:dyDescent="0.25">
      <c r="B157" s="131" t="s">
        <v>402</v>
      </c>
      <c r="C157" s="172" t="s">
        <v>81</v>
      </c>
      <c r="D157" s="180" t="s">
        <v>403</v>
      </c>
      <c r="E157" s="65">
        <v>313523.70461999997</v>
      </c>
      <c r="F157" s="65">
        <f>ROUND(E157,0)</f>
        <v>313524</v>
      </c>
      <c r="G157" s="181">
        <f t="shared" si="55"/>
        <v>0.29538000002503395</v>
      </c>
      <c r="H157" s="35"/>
      <c r="I157" s="181">
        <f>ROUND(F157,0)+15000</f>
        <v>328524</v>
      </c>
      <c r="J157" s="182">
        <f t="shared" si="56"/>
        <v>15000</v>
      </c>
      <c r="K157" s="66" t="s">
        <v>404</v>
      </c>
      <c r="L157" s="181">
        <f>ROUND(I157,0)</f>
        <v>328524</v>
      </c>
      <c r="M157" s="181">
        <f t="shared" si="57"/>
        <v>0</v>
      </c>
      <c r="N157" s="67"/>
      <c r="O157" s="181">
        <f>ROUND(L157,0)</f>
        <v>328524</v>
      </c>
      <c r="P157" s="181">
        <f t="shared" si="58"/>
        <v>0</v>
      </c>
      <c r="Q157" s="67"/>
      <c r="R157" s="181">
        <f>ROUND(O157,0)</f>
        <v>328524</v>
      </c>
      <c r="S157" s="181">
        <f t="shared" si="59"/>
        <v>0</v>
      </c>
      <c r="T157" s="67"/>
      <c r="U157" s="181">
        <f>ROUND(R157,0)</f>
        <v>328524</v>
      </c>
      <c r="V157" s="181">
        <f t="shared" si="60"/>
        <v>0</v>
      </c>
      <c r="W157" s="67"/>
    </row>
    <row r="158" spans="2:23" ht="58.15" customHeight="1" x14ac:dyDescent="0.25">
      <c r="B158" s="131" t="s">
        <v>405</v>
      </c>
      <c r="C158" s="172" t="s">
        <v>406</v>
      </c>
      <c r="D158" s="180" t="s">
        <v>407</v>
      </c>
      <c r="E158" s="65">
        <v>345571.12844500004</v>
      </c>
      <c r="F158" s="65">
        <f>ROUND(E158,0)</f>
        <v>345571</v>
      </c>
      <c r="G158" s="181">
        <f t="shared" si="55"/>
        <v>-0.12844500003848225</v>
      </c>
      <c r="H158" s="35"/>
      <c r="I158" s="181">
        <f>ROUND(F158,0)-11083</f>
        <v>334488</v>
      </c>
      <c r="J158" s="182">
        <f t="shared" si="56"/>
        <v>-11083</v>
      </c>
      <c r="K158" s="62" t="s">
        <v>358</v>
      </c>
      <c r="L158" s="181">
        <f>ROUND(I158,0)</f>
        <v>334488</v>
      </c>
      <c r="M158" s="181">
        <f t="shared" si="57"/>
        <v>0</v>
      </c>
      <c r="N158" s="35"/>
      <c r="O158" s="181">
        <f>ROUND(L158,0)</f>
        <v>334488</v>
      </c>
      <c r="P158" s="181">
        <f t="shared" si="58"/>
        <v>0</v>
      </c>
      <c r="Q158" s="35"/>
      <c r="R158" s="181">
        <f>ROUND(O158,0)</f>
        <v>334488</v>
      </c>
      <c r="S158" s="181">
        <f t="shared" si="59"/>
        <v>0</v>
      </c>
      <c r="T158" s="35"/>
      <c r="U158" s="181">
        <f>ROUND(R158,0)</f>
        <v>334488</v>
      </c>
      <c r="V158" s="181">
        <f t="shared" si="60"/>
        <v>0</v>
      </c>
      <c r="W158" s="35"/>
    </row>
    <row r="159" spans="2:23" x14ac:dyDescent="0.25">
      <c r="C159" s="172" t="s">
        <v>408</v>
      </c>
      <c r="D159" s="180" t="s">
        <v>409</v>
      </c>
      <c r="E159" s="181">
        <v>1526970.0498800001</v>
      </c>
      <c r="F159" s="181">
        <f>SUM(F160:F170)</f>
        <v>1526970</v>
      </c>
      <c r="G159" s="181">
        <f t="shared" ref="G159" si="71">SUM(G160:G169)</f>
        <v>-4.9880000064149499E-2</v>
      </c>
      <c r="H159" s="181"/>
      <c r="I159" s="181">
        <f>SUM(I160:I170)</f>
        <v>1509840</v>
      </c>
      <c r="J159" s="181">
        <f t="shared" si="56"/>
        <v>-17130</v>
      </c>
      <c r="K159" s="181"/>
      <c r="L159" s="181">
        <f>SUM(L160:L170)</f>
        <v>1509840</v>
      </c>
      <c r="M159" s="181">
        <f t="shared" si="57"/>
        <v>0</v>
      </c>
      <c r="N159" s="181"/>
      <c r="O159" s="181">
        <f>SUM(O160:O170)</f>
        <v>1594840</v>
      </c>
      <c r="P159" s="181">
        <f t="shared" si="58"/>
        <v>85000</v>
      </c>
      <c r="Q159" s="181"/>
      <c r="R159" s="181">
        <f>SUM(R160:R170)</f>
        <v>1480257</v>
      </c>
      <c r="S159" s="181">
        <f t="shared" si="59"/>
        <v>-114583</v>
      </c>
      <c r="T159" s="181"/>
      <c r="U159" s="181">
        <f>SUM(U160:U170)</f>
        <v>1480257</v>
      </c>
      <c r="V159" s="181">
        <f t="shared" si="60"/>
        <v>0</v>
      </c>
      <c r="W159" s="181"/>
    </row>
    <row r="160" spans="2:23" ht="18" customHeight="1" x14ac:dyDescent="0.25">
      <c r="B160" s="131" t="s">
        <v>195</v>
      </c>
      <c r="C160" s="178" t="s">
        <v>410</v>
      </c>
      <c r="D160" s="155" t="s">
        <v>411</v>
      </c>
      <c r="E160" s="17">
        <v>1009113.0498800001</v>
      </c>
      <c r="F160" s="17">
        <f>ROUND(E160,0)+5033</f>
        <v>1014146</v>
      </c>
      <c r="G160" s="110">
        <f t="shared" si="55"/>
        <v>5032.9501199999359</v>
      </c>
      <c r="H160" s="68" t="s">
        <v>412</v>
      </c>
      <c r="I160" s="110">
        <f>ROUND(F160,0)-17130</f>
        <v>997016</v>
      </c>
      <c r="J160" s="111">
        <f t="shared" si="56"/>
        <v>-17130</v>
      </c>
      <c r="K160" s="69" t="s">
        <v>358</v>
      </c>
      <c r="L160" s="110">
        <f>ROUND(I160,0)</f>
        <v>997016</v>
      </c>
      <c r="M160" s="110">
        <f t="shared" si="57"/>
        <v>0</v>
      </c>
      <c r="N160" s="68"/>
      <c r="O160" s="110">
        <f>ROUND(L160,0)-73+27000+8000+50000+1000</f>
        <v>1082943</v>
      </c>
      <c r="P160" s="110">
        <f t="shared" si="58"/>
        <v>85927</v>
      </c>
      <c r="Q160" s="68" t="s">
        <v>413</v>
      </c>
      <c r="R160" s="110">
        <f>ROUND(O160,0)-232064-8445</f>
        <v>842434</v>
      </c>
      <c r="S160" s="110">
        <f t="shared" si="59"/>
        <v>-240509</v>
      </c>
      <c r="T160" s="68" t="s">
        <v>414</v>
      </c>
      <c r="U160" s="110">
        <f>ROUND(R160,0)</f>
        <v>842434</v>
      </c>
      <c r="V160" s="110">
        <f t="shared" si="60"/>
        <v>0</v>
      </c>
      <c r="W160" s="68"/>
    </row>
    <row r="161" spans="2:23" ht="18.600000000000001" customHeight="1" x14ac:dyDescent="0.25">
      <c r="B161" s="131" t="s">
        <v>415</v>
      </c>
      <c r="C161" s="178" t="s">
        <v>416</v>
      </c>
      <c r="D161" s="183" t="s">
        <v>417</v>
      </c>
      <c r="E161" s="17">
        <v>40000</v>
      </c>
      <c r="F161" s="17">
        <f t="shared" ref="F161:F166" si="72">ROUND(E161,0)</f>
        <v>40000</v>
      </c>
      <c r="G161" s="110">
        <f t="shared" si="55"/>
        <v>0</v>
      </c>
      <c r="H161" s="68"/>
      <c r="I161" s="110">
        <f t="shared" ref="I161:I166" si="73">ROUND(F161,0)</f>
        <v>40000</v>
      </c>
      <c r="J161" s="110">
        <f t="shared" si="56"/>
        <v>0</v>
      </c>
      <c r="K161" s="68"/>
      <c r="L161" s="110">
        <f>ROUND(I161,0)+1630</f>
        <v>41630</v>
      </c>
      <c r="M161" s="110">
        <f t="shared" si="57"/>
        <v>1630</v>
      </c>
      <c r="N161" s="68" t="s">
        <v>418</v>
      </c>
      <c r="O161" s="110">
        <f t="shared" ref="O161:O166" si="74">ROUND(L161,0)</f>
        <v>41630</v>
      </c>
      <c r="P161" s="110">
        <f t="shared" si="58"/>
        <v>0</v>
      </c>
      <c r="Q161" s="68"/>
      <c r="R161" s="110">
        <f t="shared" ref="R161:R166" si="75">ROUND(O161,0)</f>
        <v>41630</v>
      </c>
      <c r="S161" s="110">
        <f t="shared" si="59"/>
        <v>0</v>
      </c>
      <c r="T161" s="68"/>
      <c r="U161" s="110">
        <f t="shared" ref="U161:U166" si="76">ROUND(R161,0)</f>
        <v>41630</v>
      </c>
      <c r="V161" s="110">
        <f t="shared" si="60"/>
        <v>0</v>
      </c>
      <c r="W161" s="68"/>
    </row>
    <row r="162" spans="2:23" ht="16.5" customHeight="1" x14ac:dyDescent="0.25">
      <c r="B162" s="131" t="s">
        <v>415</v>
      </c>
      <c r="C162" s="178" t="s">
        <v>419</v>
      </c>
      <c r="D162" s="183" t="s">
        <v>420</v>
      </c>
      <c r="E162" s="17">
        <v>10000</v>
      </c>
      <c r="F162" s="17">
        <f t="shared" si="72"/>
        <v>10000</v>
      </c>
      <c r="G162" s="110">
        <f t="shared" si="55"/>
        <v>0</v>
      </c>
      <c r="H162" s="68"/>
      <c r="I162" s="110">
        <f t="shared" si="73"/>
        <v>10000</v>
      </c>
      <c r="J162" s="110">
        <f t="shared" si="56"/>
        <v>0</v>
      </c>
      <c r="K162" s="68"/>
      <c r="L162" s="110">
        <f>ROUND(I162,0)</f>
        <v>10000</v>
      </c>
      <c r="M162" s="110">
        <f t="shared" si="57"/>
        <v>0</v>
      </c>
      <c r="N162" s="68"/>
      <c r="O162" s="110">
        <f t="shared" si="74"/>
        <v>10000</v>
      </c>
      <c r="P162" s="110">
        <f t="shared" si="58"/>
        <v>0</v>
      </c>
      <c r="Q162" s="68"/>
      <c r="R162" s="110">
        <f t="shared" si="75"/>
        <v>10000</v>
      </c>
      <c r="S162" s="110">
        <f t="shared" si="59"/>
        <v>0</v>
      </c>
      <c r="T162" s="68"/>
      <c r="U162" s="110">
        <f t="shared" si="76"/>
        <v>10000</v>
      </c>
      <c r="V162" s="110">
        <f t="shared" si="60"/>
        <v>0</v>
      </c>
      <c r="W162" s="68"/>
    </row>
    <row r="163" spans="2:23" ht="28.15" customHeight="1" x14ac:dyDescent="0.25">
      <c r="B163" s="131" t="s">
        <v>421</v>
      </c>
      <c r="C163" s="184" t="s">
        <v>422</v>
      </c>
      <c r="D163" s="185" t="s">
        <v>423</v>
      </c>
      <c r="E163" s="17">
        <v>42000</v>
      </c>
      <c r="F163" s="17">
        <f>ROUND(E163,0)+18000</f>
        <v>60000</v>
      </c>
      <c r="G163" s="110">
        <f t="shared" si="55"/>
        <v>18000</v>
      </c>
      <c r="H163" s="68" t="s">
        <v>424</v>
      </c>
      <c r="I163" s="110">
        <f t="shared" si="73"/>
        <v>60000</v>
      </c>
      <c r="J163" s="110">
        <f t="shared" si="56"/>
        <v>0</v>
      </c>
      <c r="K163" s="68"/>
      <c r="L163" s="110">
        <f>ROUND(I163,0)</f>
        <v>60000</v>
      </c>
      <c r="M163" s="110">
        <f t="shared" si="57"/>
        <v>0</v>
      </c>
      <c r="N163" s="68"/>
      <c r="O163" s="110">
        <f t="shared" si="74"/>
        <v>60000</v>
      </c>
      <c r="P163" s="110">
        <f t="shared" si="58"/>
        <v>0</v>
      </c>
      <c r="Q163" s="68"/>
      <c r="R163" s="110">
        <f t="shared" si="75"/>
        <v>60000</v>
      </c>
      <c r="S163" s="110">
        <f t="shared" si="59"/>
        <v>0</v>
      </c>
      <c r="T163" s="68"/>
      <c r="U163" s="110">
        <f t="shared" si="76"/>
        <v>60000</v>
      </c>
      <c r="V163" s="110">
        <f t="shared" si="60"/>
        <v>0</v>
      </c>
      <c r="W163" s="68"/>
    </row>
    <row r="164" spans="2:23" ht="32.450000000000003" customHeight="1" x14ac:dyDescent="0.25">
      <c r="B164" s="131" t="s">
        <v>425</v>
      </c>
      <c r="C164" s="184" t="s">
        <v>426</v>
      </c>
      <c r="D164" s="186" t="s">
        <v>427</v>
      </c>
      <c r="E164" s="17">
        <v>85290</v>
      </c>
      <c r="F164" s="17">
        <f t="shared" si="72"/>
        <v>85290</v>
      </c>
      <c r="G164" s="110">
        <f t="shared" si="55"/>
        <v>0</v>
      </c>
      <c r="H164" s="68"/>
      <c r="I164" s="110">
        <f t="shared" si="73"/>
        <v>85290</v>
      </c>
      <c r="J164" s="110">
        <f t="shared" si="56"/>
        <v>0</v>
      </c>
      <c r="K164" s="68"/>
      <c r="L164" s="110">
        <f>ROUND(I164,0)</f>
        <v>85290</v>
      </c>
      <c r="M164" s="110">
        <f t="shared" si="57"/>
        <v>0</v>
      </c>
      <c r="N164" s="68"/>
      <c r="O164" s="110">
        <f t="shared" si="74"/>
        <v>85290</v>
      </c>
      <c r="P164" s="110">
        <f t="shared" si="58"/>
        <v>0</v>
      </c>
      <c r="Q164" s="68"/>
      <c r="R164" s="110">
        <f t="shared" si="75"/>
        <v>85290</v>
      </c>
      <c r="S164" s="110">
        <f t="shared" si="59"/>
        <v>0</v>
      </c>
      <c r="T164" s="68"/>
      <c r="U164" s="110">
        <f t="shared" si="76"/>
        <v>85290</v>
      </c>
      <c r="V164" s="110">
        <f t="shared" si="60"/>
        <v>0</v>
      </c>
      <c r="W164" s="68"/>
    </row>
    <row r="165" spans="2:23" ht="15.75" customHeight="1" x14ac:dyDescent="0.25">
      <c r="B165" s="131" t="s">
        <v>428</v>
      </c>
      <c r="C165" s="184" t="s">
        <v>429</v>
      </c>
      <c r="D165" s="186" t="s">
        <v>247</v>
      </c>
      <c r="E165" s="17">
        <v>236171</v>
      </c>
      <c r="F165" s="17">
        <f t="shared" si="72"/>
        <v>236171</v>
      </c>
      <c r="G165" s="110">
        <f t="shared" si="55"/>
        <v>0</v>
      </c>
      <c r="H165" s="68"/>
      <c r="I165" s="110">
        <f t="shared" si="73"/>
        <v>236171</v>
      </c>
      <c r="J165" s="110">
        <f t="shared" si="56"/>
        <v>0</v>
      </c>
      <c r="K165" s="68"/>
      <c r="L165" s="110">
        <f>ROUND(I165,0)</f>
        <v>236171</v>
      </c>
      <c r="M165" s="110">
        <f t="shared" si="57"/>
        <v>0</v>
      </c>
      <c r="N165" s="68"/>
      <c r="O165" s="110">
        <f t="shared" si="74"/>
        <v>236171</v>
      </c>
      <c r="P165" s="110">
        <f t="shared" si="58"/>
        <v>0</v>
      </c>
      <c r="Q165" s="68"/>
      <c r="R165" s="110">
        <f t="shared" si="75"/>
        <v>236171</v>
      </c>
      <c r="S165" s="110">
        <f t="shared" si="59"/>
        <v>0</v>
      </c>
      <c r="T165" s="68"/>
      <c r="U165" s="110">
        <f t="shared" si="76"/>
        <v>236171</v>
      </c>
      <c r="V165" s="110">
        <f t="shared" si="60"/>
        <v>0</v>
      </c>
      <c r="W165" s="68"/>
    </row>
    <row r="166" spans="2:23" ht="25.15" customHeight="1" x14ac:dyDescent="0.25">
      <c r="B166" s="131" t="s">
        <v>430</v>
      </c>
      <c r="C166" s="184" t="s">
        <v>431</v>
      </c>
      <c r="D166" s="186" t="s">
        <v>210</v>
      </c>
      <c r="E166" s="17">
        <v>53240</v>
      </c>
      <c r="F166" s="17">
        <f t="shared" si="72"/>
        <v>53240</v>
      </c>
      <c r="G166" s="110">
        <f t="shared" si="55"/>
        <v>0</v>
      </c>
      <c r="H166" s="25"/>
      <c r="I166" s="110">
        <f t="shared" si="73"/>
        <v>53240</v>
      </c>
      <c r="J166" s="110">
        <f t="shared" si="56"/>
        <v>0</v>
      </c>
      <c r="K166" s="25"/>
      <c r="L166" s="110">
        <f>ROUND(I166,0)</f>
        <v>53240</v>
      </c>
      <c r="M166" s="110">
        <f t="shared" si="57"/>
        <v>0</v>
      </c>
      <c r="N166" s="25"/>
      <c r="O166" s="110">
        <f t="shared" si="74"/>
        <v>53240</v>
      </c>
      <c r="P166" s="110">
        <f t="shared" si="58"/>
        <v>0</v>
      </c>
      <c r="Q166" s="25"/>
      <c r="R166" s="110">
        <f t="shared" si="75"/>
        <v>53240</v>
      </c>
      <c r="S166" s="110">
        <f t="shared" si="59"/>
        <v>0</v>
      </c>
      <c r="T166" s="25"/>
      <c r="U166" s="110">
        <f t="shared" si="76"/>
        <v>53240</v>
      </c>
      <c r="V166" s="110">
        <f t="shared" si="60"/>
        <v>0</v>
      </c>
      <c r="W166" s="25"/>
    </row>
    <row r="167" spans="2:23" ht="13.15" customHeight="1" x14ac:dyDescent="0.25">
      <c r="B167" s="131" t="s">
        <v>195</v>
      </c>
      <c r="C167" s="184" t="s">
        <v>432</v>
      </c>
      <c r="D167" s="133" t="s">
        <v>284</v>
      </c>
      <c r="E167" s="17">
        <v>32020</v>
      </c>
      <c r="F167" s="17">
        <f>32020-18000-5033</f>
        <v>8987</v>
      </c>
      <c r="G167" s="110">
        <f t="shared" si="55"/>
        <v>-23033</v>
      </c>
      <c r="H167" s="68" t="s">
        <v>433</v>
      </c>
      <c r="I167" s="110">
        <f>32020-18000-5033</f>
        <v>8987</v>
      </c>
      <c r="J167" s="110">
        <f t="shared" si="56"/>
        <v>0</v>
      </c>
      <c r="K167" s="68"/>
      <c r="L167" s="110">
        <f>32020-18000-5033</f>
        <v>8987</v>
      </c>
      <c r="M167" s="110">
        <f t="shared" si="57"/>
        <v>0</v>
      </c>
      <c r="N167" s="68"/>
      <c r="O167" s="110">
        <f>32020-18000-5033</f>
        <v>8987</v>
      </c>
      <c r="P167" s="110">
        <f t="shared" si="58"/>
        <v>0</v>
      </c>
      <c r="Q167" s="68"/>
      <c r="R167" s="110">
        <f>32020-18000-5033</f>
        <v>8987</v>
      </c>
      <c r="S167" s="110">
        <f t="shared" si="59"/>
        <v>0</v>
      </c>
      <c r="T167" s="68"/>
      <c r="U167" s="110">
        <f>32020-18000-5033</f>
        <v>8987</v>
      </c>
      <c r="V167" s="110">
        <f t="shared" si="60"/>
        <v>0</v>
      </c>
      <c r="W167" s="68"/>
    </row>
    <row r="168" spans="2:23" ht="32.450000000000003" customHeight="1" x14ac:dyDescent="0.25">
      <c r="B168" s="131" t="s">
        <v>285</v>
      </c>
      <c r="C168" s="184" t="s">
        <v>434</v>
      </c>
      <c r="D168" s="186" t="s">
        <v>435</v>
      </c>
      <c r="E168" s="17">
        <v>4136</v>
      </c>
      <c r="F168" s="17">
        <v>4136</v>
      </c>
      <c r="G168" s="110">
        <f t="shared" si="55"/>
        <v>0</v>
      </c>
      <c r="H168" s="68"/>
      <c r="I168" s="110">
        <f>4136-1298</f>
        <v>2838</v>
      </c>
      <c r="J168" s="110">
        <f t="shared" si="56"/>
        <v>-1298</v>
      </c>
      <c r="K168" s="348" t="s">
        <v>436</v>
      </c>
      <c r="L168" s="110">
        <f>4136-1298-1630</f>
        <v>1208</v>
      </c>
      <c r="M168" s="110">
        <f t="shared" si="57"/>
        <v>-1630</v>
      </c>
      <c r="N168" s="68" t="s">
        <v>418</v>
      </c>
      <c r="O168" s="110">
        <f>4136-1298-1630-1000</f>
        <v>208</v>
      </c>
      <c r="P168" s="110">
        <f t="shared" si="58"/>
        <v>-1000</v>
      </c>
      <c r="Q168" s="68" t="s">
        <v>437</v>
      </c>
      <c r="R168" s="110">
        <f>4136-1298-1630-1000</f>
        <v>208</v>
      </c>
      <c r="S168" s="110">
        <f t="shared" si="59"/>
        <v>0</v>
      </c>
      <c r="T168" s="68"/>
      <c r="U168" s="110">
        <f>4136-1298-1630-1000</f>
        <v>208</v>
      </c>
      <c r="V168" s="110">
        <f t="shared" si="60"/>
        <v>0</v>
      </c>
      <c r="W168" s="68"/>
    </row>
    <row r="169" spans="2:23" ht="32.450000000000003" customHeight="1" x14ac:dyDescent="0.25">
      <c r="B169" s="131" t="s">
        <v>438</v>
      </c>
      <c r="C169" s="184" t="s">
        <v>439</v>
      </c>
      <c r="D169" s="186" t="s">
        <v>249</v>
      </c>
      <c r="E169" s="17">
        <v>15000</v>
      </c>
      <c r="F169" s="17">
        <v>15000</v>
      </c>
      <c r="G169" s="110">
        <f t="shared" si="55"/>
        <v>0</v>
      </c>
      <c r="H169" s="68"/>
      <c r="I169" s="110">
        <f>15000+1298</f>
        <v>16298</v>
      </c>
      <c r="J169" s="110">
        <f t="shared" si="56"/>
        <v>1298</v>
      </c>
      <c r="K169" s="349"/>
      <c r="L169" s="110">
        <f>15000+1298</f>
        <v>16298</v>
      </c>
      <c r="M169" s="110">
        <f t="shared" si="57"/>
        <v>0</v>
      </c>
      <c r="N169" s="70"/>
      <c r="O169" s="110">
        <f>15000+1298+73</f>
        <v>16371</v>
      </c>
      <c r="P169" s="110">
        <f t="shared" si="58"/>
        <v>73</v>
      </c>
      <c r="Q169" s="70" t="s">
        <v>440</v>
      </c>
      <c r="R169" s="110">
        <f>15000+1298+73</f>
        <v>16371</v>
      </c>
      <c r="S169" s="110">
        <f t="shared" si="59"/>
        <v>0</v>
      </c>
      <c r="T169" s="70"/>
      <c r="U169" s="110">
        <f>15000+1298+73</f>
        <v>16371</v>
      </c>
      <c r="V169" s="110">
        <f t="shared" si="60"/>
        <v>0</v>
      </c>
      <c r="W169" s="70"/>
    </row>
    <row r="170" spans="2:23" ht="32.450000000000003" customHeight="1" x14ac:dyDescent="0.25">
      <c r="B170" s="131" t="s">
        <v>211</v>
      </c>
      <c r="C170" s="184" t="s">
        <v>441</v>
      </c>
      <c r="D170" s="186" t="s">
        <v>213</v>
      </c>
      <c r="E170" s="17"/>
      <c r="F170" s="17"/>
      <c r="G170" s="110"/>
      <c r="H170" s="68"/>
      <c r="I170" s="110"/>
      <c r="J170" s="110"/>
      <c r="K170" s="71"/>
      <c r="L170" s="110"/>
      <c r="M170" s="110"/>
      <c r="N170" s="72"/>
      <c r="O170" s="110"/>
      <c r="P170" s="110"/>
      <c r="Q170" s="72"/>
      <c r="R170" s="110">
        <v>125926</v>
      </c>
      <c r="S170" s="110">
        <f t="shared" si="59"/>
        <v>125926</v>
      </c>
      <c r="T170" s="72" t="s">
        <v>214</v>
      </c>
      <c r="U170" s="110">
        <f t="shared" ref="U170" si="77">ROUND(R170,0)</f>
        <v>125926</v>
      </c>
      <c r="V170" s="110">
        <f t="shared" si="60"/>
        <v>0</v>
      </c>
      <c r="W170" s="72"/>
    </row>
    <row r="171" spans="2:23" ht="29.25" customHeight="1" x14ac:dyDescent="0.25">
      <c r="C171" s="172" t="s">
        <v>442</v>
      </c>
      <c r="D171" s="180" t="s">
        <v>443</v>
      </c>
      <c r="E171" s="65">
        <v>14073176.489507999</v>
      </c>
      <c r="F171" s="65">
        <f t="shared" ref="F171" si="78">SUM(F172:F177,F181:F190)</f>
        <v>14073176</v>
      </c>
      <c r="G171" s="181">
        <f t="shared" si="55"/>
        <v>-0.4895079992711544</v>
      </c>
      <c r="H171" s="73"/>
      <c r="I171" s="181">
        <f>SUM(I172:I177,I181:I190)</f>
        <v>14408694</v>
      </c>
      <c r="J171" s="181">
        <f t="shared" si="56"/>
        <v>335518</v>
      </c>
      <c r="K171" s="73"/>
      <c r="L171" s="181">
        <f>SUM(L172:L177,L181:L190)</f>
        <v>14486020</v>
      </c>
      <c r="M171" s="181">
        <f t="shared" si="57"/>
        <v>77326</v>
      </c>
      <c r="N171" s="73"/>
      <c r="O171" s="181">
        <f>SUM(O172:O177,O181:O190)</f>
        <v>14422495</v>
      </c>
      <c r="P171" s="181">
        <f t="shared" si="58"/>
        <v>-63525</v>
      </c>
      <c r="Q171" s="73"/>
      <c r="R171" s="181">
        <f>SUM(R172:R177,R181:R190)</f>
        <v>12597078</v>
      </c>
      <c r="S171" s="181">
        <f t="shared" si="59"/>
        <v>-1825417</v>
      </c>
      <c r="T171" s="73"/>
      <c r="U171" s="181">
        <f>SUM(U172:U177,U181:U190)</f>
        <v>13393914</v>
      </c>
      <c r="V171" s="181">
        <f t="shared" si="60"/>
        <v>796836</v>
      </c>
      <c r="W171" s="73"/>
    </row>
    <row r="172" spans="2:23" s="168" customFormat="1" ht="17.25" hidden="1" customHeight="1" outlineLevel="1" x14ac:dyDescent="0.25">
      <c r="C172" s="187" t="s">
        <v>444</v>
      </c>
      <c r="D172" s="188" t="s">
        <v>445</v>
      </c>
      <c r="E172" s="17">
        <v>0</v>
      </c>
      <c r="F172" s="17">
        <f>ROUND(E172,0)</f>
        <v>0</v>
      </c>
      <c r="G172" s="110">
        <f t="shared" si="55"/>
        <v>0</v>
      </c>
      <c r="H172" s="74"/>
      <c r="I172" s="110">
        <f>ROUND(F172,0)</f>
        <v>0</v>
      </c>
      <c r="J172" s="110">
        <f t="shared" si="56"/>
        <v>0</v>
      </c>
      <c r="K172" s="74"/>
      <c r="L172" s="110">
        <f>ROUND(I172,0)</f>
        <v>0</v>
      </c>
      <c r="M172" s="110">
        <f t="shared" si="57"/>
        <v>0</v>
      </c>
      <c r="N172" s="74"/>
      <c r="O172" s="110">
        <f>ROUND(L172,0)</f>
        <v>0</v>
      </c>
      <c r="P172" s="110">
        <f t="shared" si="58"/>
        <v>0</v>
      </c>
      <c r="Q172" s="74"/>
      <c r="R172" s="110">
        <f>ROUND(O172,0)</f>
        <v>0</v>
      </c>
      <c r="S172" s="110">
        <f t="shared" si="59"/>
        <v>0</v>
      </c>
      <c r="T172" s="74"/>
      <c r="U172" s="110">
        <f>ROUND(R172,0)</f>
        <v>0</v>
      </c>
      <c r="V172" s="110">
        <f t="shared" si="60"/>
        <v>0</v>
      </c>
      <c r="W172" s="74"/>
    </row>
    <row r="173" spans="2:23" ht="16.899999999999999" customHeight="1" collapsed="1" x14ac:dyDescent="0.25">
      <c r="B173" s="131" t="s">
        <v>446</v>
      </c>
      <c r="C173" s="178" t="s">
        <v>444</v>
      </c>
      <c r="D173" s="189" t="s">
        <v>447</v>
      </c>
      <c r="E173" s="17">
        <v>160572.14087500004</v>
      </c>
      <c r="F173" s="17">
        <f>ROUND(E173,0)</f>
        <v>160572</v>
      </c>
      <c r="G173" s="110">
        <f t="shared" si="55"/>
        <v>-0.14087500004097819</v>
      </c>
      <c r="H173" s="70"/>
      <c r="I173" s="110">
        <f>ROUND(F173,0)</f>
        <v>160572</v>
      </c>
      <c r="J173" s="110">
        <f t="shared" si="56"/>
        <v>0</v>
      </c>
      <c r="K173" s="70"/>
      <c r="L173" s="110">
        <f>ROUND(I173,0)</f>
        <v>160572</v>
      </c>
      <c r="M173" s="110">
        <f t="shared" si="57"/>
        <v>0</v>
      </c>
      <c r="N173" s="70"/>
      <c r="O173" s="110">
        <f>ROUND(L173,0)</f>
        <v>160572</v>
      </c>
      <c r="P173" s="110">
        <f t="shared" si="58"/>
        <v>0</v>
      </c>
      <c r="Q173" s="70"/>
      <c r="R173" s="110">
        <f>ROUND(O173,0)+232064</f>
        <v>392636</v>
      </c>
      <c r="S173" s="110">
        <f t="shared" si="59"/>
        <v>232064</v>
      </c>
      <c r="T173" s="70" t="s">
        <v>448</v>
      </c>
      <c r="U173" s="110">
        <f>ROUND(R173,0)+1037000</f>
        <v>1429636</v>
      </c>
      <c r="V173" s="110">
        <f t="shared" si="60"/>
        <v>1037000</v>
      </c>
      <c r="W173" s="75" t="s">
        <v>449</v>
      </c>
    </row>
    <row r="174" spans="2:23" ht="13.9" customHeight="1" x14ac:dyDescent="0.25">
      <c r="B174" s="131" t="s">
        <v>450</v>
      </c>
      <c r="C174" s="178" t="s">
        <v>451</v>
      </c>
      <c r="D174" s="186" t="s">
        <v>452</v>
      </c>
      <c r="E174" s="17">
        <v>355701</v>
      </c>
      <c r="F174" s="17">
        <f t="shared" ref="F174:F187" si="79">ROUND(E174,0)</f>
        <v>355701</v>
      </c>
      <c r="G174" s="110">
        <f t="shared" si="55"/>
        <v>0</v>
      </c>
      <c r="H174" s="68"/>
      <c r="I174" s="110">
        <f>ROUND(F174,0)</f>
        <v>355701</v>
      </c>
      <c r="J174" s="110">
        <f t="shared" si="56"/>
        <v>0</v>
      </c>
      <c r="K174" s="68"/>
      <c r="L174" s="110">
        <f>ROUND(I174,0)</f>
        <v>355701</v>
      </c>
      <c r="M174" s="110">
        <f t="shared" si="57"/>
        <v>0</v>
      </c>
      <c r="N174" s="68"/>
      <c r="O174" s="110">
        <f>ROUND(L174,0)</f>
        <v>355701</v>
      </c>
      <c r="P174" s="110">
        <f t="shared" si="58"/>
        <v>0</v>
      </c>
      <c r="Q174" s="68"/>
      <c r="R174" s="110">
        <f>ROUND(O174,0)</f>
        <v>355701</v>
      </c>
      <c r="S174" s="110">
        <f t="shared" si="59"/>
        <v>0</v>
      </c>
      <c r="T174" s="68"/>
      <c r="U174" s="110">
        <f>ROUND(R174,0)</f>
        <v>355701</v>
      </c>
      <c r="V174" s="110">
        <f t="shared" si="60"/>
        <v>0</v>
      </c>
      <c r="W174" s="68"/>
    </row>
    <row r="175" spans="2:23" ht="27" customHeight="1" x14ac:dyDescent="0.25">
      <c r="B175" s="131" t="s">
        <v>205</v>
      </c>
      <c r="C175" s="184" t="s">
        <v>453</v>
      </c>
      <c r="D175" s="186" t="s">
        <v>328</v>
      </c>
      <c r="E175" s="17">
        <v>891139</v>
      </c>
      <c r="F175" s="17">
        <f t="shared" si="79"/>
        <v>891139</v>
      </c>
      <c r="G175" s="110">
        <f t="shared" si="55"/>
        <v>0</v>
      </c>
      <c r="H175" s="68"/>
      <c r="I175" s="110">
        <f>ROUND(F175,0)</f>
        <v>891139</v>
      </c>
      <c r="J175" s="110">
        <f t="shared" si="56"/>
        <v>0</v>
      </c>
      <c r="K175" s="68"/>
      <c r="L175" s="110">
        <f>ROUND(I175,0)</f>
        <v>891139</v>
      </c>
      <c r="M175" s="110">
        <f t="shared" si="57"/>
        <v>0</v>
      </c>
      <c r="N175" s="68"/>
      <c r="O175" s="110">
        <f>ROUND(L175,0)</f>
        <v>891139</v>
      </c>
      <c r="P175" s="110">
        <f t="shared" si="58"/>
        <v>0</v>
      </c>
      <c r="Q175" s="68"/>
      <c r="R175" s="110">
        <f>ROUND(O175,0)</f>
        <v>891139</v>
      </c>
      <c r="S175" s="110">
        <f t="shared" si="59"/>
        <v>0</v>
      </c>
      <c r="T175" s="68"/>
      <c r="U175" s="110">
        <f>ROUND(R175,0)</f>
        <v>891139</v>
      </c>
      <c r="V175" s="110">
        <f t="shared" si="60"/>
        <v>0</v>
      </c>
      <c r="W175" s="68"/>
    </row>
    <row r="176" spans="2:23" ht="25.9" customHeight="1" x14ac:dyDescent="0.25">
      <c r="B176" s="131" t="s">
        <v>454</v>
      </c>
      <c r="C176" s="178" t="s">
        <v>455</v>
      </c>
      <c r="D176" s="189" t="s">
        <v>456</v>
      </c>
      <c r="E176" s="17">
        <v>3779449</v>
      </c>
      <c r="F176" s="17">
        <f t="shared" si="79"/>
        <v>3779449</v>
      </c>
      <c r="G176" s="110">
        <f t="shared" si="55"/>
        <v>0</v>
      </c>
      <c r="H176" s="68"/>
      <c r="I176" s="110">
        <f>ROUND(F176,0)</f>
        <v>3779449</v>
      </c>
      <c r="J176" s="110">
        <f t="shared" si="56"/>
        <v>0</v>
      </c>
      <c r="K176" s="68"/>
      <c r="L176" s="110">
        <f>ROUND(I176,0)</f>
        <v>3779449</v>
      </c>
      <c r="M176" s="110">
        <f t="shared" si="57"/>
        <v>0</v>
      </c>
      <c r="N176" s="68"/>
      <c r="O176" s="110">
        <f>ROUND(L176,0)</f>
        <v>3779449</v>
      </c>
      <c r="P176" s="110">
        <f t="shared" si="58"/>
        <v>0</v>
      </c>
      <c r="Q176" s="68"/>
      <c r="R176" s="110">
        <f>ROUND(O176,0)</f>
        <v>3779449</v>
      </c>
      <c r="S176" s="110">
        <f t="shared" si="59"/>
        <v>0</v>
      </c>
      <c r="T176" s="68"/>
      <c r="U176" s="110">
        <f>ROUND(R176,0)-1605698</f>
        <v>2173751</v>
      </c>
      <c r="V176" s="110">
        <f t="shared" si="60"/>
        <v>-1605698</v>
      </c>
      <c r="W176" s="68" t="s">
        <v>309</v>
      </c>
    </row>
    <row r="177" spans="2:23" ht="32.25" customHeight="1" x14ac:dyDescent="0.25">
      <c r="B177" s="131" t="s">
        <v>5</v>
      </c>
      <c r="C177" s="178" t="s">
        <v>457</v>
      </c>
      <c r="D177" s="189" t="s">
        <v>458</v>
      </c>
      <c r="E177" s="76">
        <v>5552774.9964329991</v>
      </c>
      <c r="F177" s="76">
        <f>SUM(F178:F180)</f>
        <v>5552775</v>
      </c>
      <c r="G177" s="110">
        <f t="shared" si="55"/>
        <v>3.5670008510351181E-3</v>
      </c>
      <c r="H177" s="68"/>
      <c r="I177" s="141">
        <f>SUM(I178:I180)</f>
        <v>5888293</v>
      </c>
      <c r="J177" s="110">
        <f t="shared" si="56"/>
        <v>335518</v>
      </c>
      <c r="K177" s="68"/>
      <c r="L177" s="141">
        <f>SUM(L178:L180)</f>
        <v>5908293</v>
      </c>
      <c r="M177" s="110">
        <f t="shared" si="57"/>
        <v>20000</v>
      </c>
      <c r="N177" s="68"/>
      <c r="O177" s="141">
        <f>SUM(O178:O180)</f>
        <v>5825768</v>
      </c>
      <c r="P177" s="110">
        <f t="shared" si="58"/>
        <v>-82525</v>
      </c>
      <c r="Q177" s="68"/>
      <c r="R177" s="141">
        <f>SUM(R178:R180)</f>
        <v>5837717</v>
      </c>
      <c r="S177" s="110">
        <f t="shared" si="59"/>
        <v>11949</v>
      </c>
      <c r="T177" s="68"/>
      <c r="U177" s="141">
        <f>SUM(U178:U180)</f>
        <v>5476952</v>
      </c>
      <c r="V177" s="110">
        <f t="shared" si="60"/>
        <v>-360765</v>
      </c>
      <c r="W177" s="68"/>
    </row>
    <row r="178" spans="2:23" ht="94.15" customHeight="1" x14ac:dyDescent="0.25">
      <c r="B178" s="131"/>
      <c r="C178" s="190" t="s">
        <v>459</v>
      </c>
      <c r="D178" s="191" t="s">
        <v>460</v>
      </c>
      <c r="E178" s="76">
        <v>4996040.3361329995</v>
      </c>
      <c r="F178" s="76">
        <f t="shared" si="79"/>
        <v>4996040</v>
      </c>
      <c r="G178" s="110">
        <f t="shared" si="55"/>
        <v>-0.33613299950957298</v>
      </c>
      <c r="H178" s="68"/>
      <c r="I178" s="141">
        <f>ROUND(F178,0)-18000+16000+21000+30000+5000+30000+12000+36000+(54000+126000)+15597</f>
        <v>5323637</v>
      </c>
      <c r="J178" s="111">
        <f t="shared" si="56"/>
        <v>327597</v>
      </c>
      <c r="K178" s="69" t="s">
        <v>461</v>
      </c>
      <c r="L178" s="141">
        <f>ROUND(I178,0)-17977-99-410-4242-202-86-55-19408-8457</f>
        <v>5272701</v>
      </c>
      <c r="M178" s="110">
        <f t="shared" si="57"/>
        <v>-50936</v>
      </c>
      <c r="N178" s="68" t="s">
        <v>462</v>
      </c>
      <c r="O178" s="141">
        <f>ROUND(L178,0)-50000+25175-54000-3700</f>
        <v>5190176</v>
      </c>
      <c r="P178" s="110">
        <f t="shared" si="58"/>
        <v>-82525</v>
      </c>
      <c r="Q178" s="68" t="s">
        <v>463</v>
      </c>
      <c r="R178" s="141">
        <f>ROUND(O178,0)+8445+3504-9551-10040-20707</f>
        <v>5161827</v>
      </c>
      <c r="S178" s="110">
        <f t="shared" si="59"/>
        <v>-28349</v>
      </c>
      <c r="T178" s="68" t="s">
        <v>464</v>
      </c>
      <c r="U178" s="141">
        <f>ROUND(R178,0)-358140-2625-15471</f>
        <v>4785591</v>
      </c>
      <c r="V178" s="110">
        <f t="shared" si="60"/>
        <v>-376236</v>
      </c>
      <c r="W178" s="68" t="s">
        <v>1145</v>
      </c>
    </row>
    <row r="179" spans="2:23" ht="25.9" customHeight="1" x14ac:dyDescent="0.25">
      <c r="B179" s="131"/>
      <c r="C179" s="190" t="s">
        <v>465</v>
      </c>
      <c r="D179" s="191" t="s">
        <v>466</v>
      </c>
      <c r="E179" s="76">
        <v>295000</v>
      </c>
      <c r="F179" s="76">
        <f t="shared" si="79"/>
        <v>295000</v>
      </c>
      <c r="G179" s="110">
        <f t="shared" si="55"/>
        <v>0</v>
      </c>
      <c r="H179" s="68"/>
      <c r="I179" s="141">
        <f t="shared" ref="I179:I190" si="80">ROUND(F179,0)</f>
        <v>295000</v>
      </c>
      <c r="J179" s="110">
        <f t="shared" si="56"/>
        <v>0</v>
      </c>
      <c r="K179" s="68"/>
      <c r="L179" s="141">
        <f>ROUND(I179,0)+27920</f>
        <v>322920</v>
      </c>
      <c r="M179" s="110">
        <f t="shared" si="57"/>
        <v>27920</v>
      </c>
      <c r="N179" s="68" t="s">
        <v>467</v>
      </c>
      <c r="O179" s="141">
        <f>ROUND(L179,0)</f>
        <v>322920</v>
      </c>
      <c r="P179" s="110">
        <f t="shared" si="58"/>
        <v>0</v>
      </c>
      <c r="Q179" s="68"/>
      <c r="R179" s="141">
        <f>ROUND(O179,0)+20707</f>
        <v>343627</v>
      </c>
      <c r="S179" s="110">
        <f t="shared" si="59"/>
        <v>20707</v>
      </c>
      <c r="T179" s="68" t="s">
        <v>468</v>
      </c>
      <c r="U179" s="141">
        <f>ROUND(R179,0)</f>
        <v>343627</v>
      </c>
      <c r="V179" s="110">
        <f t="shared" si="60"/>
        <v>0</v>
      </c>
      <c r="W179" s="68"/>
    </row>
    <row r="180" spans="2:23" ht="41.45" customHeight="1" x14ac:dyDescent="0.25">
      <c r="B180" s="131"/>
      <c r="C180" s="190" t="s">
        <v>469</v>
      </c>
      <c r="D180" s="191" t="s">
        <v>470</v>
      </c>
      <c r="E180" s="76">
        <v>261734.66029999999</v>
      </c>
      <c r="F180" s="76">
        <f t="shared" si="79"/>
        <v>261735</v>
      </c>
      <c r="G180" s="110">
        <f t="shared" si="55"/>
        <v>0.33970000001136214</v>
      </c>
      <c r="H180" s="68"/>
      <c r="I180" s="141">
        <f>ROUND(F180,0)+7921</f>
        <v>269656</v>
      </c>
      <c r="J180" s="110">
        <f t="shared" si="56"/>
        <v>7921</v>
      </c>
      <c r="K180" s="68" t="s">
        <v>471</v>
      </c>
      <c r="L180" s="141">
        <f>ROUND(I180,0)+17977+99+410+4242+202+86+20000</f>
        <v>312672</v>
      </c>
      <c r="M180" s="110">
        <f t="shared" si="57"/>
        <v>43016</v>
      </c>
      <c r="N180" s="68" t="s">
        <v>472</v>
      </c>
      <c r="O180" s="141">
        <f>ROUND(L180,0)</f>
        <v>312672</v>
      </c>
      <c r="P180" s="110">
        <f t="shared" si="58"/>
        <v>0</v>
      </c>
      <c r="Q180" s="68"/>
      <c r="R180" s="141">
        <f>ROUND(O180,0)+9551+10040</f>
        <v>332263</v>
      </c>
      <c r="S180" s="110">
        <f t="shared" si="59"/>
        <v>19591</v>
      </c>
      <c r="T180" s="68" t="s">
        <v>473</v>
      </c>
      <c r="U180" s="141">
        <f>ROUND(R180,0)+15471</f>
        <v>347734</v>
      </c>
      <c r="V180" s="110">
        <f t="shared" si="60"/>
        <v>15471</v>
      </c>
      <c r="W180" s="68" t="s">
        <v>1146</v>
      </c>
    </row>
    <row r="181" spans="2:23" ht="29.25" hidden="1" customHeight="1" outlineLevel="1" x14ac:dyDescent="0.25">
      <c r="B181" s="131" t="s">
        <v>474</v>
      </c>
      <c r="C181" s="178" t="s">
        <v>475</v>
      </c>
      <c r="D181" s="189" t="s">
        <v>476</v>
      </c>
      <c r="E181" s="17">
        <v>0</v>
      </c>
      <c r="F181" s="17">
        <f t="shared" si="79"/>
        <v>0</v>
      </c>
      <c r="G181" s="110">
        <f t="shared" si="55"/>
        <v>0</v>
      </c>
      <c r="H181" s="25"/>
      <c r="I181" s="110">
        <f t="shared" si="80"/>
        <v>0</v>
      </c>
      <c r="J181" s="110">
        <f t="shared" si="56"/>
        <v>0</v>
      </c>
      <c r="K181" s="25"/>
      <c r="L181" s="110">
        <f t="shared" ref="L181:L190" si="81">ROUND(I181,0)</f>
        <v>0</v>
      </c>
      <c r="M181" s="110">
        <f t="shared" si="57"/>
        <v>0</v>
      </c>
      <c r="N181" s="25"/>
      <c r="O181" s="110">
        <f>ROUND(L181,0)</f>
        <v>0</v>
      </c>
      <c r="P181" s="110">
        <f t="shared" si="58"/>
        <v>0</v>
      </c>
      <c r="Q181" s="25"/>
      <c r="R181" s="110">
        <f t="shared" ref="R181:R190" si="82">ROUND(O181,0)</f>
        <v>0</v>
      </c>
      <c r="S181" s="110">
        <f t="shared" si="59"/>
        <v>0</v>
      </c>
      <c r="T181" s="25"/>
      <c r="U181" s="110">
        <f t="shared" ref="U181:U184" si="83">ROUND(R181,0)</f>
        <v>0</v>
      </c>
      <c r="V181" s="110">
        <f t="shared" si="60"/>
        <v>0</v>
      </c>
      <c r="W181" s="25"/>
    </row>
    <row r="182" spans="2:23" ht="39.6" customHeight="1" collapsed="1" x14ac:dyDescent="0.25">
      <c r="B182" s="131" t="s">
        <v>477</v>
      </c>
      <c r="C182" s="184" t="s">
        <v>478</v>
      </c>
      <c r="D182" s="186" t="s">
        <v>479</v>
      </c>
      <c r="E182" s="17">
        <v>391245.35220000002</v>
      </c>
      <c r="F182" s="17">
        <f t="shared" si="79"/>
        <v>391245</v>
      </c>
      <c r="G182" s="110">
        <f t="shared" si="55"/>
        <v>-0.35220000002300367</v>
      </c>
      <c r="H182" s="68"/>
      <c r="I182" s="110">
        <f t="shared" si="80"/>
        <v>391245</v>
      </c>
      <c r="J182" s="110">
        <f t="shared" si="56"/>
        <v>0</v>
      </c>
      <c r="K182" s="68"/>
      <c r="L182" s="110">
        <f t="shared" si="81"/>
        <v>391245</v>
      </c>
      <c r="M182" s="110">
        <f t="shared" si="57"/>
        <v>0</v>
      </c>
      <c r="N182" s="68"/>
      <c r="O182" s="110">
        <f>ROUND(L182,0)</f>
        <v>391245</v>
      </c>
      <c r="P182" s="110">
        <f t="shared" si="58"/>
        <v>0</v>
      </c>
      <c r="Q182" s="68"/>
      <c r="R182" s="110">
        <f t="shared" si="82"/>
        <v>391245</v>
      </c>
      <c r="S182" s="110">
        <f t="shared" si="59"/>
        <v>0</v>
      </c>
      <c r="T182" s="68"/>
      <c r="U182" s="110">
        <f>ROUND(R182,0)-148866</f>
        <v>242379</v>
      </c>
      <c r="V182" s="110">
        <f t="shared" si="60"/>
        <v>-148866</v>
      </c>
      <c r="W182" s="68" t="s">
        <v>480</v>
      </c>
    </row>
    <row r="183" spans="2:23" ht="16.149999999999999" customHeight="1" x14ac:dyDescent="0.25">
      <c r="B183" s="131" t="s">
        <v>450</v>
      </c>
      <c r="C183" s="184" t="s">
        <v>481</v>
      </c>
      <c r="D183" s="186" t="s">
        <v>482</v>
      </c>
      <c r="E183" s="17">
        <v>32000</v>
      </c>
      <c r="F183" s="17">
        <f t="shared" si="79"/>
        <v>32000</v>
      </c>
      <c r="G183" s="110">
        <f t="shared" si="55"/>
        <v>0</v>
      </c>
      <c r="H183" s="68"/>
      <c r="I183" s="110">
        <f t="shared" si="80"/>
        <v>32000</v>
      </c>
      <c r="J183" s="110">
        <f t="shared" si="56"/>
        <v>0</v>
      </c>
      <c r="K183" s="68"/>
      <c r="L183" s="110">
        <f t="shared" si="81"/>
        <v>32000</v>
      </c>
      <c r="M183" s="110">
        <f t="shared" si="57"/>
        <v>0</v>
      </c>
      <c r="N183" s="68" t="s">
        <v>483</v>
      </c>
      <c r="O183" s="110">
        <f>ROUND(L183,0)</f>
        <v>32000</v>
      </c>
      <c r="P183" s="110">
        <f t="shared" si="58"/>
        <v>0</v>
      </c>
      <c r="Q183" s="68"/>
      <c r="R183" s="110">
        <f t="shared" si="82"/>
        <v>32000</v>
      </c>
      <c r="S183" s="110">
        <f t="shared" si="59"/>
        <v>0</v>
      </c>
      <c r="T183" s="68"/>
      <c r="U183" s="110">
        <f t="shared" si="83"/>
        <v>32000</v>
      </c>
      <c r="V183" s="110">
        <f t="shared" si="60"/>
        <v>0</v>
      </c>
      <c r="W183" s="68"/>
    </row>
    <row r="184" spans="2:23" ht="30" customHeight="1" x14ac:dyDescent="0.25">
      <c r="B184" s="131"/>
      <c r="C184" s="184" t="s">
        <v>484</v>
      </c>
      <c r="D184" s="186" t="s">
        <v>340</v>
      </c>
      <c r="E184" s="17">
        <v>293146</v>
      </c>
      <c r="F184" s="17">
        <f t="shared" si="79"/>
        <v>293146</v>
      </c>
      <c r="G184" s="110">
        <f t="shared" si="55"/>
        <v>0</v>
      </c>
      <c r="H184" s="68"/>
      <c r="I184" s="110">
        <f t="shared" si="80"/>
        <v>293146</v>
      </c>
      <c r="J184" s="110">
        <f t="shared" si="56"/>
        <v>0</v>
      </c>
      <c r="K184" s="68"/>
      <c r="L184" s="110">
        <f>ROUND(I184,0)+57326</f>
        <v>350472</v>
      </c>
      <c r="M184" s="110">
        <f t="shared" si="57"/>
        <v>57326</v>
      </c>
      <c r="N184" s="68" t="s">
        <v>341</v>
      </c>
      <c r="O184" s="110">
        <f>ROUND(L184,0)-27000</f>
        <v>323472</v>
      </c>
      <c r="P184" s="110">
        <f t="shared" si="58"/>
        <v>-27000</v>
      </c>
      <c r="Q184" s="68" t="s">
        <v>485</v>
      </c>
      <c r="R184" s="110">
        <f t="shared" si="82"/>
        <v>323472</v>
      </c>
      <c r="S184" s="110">
        <f t="shared" si="59"/>
        <v>0</v>
      </c>
      <c r="T184" s="68"/>
      <c r="U184" s="110">
        <f t="shared" si="83"/>
        <v>323472</v>
      </c>
      <c r="V184" s="110">
        <f t="shared" si="60"/>
        <v>0</v>
      </c>
      <c r="W184" s="68"/>
    </row>
    <row r="185" spans="2:23" ht="33.75" customHeight="1" x14ac:dyDescent="0.25">
      <c r="B185" s="131"/>
      <c r="C185" s="184" t="s">
        <v>486</v>
      </c>
      <c r="D185" s="186" t="s">
        <v>343</v>
      </c>
      <c r="E185" s="17">
        <v>180000</v>
      </c>
      <c r="F185" s="17">
        <f t="shared" si="79"/>
        <v>180000</v>
      </c>
      <c r="G185" s="110">
        <f t="shared" si="55"/>
        <v>0</v>
      </c>
      <c r="H185" s="68"/>
      <c r="I185" s="110">
        <f t="shared" si="80"/>
        <v>180000</v>
      </c>
      <c r="J185" s="110">
        <f t="shared" si="56"/>
        <v>0</v>
      </c>
      <c r="K185" s="68"/>
      <c r="L185" s="110">
        <f t="shared" si="81"/>
        <v>180000</v>
      </c>
      <c r="M185" s="110">
        <f t="shared" si="57"/>
        <v>0</v>
      </c>
      <c r="N185" s="68"/>
      <c r="O185" s="110">
        <f>ROUND(L185,0)-8000-7875</f>
        <v>164125</v>
      </c>
      <c r="P185" s="110">
        <f t="shared" si="58"/>
        <v>-15875</v>
      </c>
      <c r="Q185" s="68" t="s">
        <v>487</v>
      </c>
      <c r="R185" s="110">
        <f>ROUND(O185,0)-6125-126000-25950</f>
        <v>6050</v>
      </c>
      <c r="S185" s="110">
        <f t="shared" si="59"/>
        <v>-158075</v>
      </c>
      <c r="T185" s="68" t="s">
        <v>488</v>
      </c>
      <c r="U185" s="110">
        <f>ROUND(R185,0)</f>
        <v>6050</v>
      </c>
      <c r="V185" s="110">
        <f t="shared" si="60"/>
        <v>0</v>
      </c>
      <c r="W185" s="68"/>
    </row>
    <row r="186" spans="2:23" ht="15.6" customHeight="1" x14ac:dyDescent="0.25">
      <c r="B186" s="131"/>
      <c r="C186" s="184" t="s">
        <v>489</v>
      </c>
      <c r="D186" s="186" t="s">
        <v>193</v>
      </c>
      <c r="E186" s="17"/>
      <c r="F186" s="17"/>
      <c r="G186" s="110"/>
      <c r="H186" s="68"/>
      <c r="I186" s="110"/>
      <c r="J186" s="110"/>
      <c r="K186" s="68"/>
      <c r="L186" s="110"/>
      <c r="M186" s="110"/>
      <c r="N186" s="68"/>
      <c r="O186" s="110"/>
      <c r="P186" s="110"/>
      <c r="Q186" s="68"/>
      <c r="R186" s="110"/>
      <c r="S186" s="110"/>
      <c r="T186" s="68"/>
      <c r="U186" s="110">
        <v>1875165</v>
      </c>
      <c r="V186" s="110">
        <f t="shared" si="60"/>
        <v>1875165</v>
      </c>
      <c r="W186" s="68" t="s">
        <v>194</v>
      </c>
    </row>
    <row r="187" spans="2:23" ht="35.25" customHeight="1" x14ac:dyDescent="0.25">
      <c r="B187" s="131"/>
      <c r="C187" s="184" t="s">
        <v>490</v>
      </c>
      <c r="D187" s="193" t="s">
        <v>335</v>
      </c>
      <c r="E187" s="17">
        <v>645000</v>
      </c>
      <c r="F187" s="17">
        <f t="shared" si="79"/>
        <v>645000</v>
      </c>
      <c r="G187" s="110">
        <f t="shared" si="55"/>
        <v>0</v>
      </c>
      <c r="H187" s="68"/>
      <c r="I187" s="110">
        <f t="shared" si="80"/>
        <v>645000</v>
      </c>
      <c r="J187" s="110">
        <f t="shared" si="56"/>
        <v>0</v>
      </c>
      <c r="K187" s="68"/>
      <c r="L187" s="110">
        <f t="shared" si="81"/>
        <v>645000</v>
      </c>
      <c r="M187" s="110">
        <f t="shared" si="57"/>
        <v>0</v>
      </c>
      <c r="N187" s="68"/>
      <c r="O187" s="110">
        <f>ROUND(L187,0)+54000+7875</f>
        <v>706875</v>
      </c>
      <c r="P187" s="110">
        <f t="shared" si="58"/>
        <v>61875</v>
      </c>
      <c r="Q187" s="68" t="s">
        <v>491</v>
      </c>
      <c r="R187" s="110">
        <f>ROUND(O187,0)-61875-645000</f>
        <v>0</v>
      </c>
      <c r="S187" s="110">
        <f t="shared" si="59"/>
        <v>-706875</v>
      </c>
      <c r="T187" s="68" t="s">
        <v>492</v>
      </c>
      <c r="U187" s="110">
        <f>ROUND(R187,0)</f>
        <v>0</v>
      </c>
      <c r="V187" s="110">
        <f t="shared" si="60"/>
        <v>0</v>
      </c>
      <c r="W187" s="68"/>
    </row>
    <row r="188" spans="2:23" ht="18.600000000000001" customHeight="1" x14ac:dyDescent="0.25">
      <c r="B188" s="131" t="s">
        <v>250</v>
      </c>
      <c r="C188" s="184" t="s">
        <v>493</v>
      </c>
      <c r="D188" s="189" t="s">
        <v>252</v>
      </c>
      <c r="E188" s="17">
        <v>546771</v>
      </c>
      <c r="F188" s="17">
        <f>ROUND(E188,0)</f>
        <v>546771</v>
      </c>
      <c r="G188" s="110">
        <f>F188-E188</f>
        <v>0</v>
      </c>
      <c r="H188" s="68"/>
      <c r="I188" s="110">
        <f t="shared" si="80"/>
        <v>546771</v>
      </c>
      <c r="J188" s="110">
        <f t="shared" si="56"/>
        <v>0</v>
      </c>
      <c r="K188" s="68"/>
      <c r="L188" s="110">
        <f t="shared" si="81"/>
        <v>546771</v>
      </c>
      <c r="M188" s="110">
        <f t="shared" si="57"/>
        <v>0</v>
      </c>
      <c r="N188" s="68" t="s">
        <v>483</v>
      </c>
      <c r="O188" s="110">
        <f>ROUND(L188,0)</f>
        <v>546771</v>
      </c>
      <c r="P188" s="110">
        <f t="shared" si="58"/>
        <v>0</v>
      </c>
      <c r="Q188" s="68"/>
      <c r="R188" s="110">
        <f t="shared" si="82"/>
        <v>546771</v>
      </c>
      <c r="S188" s="110">
        <f t="shared" si="59"/>
        <v>0</v>
      </c>
      <c r="T188" s="68"/>
      <c r="U188" s="110">
        <f t="shared" ref="U188" si="84">ROUND(R188,0)</f>
        <v>546771</v>
      </c>
      <c r="V188" s="110">
        <f t="shared" si="60"/>
        <v>0</v>
      </c>
      <c r="W188" s="68"/>
    </row>
    <row r="189" spans="2:23" ht="28.5" customHeight="1" x14ac:dyDescent="0.25">
      <c r="B189" s="131"/>
      <c r="C189" s="184" t="s">
        <v>494</v>
      </c>
      <c r="D189" s="189" t="s">
        <v>254</v>
      </c>
      <c r="E189" s="17">
        <v>1204480</v>
      </c>
      <c r="F189" s="17">
        <f>ROUND(E189,0)</f>
        <v>1204480</v>
      </c>
      <c r="G189" s="110">
        <f>F189-E189</f>
        <v>0</v>
      </c>
      <c r="H189" s="68"/>
      <c r="I189" s="110">
        <f t="shared" si="80"/>
        <v>1204480</v>
      </c>
      <c r="J189" s="110">
        <f t="shared" si="56"/>
        <v>0</v>
      </c>
      <c r="K189" s="68"/>
      <c r="L189" s="110">
        <f t="shared" si="81"/>
        <v>1204480</v>
      </c>
      <c r="M189" s="110">
        <f t="shared" si="57"/>
        <v>0</v>
      </c>
      <c r="N189" s="68"/>
      <c r="O189" s="110">
        <f>ROUND(L189,0)</f>
        <v>1204480</v>
      </c>
      <c r="P189" s="110">
        <f t="shared" si="58"/>
        <v>0</v>
      </c>
      <c r="Q189" s="68"/>
      <c r="R189" s="110">
        <f>ROUND(O189,0)-1204480</f>
        <v>0</v>
      </c>
      <c r="S189" s="110">
        <f t="shared" si="59"/>
        <v>-1204480</v>
      </c>
      <c r="T189" s="68" t="s">
        <v>255</v>
      </c>
      <c r="U189" s="110">
        <f>ROUND(R189,0)</f>
        <v>0</v>
      </c>
      <c r="V189" s="110">
        <f t="shared" si="60"/>
        <v>0</v>
      </c>
      <c r="W189" s="68"/>
    </row>
    <row r="190" spans="2:23" ht="27.6" customHeight="1" x14ac:dyDescent="0.25">
      <c r="B190" s="131" t="s">
        <v>495</v>
      </c>
      <c r="C190" s="184" t="s">
        <v>496</v>
      </c>
      <c r="D190" s="193" t="s">
        <v>497</v>
      </c>
      <c r="E190" s="17">
        <v>40898</v>
      </c>
      <c r="F190" s="17">
        <f>ROUND(E190,0)</f>
        <v>40898</v>
      </c>
      <c r="G190" s="110">
        <f>F190-E190</f>
        <v>0</v>
      </c>
      <c r="H190" s="25"/>
      <c r="I190" s="110">
        <f t="shared" si="80"/>
        <v>40898</v>
      </c>
      <c r="J190" s="110">
        <f t="shared" si="56"/>
        <v>0</v>
      </c>
      <c r="K190" s="25"/>
      <c r="L190" s="110">
        <f t="shared" si="81"/>
        <v>40898</v>
      </c>
      <c r="M190" s="110">
        <f t="shared" si="57"/>
        <v>0</v>
      </c>
      <c r="N190" s="25"/>
      <c r="O190" s="110">
        <f>ROUND(L190,0)</f>
        <v>40898</v>
      </c>
      <c r="P190" s="110">
        <f t="shared" si="58"/>
        <v>0</v>
      </c>
      <c r="Q190" s="25"/>
      <c r="R190" s="110">
        <f t="shared" si="82"/>
        <v>40898</v>
      </c>
      <c r="S190" s="110">
        <f t="shared" si="59"/>
        <v>0</v>
      </c>
      <c r="T190" s="25"/>
      <c r="U190" s="110">
        <f t="shared" ref="U190" si="85">ROUND(R190,0)</f>
        <v>40898</v>
      </c>
      <c r="V190" s="110">
        <f t="shared" si="60"/>
        <v>0</v>
      </c>
      <c r="W190" s="25"/>
    </row>
    <row r="191" spans="2:23" x14ac:dyDescent="0.25">
      <c r="C191" s="175" t="s">
        <v>105</v>
      </c>
      <c r="D191" s="176" t="s">
        <v>498</v>
      </c>
      <c r="E191" s="19">
        <v>2486998.34369</v>
      </c>
      <c r="F191" s="19">
        <f t="shared" ref="F191" si="86">SUM(F192,F196:F203)</f>
        <v>2486999</v>
      </c>
      <c r="G191" s="114">
        <f>SUM(G192,G197:G203)</f>
        <v>0.25630999998065818</v>
      </c>
      <c r="H191" s="114"/>
      <c r="I191" s="114">
        <f>SUM(I192,I196:I203)</f>
        <v>2523654</v>
      </c>
      <c r="J191" s="114">
        <f t="shared" si="56"/>
        <v>36655</v>
      </c>
      <c r="K191" s="114"/>
      <c r="L191" s="114">
        <f>SUM(L192,L196:L203)</f>
        <v>2540654</v>
      </c>
      <c r="M191" s="114">
        <f t="shared" si="57"/>
        <v>17000</v>
      </c>
      <c r="N191" s="114"/>
      <c r="O191" s="114">
        <f>SUM(O192,O196:O203)</f>
        <v>2543558</v>
      </c>
      <c r="P191" s="114">
        <f t="shared" si="58"/>
        <v>2904</v>
      </c>
      <c r="Q191" s="114"/>
      <c r="R191" s="114">
        <f>SUM(R192,R196:R203)</f>
        <v>2575054</v>
      </c>
      <c r="S191" s="114">
        <f t="shared" si="59"/>
        <v>31496</v>
      </c>
      <c r="T191" s="114"/>
      <c r="U191" s="114">
        <f>SUM(U192,U196:U203)</f>
        <v>2575054</v>
      </c>
      <c r="V191" s="114">
        <f t="shared" si="60"/>
        <v>0</v>
      </c>
      <c r="W191" s="114"/>
    </row>
    <row r="192" spans="2:23" ht="23.25" customHeight="1" x14ac:dyDescent="0.25">
      <c r="C192" s="172" t="s">
        <v>108</v>
      </c>
      <c r="D192" s="173" t="s">
        <v>499</v>
      </c>
      <c r="E192" s="34">
        <v>1187107.66267</v>
      </c>
      <c r="F192" s="34">
        <f t="shared" ref="F192:G192" si="87">SUM(F193:F195)</f>
        <v>1187108</v>
      </c>
      <c r="G192" s="124">
        <f t="shared" si="87"/>
        <v>0.3373299999802839</v>
      </c>
      <c r="H192" s="124"/>
      <c r="I192" s="124">
        <f>SUM(I193:I195)</f>
        <v>1189606</v>
      </c>
      <c r="J192" s="124">
        <f t="shared" si="56"/>
        <v>2498</v>
      </c>
      <c r="K192" s="124"/>
      <c r="L192" s="124">
        <f>SUM(L193:L195)</f>
        <v>1206606</v>
      </c>
      <c r="M192" s="124">
        <f t="shared" si="57"/>
        <v>17000</v>
      </c>
      <c r="N192" s="124"/>
      <c r="O192" s="124">
        <f>SUM(O193:O195)</f>
        <v>1206606</v>
      </c>
      <c r="P192" s="124">
        <f t="shared" si="58"/>
        <v>0</v>
      </c>
      <c r="Q192" s="124"/>
      <c r="R192" s="124">
        <f>SUM(R193:R195)</f>
        <v>1225606</v>
      </c>
      <c r="S192" s="124">
        <f t="shared" si="59"/>
        <v>19000</v>
      </c>
      <c r="T192" s="124"/>
      <c r="U192" s="124">
        <f>SUM(U193:U195)</f>
        <v>1225606</v>
      </c>
      <c r="V192" s="124">
        <f t="shared" si="60"/>
        <v>0</v>
      </c>
      <c r="W192" s="124"/>
    </row>
    <row r="193" spans="2:23" ht="15" customHeight="1" x14ac:dyDescent="0.25">
      <c r="B193" s="131" t="s">
        <v>500</v>
      </c>
      <c r="C193" s="178" t="s">
        <v>501</v>
      </c>
      <c r="D193" s="179" t="s">
        <v>502</v>
      </c>
      <c r="E193" s="17">
        <v>589107.49502000003</v>
      </c>
      <c r="F193" s="17">
        <f>ROUND(E193,0)</f>
        <v>589107</v>
      </c>
      <c r="G193" s="110">
        <f t="shared" si="55"/>
        <v>-0.49502000003121793</v>
      </c>
      <c r="H193" s="68"/>
      <c r="I193" s="110">
        <f>ROUND(F193,0)+2498</f>
        <v>591605</v>
      </c>
      <c r="J193" s="111">
        <f t="shared" si="56"/>
        <v>2498</v>
      </c>
      <c r="K193" s="77" t="s">
        <v>503</v>
      </c>
      <c r="L193" s="110">
        <f>ROUND(I193,0)+17000</f>
        <v>608605</v>
      </c>
      <c r="M193" s="110">
        <f t="shared" si="57"/>
        <v>17000</v>
      </c>
      <c r="N193" s="78" t="s">
        <v>504</v>
      </c>
      <c r="O193" s="110">
        <f>ROUND(L193,0)</f>
        <v>608605</v>
      </c>
      <c r="P193" s="110">
        <f t="shared" si="58"/>
        <v>0</v>
      </c>
      <c r="Q193" s="78"/>
      <c r="R193" s="110">
        <f>ROUND(O193,0)</f>
        <v>608605</v>
      </c>
      <c r="S193" s="110">
        <f t="shared" si="59"/>
        <v>0</v>
      </c>
      <c r="T193" s="78"/>
      <c r="U193" s="110">
        <f>ROUND(R193,0)</f>
        <v>608605</v>
      </c>
      <c r="V193" s="110">
        <f t="shared" si="60"/>
        <v>0</v>
      </c>
      <c r="W193" s="78"/>
    </row>
    <row r="194" spans="2:23" ht="44.45" customHeight="1" x14ac:dyDescent="0.25">
      <c r="B194" s="131" t="s">
        <v>505</v>
      </c>
      <c r="C194" s="178" t="s">
        <v>506</v>
      </c>
      <c r="D194" s="179" t="s">
        <v>507</v>
      </c>
      <c r="E194" s="17">
        <v>409633.66324999998</v>
      </c>
      <c r="F194" s="17">
        <f>ROUND(E194,0)</f>
        <v>409634</v>
      </c>
      <c r="G194" s="110">
        <f t="shared" si="55"/>
        <v>0.33675000001676381</v>
      </c>
      <c r="H194" s="68"/>
      <c r="I194" s="110">
        <f>ROUND(F194,0)</f>
        <v>409634</v>
      </c>
      <c r="J194" s="110">
        <f t="shared" si="56"/>
        <v>0</v>
      </c>
      <c r="K194" s="68"/>
      <c r="L194" s="110">
        <f t="shared" ref="L194:L203" si="88">ROUND(I194,0)</f>
        <v>409634</v>
      </c>
      <c r="M194" s="110">
        <f t="shared" si="57"/>
        <v>0</v>
      </c>
      <c r="N194" s="68"/>
      <c r="O194" s="110">
        <f t="shared" ref="O194:O203" si="89">ROUND(L194,0)</f>
        <v>409634</v>
      </c>
      <c r="P194" s="110">
        <f t="shared" si="58"/>
        <v>0</v>
      </c>
      <c r="Q194" s="68"/>
      <c r="R194" s="110">
        <f>ROUND(O194,0)+19000</f>
        <v>428634</v>
      </c>
      <c r="S194" s="110">
        <f t="shared" si="59"/>
        <v>19000</v>
      </c>
      <c r="T194" s="68" t="s">
        <v>508</v>
      </c>
      <c r="U194" s="110">
        <f>ROUND(R194,0)</f>
        <v>428634</v>
      </c>
      <c r="V194" s="110">
        <f t="shared" si="60"/>
        <v>0</v>
      </c>
      <c r="W194" s="68" t="s">
        <v>717</v>
      </c>
    </row>
    <row r="195" spans="2:23" ht="13.15" customHeight="1" x14ac:dyDescent="0.25">
      <c r="B195" s="131" t="s">
        <v>509</v>
      </c>
      <c r="C195" s="178" t="s">
        <v>510</v>
      </c>
      <c r="D195" s="179" t="s">
        <v>511</v>
      </c>
      <c r="E195" s="17">
        <v>188366.50440000001</v>
      </c>
      <c r="F195" s="17">
        <f>ROUND(E195,0)</f>
        <v>188367</v>
      </c>
      <c r="G195" s="110">
        <f t="shared" si="55"/>
        <v>0.49559999999473803</v>
      </c>
      <c r="H195" s="25"/>
      <c r="I195" s="110">
        <f>ROUND(F195,0)</f>
        <v>188367</v>
      </c>
      <c r="J195" s="110">
        <f t="shared" si="56"/>
        <v>0</v>
      </c>
      <c r="K195" s="25"/>
      <c r="L195" s="110">
        <f t="shared" si="88"/>
        <v>188367</v>
      </c>
      <c r="M195" s="110">
        <f t="shared" si="57"/>
        <v>0</v>
      </c>
      <c r="N195" s="25"/>
      <c r="O195" s="110">
        <f t="shared" si="89"/>
        <v>188367</v>
      </c>
      <c r="P195" s="110">
        <f t="shared" si="58"/>
        <v>0</v>
      </c>
      <c r="Q195" s="25"/>
      <c r="R195" s="110">
        <f t="shared" ref="R195:R199" si="90">ROUND(O195,0)</f>
        <v>188367</v>
      </c>
      <c r="S195" s="110">
        <f t="shared" si="59"/>
        <v>0</v>
      </c>
      <c r="T195" s="25"/>
      <c r="U195" s="110">
        <f t="shared" ref="U195" si="91">ROUND(R195,0)</f>
        <v>188367</v>
      </c>
      <c r="V195" s="110">
        <f t="shared" si="60"/>
        <v>0</v>
      </c>
      <c r="W195" s="25"/>
    </row>
    <row r="196" spans="2:23" ht="15" customHeight="1" x14ac:dyDescent="0.25">
      <c r="B196" s="131" t="s">
        <v>512</v>
      </c>
      <c r="C196" s="194" t="s">
        <v>110</v>
      </c>
      <c r="D196" s="173" t="s">
        <v>513</v>
      </c>
      <c r="E196" s="34">
        <v>135145.60000000001</v>
      </c>
      <c r="F196" s="34">
        <f>ROUND(E196,0)</f>
        <v>135146</v>
      </c>
      <c r="G196" s="124">
        <f>F196-E196</f>
        <v>0.39999999999417923</v>
      </c>
      <c r="H196" s="79"/>
      <c r="I196" s="124">
        <f>ROUND(F196,0)+20000</f>
        <v>155146</v>
      </c>
      <c r="J196" s="174">
        <f t="shared" si="56"/>
        <v>20000</v>
      </c>
      <c r="K196" s="80" t="s">
        <v>514</v>
      </c>
      <c r="L196" s="124">
        <f t="shared" si="88"/>
        <v>155146</v>
      </c>
      <c r="M196" s="124">
        <f t="shared" si="57"/>
        <v>0</v>
      </c>
      <c r="N196" s="79"/>
      <c r="O196" s="124">
        <f t="shared" si="89"/>
        <v>155146</v>
      </c>
      <c r="P196" s="124">
        <f t="shared" si="58"/>
        <v>0</v>
      </c>
      <c r="Q196" s="79"/>
      <c r="R196" s="124">
        <f>ROUND(O196,0)-19000</f>
        <v>136146</v>
      </c>
      <c r="S196" s="124">
        <f t="shared" si="59"/>
        <v>-19000</v>
      </c>
      <c r="T196" s="79" t="s">
        <v>508</v>
      </c>
      <c r="U196" s="124">
        <f>ROUND(R196,0)</f>
        <v>136146</v>
      </c>
      <c r="V196" s="124">
        <f t="shared" si="60"/>
        <v>0</v>
      </c>
      <c r="W196" s="79"/>
    </row>
    <row r="197" spans="2:23" ht="29.45" customHeight="1" x14ac:dyDescent="0.25">
      <c r="B197" s="131" t="s">
        <v>515</v>
      </c>
      <c r="C197" s="194" t="s">
        <v>516</v>
      </c>
      <c r="D197" s="173" t="s">
        <v>517</v>
      </c>
      <c r="E197" s="34">
        <v>212422.11000000002</v>
      </c>
      <c r="F197" s="34">
        <f t="shared" ref="F197:F203" si="92">ROUND(E197,0)</f>
        <v>212422</v>
      </c>
      <c r="G197" s="124">
        <f t="shared" si="55"/>
        <v>-0.11000000001513399</v>
      </c>
      <c r="H197" s="79"/>
      <c r="I197" s="124">
        <f>ROUND(F197,0)</f>
        <v>212422</v>
      </c>
      <c r="J197" s="124">
        <f t="shared" si="56"/>
        <v>0</v>
      </c>
      <c r="K197" s="79"/>
      <c r="L197" s="124">
        <f t="shared" si="88"/>
        <v>212422</v>
      </c>
      <c r="M197" s="124">
        <f t="shared" si="57"/>
        <v>0</v>
      </c>
      <c r="N197" s="79"/>
      <c r="O197" s="124">
        <f t="shared" si="89"/>
        <v>212422</v>
      </c>
      <c r="P197" s="124">
        <f t="shared" si="58"/>
        <v>0</v>
      </c>
      <c r="Q197" s="79"/>
      <c r="R197" s="124">
        <f t="shared" si="90"/>
        <v>212422</v>
      </c>
      <c r="S197" s="124">
        <f t="shared" si="59"/>
        <v>0</v>
      </c>
      <c r="T197" s="79"/>
      <c r="U197" s="124">
        <f t="shared" ref="U197:U199" si="93">ROUND(R197,0)</f>
        <v>212422</v>
      </c>
      <c r="V197" s="124">
        <f t="shared" si="60"/>
        <v>0</v>
      </c>
      <c r="W197" s="79"/>
    </row>
    <row r="198" spans="2:23" ht="27" customHeight="1" x14ac:dyDescent="0.25">
      <c r="B198" s="131" t="s">
        <v>518</v>
      </c>
      <c r="C198" s="194" t="s">
        <v>519</v>
      </c>
      <c r="D198" s="173" t="s">
        <v>239</v>
      </c>
      <c r="E198" s="34">
        <v>15704.03</v>
      </c>
      <c r="F198" s="34">
        <f t="shared" si="92"/>
        <v>15704</v>
      </c>
      <c r="G198" s="124">
        <f t="shared" si="55"/>
        <v>-3.0000000000654836E-2</v>
      </c>
      <c r="H198" s="35"/>
      <c r="I198" s="124">
        <f>ROUND(F198,0)</f>
        <v>15704</v>
      </c>
      <c r="J198" s="124">
        <f t="shared" si="56"/>
        <v>0</v>
      </c>
      <c r="K198" s="35"/>
      <c r="L198" s="124">
        <f t="shared" si="88"/>
        <v>15704</v>
      </c>
      <c r="M198" s="124">
        <f t="shared" si="57"/>
        <v>0</v>
      </c>
      <c r="N198" s="35"/>
      <c r="O198" s="124">
        <f t="shared" si="89"/>
        <v>15704</v>
      </c>
      <c r="P198" s="124">
        <f t="shared" si="58"/>
        <v>0</v>
      </c>
      <c r="Q198" s="35"/>
      <c r="R198" s="124">
        <f t="shared" si="90"/>
        <v>15704</v>
      </c>
      <c r="S198" s="124">
        <f t="shared" si="59"/>
        <v>0</v>
      </c>
      <c r="T198" s="35"/>
      <c r="U198" s="124">
        <f t="shared" si="93"/>
        <v>15704</v>
      </c>
      <c r="V198" s="124">
        <f t="shared" si="60"/>
        <v>0</v>
      </c>
      <c r="W198" s="35"/>
    </row>
    <row r="199" spans="2:23" ht="15" customHeight="1" x14ac:dyDescent="0.25">
      <c r="B199" s="131" t="s">
        <v>520</v>
      </c>
      <c r="C199" s="172" t="s">
        <v>521</v>
      </c>
      <c r="D199" s="173" t="s">
        <v>522</v>
      </c>
      <c r="E199" s="34">
        <v>121138.2865</v>
      </c>
      <c r="F199" s="34">
        <f t="shared" si="92"/>
        <v>121138</v>
      </c>
      <c r="G199" s="124">
        <f t="shared" ref="G199:G262" si="94">F199-E199</f>
        <v>-0.28650000000197906</v>
      </c>
      <c r="H199" s="79"/>
      <c r="I199" s="124">
        <f>ROUND(F199,0)+13657+500</f>
        <v>135295</v>
      </c>
      <c r="J199" s="174">
        <f t="shared" si="56"/>
        <v>14157</v>
      </c>
      <c r="K199" s="80" t="s">
        <v>523</v>
      </c>
      <c r="L199" s="124">
        <f t="shared" si="88"/>
        <v>135295</v>
      </c>
      <c r="M199" s="124">
        <f t="shared" si="57"/>
        <v>0</v>
      </c>
      <c r="N199" s="79"/>
      <c r="O199" s="124">
        <f t="shared" si="89"/>
        <v>135295</v>
      </c>
      <c r="P199" s="124">
        <f t="shared" si="58"/>
        <v>0</v>
      </c>
      <c r="Q199" s="79"/>
      <c r="R199" s="124">
        <f t="shared" si="90"/>
        <v>135295</v>
      </c>
      <c r="S199" s="124">
        <f t="shared" si="59"/>
        <v>0</v>
      </c>
      <c r="T199" s="79"/>
      <c r="U199" s="124">
        <f t="shared" si="93"/>
        <v>135295</v>
      </c>
      <c r="V199" s="124">
        <f t="shared" si="60"/>
        <v>0</v>
      </c>
      <c r="W199" s="79"/>
    </row>
    <row r="200" spans="2:23" ht="15.6" customHeight="1" x14ac:dyDescent="0.25">
      <c r="B200" s="131" t="s">
        <v>524</v>
      </c>
      <c r="C200" s="172" t="s">
        <v>525</v>
      </c>
      <c r="D200" s="173" t="s">
        <v>526</v>
      </c>
      <c r="E200" s="34">
        <v>62655.829250000003</v>
      </c>
      <c r="F200" s="34">
        <f t="shared" si="92"/>
        <v>62656</v>
      </c>
      <c r="G200" s="124">
        <f t="shared" si="94"/>
        <v>0.17074999999749707</v>
      </c>
      <c r="H200" s="79"/>
      <c r="I200" s="124">
        <f>ROUND(F200,0)</f>
        <v>62656</v>
      </c>
      <c r="J200" s="124">
        <f t="shared" si="56"/>
        <v>0</v>
      </c>
      <c r="K200" s="79"/>
      <c r="L200" s="124">
        <f t="shared" si="88"/>
        <v>62656</v>
      </c>
      <c r="M200" s="124">
        <f t="shared" si="57"/>
        <v>0</v>
      </c>
      <c r="N200" s="79"/>
      <c r="O200" s="124">
        <f>ROUND(L200,0)+2904</f>
        <v>65560</v>
      </c>
      <c r="P200" s="124">
        <f t="shared" si="58"/>
        <v>2904</v>
      </c>
      <c r="Q200" s="79" t="s">
        <v>527</v>
      </c>
      <c r="R200" s="124">
        <f>ROUND(O200,0)</f>
        <v>65560</v>
      </c>
      <c r="S200" s="124">
        <f t="shared" si="59"/>
        <v>0</v>
      </c>
      <c r="T200" s="79"/>
      <c r="U200" s="124">
        <f>ROUND(R200,0)</f>
        <v>65560</v>
      </c>
      <c r="V200" s="124">
        <f t="shared" si="60"/>
        <v>0</v>
      </c>
      <c r="W200" s="79"/>
    </row>
    <row r="201" spans="2:23" ht="15" customHeight="1" x14ac:dyDescent="0.25">
      <c r="B201" s="131" t="s">
        <v>302</v>
      </c>
      <c r="C201" s="172" t="s">
        <v>528</v>
      </c>
      <c r="D201" s="173" t="s">
        <v>529</v>
      </c>
      <c r="E201" s="34">
        <v>729596.65136999998</v>
      </c>
      <c r="F201" s="34">
        <f t="shared" si="92"/>
        <v>729597</v>
      </c>
      <c r="G201" s="124">
        <f t="shared" si="94"/>
        <v>0.34863000002223998</v>
      </c>
      <c r="H201" s="35"/>
      <c r="I201" s="124">
        <f>ROUND(F201,0)</f>
        <v>729597</v>
      </c>
      <c r="J201" s="124">
        <f t="shared" ref="J201:J264" si="95">I201-F201</f>
        <v>0</v>
      </c>
      <c r="K201" s="35"/>
      <c r="L201" s="124">
        <f t="shared" si="88"/>
        <v>729597</v>
      </c>
      <c r="M201" s="124">
        <f t="shared" ref="M201:M264" si="96">L201-I201</f>
        <v>0</v>
      </c>
      <c r="N201" s="35"/>
      <c r="O201" s="124">
        <f>ROUND(L201,0)</f>
        <v>729597</v>
      </c>
      <c r="P201" s="124">
        <f t="shared" ref="P201:P264" si="97">O201-L201</f>
        <v>0</v>
      </c>
      <c r="Q201" s="35"/>
      <c r="R201" s="124">
        <f>ROUND(O201,0)-3504+5000+30000</f>
        <v>761093</v>
      </c>
      <c r="S201" s="124">
        <f t="shared" ref="S201:S264" si="98">R201-O201</f>
        <v>31496</v>
      </c>
      <c r="T201" s="35" t="s">
        <v>530</v>
      </c>
      <c r="U201" s="124">
        <f>ROUND(R201,0)</f>
        <v>761093</v>
      </c>
      <c r="V201" s="124">
        <f t="shared" ref="V201:V264" si="99">U201-R201</f>
        <v>0</v>
      </c>
      <c r="W201" s="35"/>
    </row>
    <row r="202" spans="2:23" ht="15.6" customHeight="1" x14ac:dyDescent="0.25">
      <c r="B202" s="131" t="s">
        <v>531</v>
      </c>
      <c r="C202" s="172" t="s">
        <v>532</v>
      </c>
      <c r="D202" s="173" t="s">
        <v>533</v>
      </c>
      <c r="E202" s="34">
        <v>4000</v>
      </c>
      <c r="F202" s="34">
        <f t="shared" si="92"/>
        <v>4000</v>
      </c>
      <c r="G202" s="124">
        <f t="shared" si="94"/>
        <v>0</v>
      </c>
      <c r="H202" s="63"/>
      <c r="I202" s="124">
        <f>ROUND(F202,0)</f>
        <v>4000</v>
      </c>
      <c r="J202" s="124">
        <f t="shared" si="95"/>
        <v>0</v>
      </c>
      <c r="K202" s="63"/>
      <c r="L202" s="124">
        <f t="shared" si="88"/>
        <v>4000</v>
      </c>
      <c r="M202" s="124">
        <f t="shared" si="96"/>
        <v>0</v>
      </c>
      <c r="N202" s="63"/>
      <c r="O202" s="124">
        <f t="shared" si="89"/>
        <v>4000</v>
      </c>
      <c r="P202" s="124">
        <f t="shared" si="97"/>
        <v>0</v>
      </c>
      <c r="Q202" s="63"/>
      <c r="R202" s="124">
        <f>ROUND(O202,0)</f>
        <v>4000</v>
      </c>
      <c r="S202" s="124">
        <f t="shared" si="98"/>
        <v>0</v>
      </c>
      <c r="T202" s="63"/>
      <c r="U202" s="124">
        <f>ROUND(R202,0)</f>
        <v>4000</v>
      </c>
      <c r="V202" s="124">
        <f t="shared" si="99"/>
        <v>0</v>
      </c>
      <c r="W202" s="63"/>
    </row>
    <row r="203" spans="2:23" ht="15.6" customHeight="1" x14ac:dyDescent="0.25">
      <c r="B203" s="131" t="s">
        <v>534</v>
      </c>
      <c r="C203" s="172" t="s">
        <v>535</v>
      </c>
      <c r="D203" s="173" t="s">
        <v>536</v>
      </c>
      <c r="E203" s="34">
        <v>19228.173900000002</v>
      </c>
      <c r="F203" s="34">
        <f t="shared" si="92"/>
        <v>19228</v>
      </c>
      <c r="G203" s="124">
        <f t="shared" si="94"/>
        <v>-0.17390000000159489</v>
      </c>
      <c r="H203" s="63"/>
      <c r="I203" s="124">
        <f>ROUND(F203,0)</f>
        <v>19228</v>
      </c>
      <c r="J203" s="124">
        <f t="shared" si="95"/>
        <v>0</v>
      </c>
      <c r="K203" s="63"/>
      <c r="L203" s="124">
        <f t="shared" si="88"/>
        <v>19228</v>
      </c>
      <c r="M203" s="124">
        <f t="shared" si="96"/>
        <v>0</v>
      </c>
      <c r="N203" s="63"/>
      <c r="O203" s="124">
        <f t="shared" si="89"/>
        <v>19228</v>
      </c>
      <c r="P203" s="124">
        <f t="shared" si="97"/>
        <v>0</v>
      </c>
      <c r="Q203" s="63"/>
      <c r="R203" s="124">
        <f>ROUND(O203,0)</f>
        <v>19228</v>
      </c>
      <c r="S203" s="124">
        <f t="shared" si="98"/>
        <v>0</v>
      </c>
      <c r="T203" s="63"/>
      <c r="U203" s="124">
        <f>ROUND(R203,0)</f>
        <v>19228</v>
      </c>
      <c r="V203" s="124">
        <f t="shared" si="99"/>
        <v>0</v>
      </c>
      <c r="W203" s="63"/>
    </row>
    <row r="204" spans="2:23" s="167" customFormat="1" ht="15.6" customHeight="1" x14ac:dyDescent="0.2">
      <c r="C204" s="175" t="s">
        <v>113</v>
      </c>
      <c r="D204" s="176" t="s">
        <v>537</v>
      </c>
      <c r="E204" s="19">
        <v>4201176.8811799996</v>
      </c>
      <c r="F204" s="19">
        <f t="shared" ref="F204" si="100">F205+F211+F214+F218+F219+F220+F221+F222</f>
        <v>4201177</v>
      </c>
      <c r="G204" s="114">
        <f>G205+G211+G214+G218+G219+G220</f>
        <v>0.11881999997422099</v>
      </c>
      <c r="H204" s="114"/>
      <c r="I204" s="114">
        <f>I205+I211+I214+I218+I219+I220+I221+I222</f>
        <v>4179627</v>
      </c>
      <c r="J204" s="114">
        <f t="shared" si="95"/>
        <v>-21550</v>
      </c>
      <c r="K204" s="114"/>
      <c r="L204" s="114">
        <f>L205+L211+L214+L218+L219+L220+L221+L222</f>
        <v>4179627</v>
      </c>
      <c r="M204" s="114">
        <f t="shared" si="96"/>
        <v>0</v>
      </c>
      <c r="N204" s="114"/>
      <c r="O204" s="114">
        <f>O205+O211+O214+O218+O219+O220+O221+O222</f>
        <v>4219807</v>
      </c>
      <c r="P204" s="114">
        <f t="shared" si="97"/>
        <v>40180</v>
      </c>
      <c r="Q204" s="114"/>
      <c r="R204" s="114">
        <f>R205+R211+R214+R218+R219+R220+R221+R222</f>
        <v>4249807</v>
      </c>
      <c r="S204" s="114">
        <f t="shared" si="98"/>
        <v>30000</v>
      </c>
      <c r="T204" s="114"/>
      <c r="U204" s="114">
        <f>U205+U211+U214+U218+U219+U220+U221+U222</f>
        <v>4249807</v>
      </c>
      <c r="V204" s="114">
        <f t="shared" si="99"/>
        <v>0</v>
      </c>
      <c r="W204" s="114"/>
    </row>
    <row r="205" spans="2:23" s="167" customFormat="1" ht="15" customHeight="1" x14ac:dyDescent="0.25">
      <c r="C205" s="172" t="s">
        <v>116</v>
      </c>
      <c r="D205" s="173" t="s">
        <v>538</v>
      </c>
      <c r="E205" s="34">
        <v>2428655</v>
      </c>
      <c r="F205" s="34">
        <f t="shared" ref="F205:G205" si="101">F206+F207+F208+F209+F210</f>
        <v>2428655</v>
      </c>
      <c r="G205" s="124">
        <f t="shared" si="101"/>
        <v>0</v>
      </c>
      <c r="H205" s="124"/>
      <c r="I205" s="124">
        <f>I206+I207+I208+I209+I210</f>
        <v>2415355</v>
      </c>
      <c r="J205" s="124">
        <f t="shared" si="95"/>
        <v>-13300</v>
      </c>
      <c r="K205" s="124"/>
      <c r="L205" s="124">
        <f>L206+L207+L208+L209+L210</f>
        <v>2415355</v>
      </c>
      <c r="M205" s="124">
        <f t="shared" si="96"/>
        <v>0</v>
      </c>
      <c r="N205" s="124"/>
      <c r="O205" s="124">
        <f>O206+O207+O208+O209+O210</f>
        <v>2405535</v>
      </c>
      <c r="P205" s="124">
        <f t="shared" si="97"/>
        <v>-9820</v>
      </c>
      <c r="Q205" s="124"/>
      <c r="R205" s="124">
        <f>R206+R207+R208+R209+R210</f>
        <v>2405535</v>
      </c>
      <c r="S205" s="124">
        <f t="shared" si="98"/>
        <v>0</v>
      </c>
      <c r="T205" s="124"/>
      <c r="U205" s="124">
        <f>U206+U207+U208+U209+U210</f>
        <v>2405535</v>
      </c>
      <c r="V205" s="124">
        <f t="shared" si="99"/>
        <v>0</v>
      </c>
      <c r="W205" s="124"/>
    </row>
    <row r="206" spans="2:23" s="195" customFormat="1" ht="21" customHeight="1" outlineLevel="1" x14ac:dyDescent="0.25">
      <c r="B206" s="195">
        <v>1010</v>
      </c>
      <c r="C206" s="196" t="s">
        <v>539</v>
      </c>
      <c r="D206" s="197" t="s">
        <v>540</v>
      </c>
      <c r="E206" s="81">
        <v>601819</v>
      </c>
      <c r="F206" s="81">
        <f>ROUND(E206,0)</f>
        <v>601819</v>
      </c>
      <c r="G206" s="192">
        <f t="shared" si="94"/>
        <v>0</v>
      </c>
      <c r="H206" s="82"/>
      <c r="I206" s="192">
        <f>ROUND(F206,0)-13300</f>
        <v>588519</v>
      </c>
      <c r="J206" s="198">
        <f t="shared" si="95"/>
        <v>-13300</v>
      </c>
      <c r="K206" s="69" t="s">
        <v>358</v>
      </c>
      <c r="L206" s="192">
        <f>ROUND(I206,0)</f>
        <v>588519</v>
      </c>
      <c r="M206" s="192">
        <f t="shared" si="96"/>
        <v>0</v>
      </c>
      <c r="N206" s="68"/>
      <c r="O206" s="192">
        <f>ROUND(L206,0)-9820</f>
        <v>578699</v>
      </c>
      <c r="P206" s="192">
        <f t="shared" si="97"/>
        <v>-9820</v>
      </c>
      <c r="Q206" s="68" t="s">
        <v>541</v>
      </c>
      <c r="R206" s="192">
        <f>ROUND(O206,0)</f>
        <v>578699</v>
      </c>
      <c r="S206" s="192">
        <f t="shared" si="98"/>
        <v>0</v>
      </c>
      <c r="T206" s="68"/>
      <c r="U206" s="192">
        <f>ROUND(R206,0)</f>
        <v>578699</v>
      </c>
      <c r="V206" s="192">
        <f t="shared" si="99"/>
        <v>0</v>
      </c>
      <c r="W206" s="68"/>
    </row>
    <row r="207" spans="2:23" s="195" customFormat="1" ht="16.149999999999999" customHeight="1" outlineLevel="1" x14ac:dyDescent="0.25">
      <c r="B207" s="195">
        <v>1010</v>
      </c>
      <c r="C207" s="196" t="s">
        <v>542</v>
      </c>
      <c r="D207" s="197" t="s">
        <v>543</v>
      </c>
      <c r="E207" s="81">
        <v>1373990</v>
      </c>
      <c r="F207" s="81">
        <f>ROUND(E207,0)</f>
        <v>1373990</v>
      </c>
      <c r="G207" s="192">
        <f t="shared" si="94"/>
        <v>0</v>
      </c>
      <c r="H207" s="35"/>
      <c r="I207" s="192">
        <f>ROUND(F207,0)</f>
        <v>1373990</v>
      </c>
      <c r="J207" s="192">
        <f t="shared" si="95"/>
        <v>0</v>
      </c>
      <c r="K207" s="36"/>
      <c r="L207" s="192">
        <f>ROUND(I207,0)</f>
        <v>1373990</v>
      </c>
      <c r="M207" s="192">
        <f t="shared" si="96"/>
        <v>0</v>
      </c>
      <c r="N207" s="36"/>
      <c r="O207" s="192">
        <f>ROUND(L207,0)</f>
        <v>1373990</v>
      </c>
      <c r="P207" s="192">
        <f t="shared" si="97"/>
        <v>0</v>
      </c>
      <c r="Q207" s="36"/>
      <c r="R207" s="192">
        <f>ROUND(O207,0)</f>
        <v>1373990</v>
      </c>
      <c r="S207" s="192">
        <f t="shared" si="98"/>
        <v>0</v>
      </c>
      <c r="T207" s="36"/>
      <c r="U207" s="192">
        <f>ROUND(R207,0)</f>
        <v>1373990</v>
      </c>
      <c r="V207" s="192">
        <f t="shared" si="99"/>
        <v>0</v>
      </c>
      <c r="W207" s="36"/>
    </row>
    <row r="208" spans="2:23" s="195" customFormat="1" ht="17.45" customHeight="1" outlineLevel="1" x14ac:dyDescent="0.25">
      <c r="B208" s="195">
        <v>1010</v>
      </c>
      <c r="C208" s="196" t="s">
        <v>544</v>
      </c>
      <c r="D208" s="197" t="s">
        <v>545</v>
      </c>
      <c r="E208" s="81">
        <v>25954</v>
      </c>
      <c r="F208" s="81">
        <f>ROUND(E208,0)</f>
        <v>25954</v>
      </c>
      <c r="G208" s="192">
        <f t="shared" si="94"/>
        <v>0</v>
      </c>
      <c r="H208" s="36"/>
      <c r="I208" s="192">
        <f>ROUND(F208,0)</f>
        <v>25954</v>
      </c>
      <c r="J208" s="192">
        <f t="shared" si="95"/>
        <v>0</v>
      </c>
      <c r="K208" s="36"/>
      <c r="L208" s="192">
        <f>ROUND(I208,0)</f>
        <v>25954</v>
      </c>
      <c r="M208" s="192">
        <f t="shared" si="96"/>
        <v>0</v>
      </c>
      <c r="N208" s="36"/>
      <c r="O208" s="192">
        <f>ROUND(L208,0)</f>
        <v>25954</v>
      </c>
      <c r="P208" s="192">
        <f t="shared" si="97"/>
        <v>0</v>
      </c>
      <c r="Q208" s="36"/>
      <c r="R208" s="192">
        <f>ROUND(O208,0)</f>
        <v>25954</v>
      </c>
      <c r="S208" s="192">
        <f t="shared" si="98"/>
        <v>0</v>
      </c>
      <c r="T208" s="36"/>
      <c r="U208" s="192">
        <f>ROUND(R208,0)</f>
        <v>25954</v>
      </c>
      <c r="V208" s="192">
        <f t="shared" si="99"/>
        <v>0</v>
      </c>
      <c r="W208" s="36"/>
    </row>
    <row r="209" spans="2:23" s="195" customFormat="1" outlineLevel="1" x14ac:dyDescent="0.25">
      <c r="B209" s="195">
        <v>1012</v>
      </c>
      <c r="C209" s="196" t="s">
        <v>546</v>
      </c>
      <c r="D209" s="197" t="s">
        <v>547</v>
      </c>
      <c r="E209" s="81">
        <v>421092</v>
      </c>
      <c r="F209" s="81">
        <f>ROUND(E209,0)</f>
        <v>421092</v>
      </c>
      <c r="G209" s="192">
        <f t="shared" si="94"/>
        <v>0</v>
      </c>
      <c r="H209" s="82"/>
      <c r="I209" s="192">
        <f>ROUND(F209,0)</f>
        <v>421092</v>
      </c>
      <c r="J209" s="192">
        <f t="shared" si="95"/>
        <v>0</v>
      </c>
      <c r="K209" s="82"/>
      <c r="L209" s="192">
        <f>ROUND(I209,0)</f>
        <v>421092</v>
      </c>
      <c r="M209" s="192">
        <f t="shared" si="96"/>
        <v>0</v>
      </c>
      <c r="N209" s="82"/>
      <c r="O209" s="192">
        <f>ROUND(L209,0)</f>
        <v>421092</v>
      </c>
      <c r="P209" s="192">
        <f t="shared" si="97"/>
        <v>0</v>
      </c>
      <c r="Q209" s="82"/>
      <c r="R209" s="192">
        <f>ROUND(O209,0)</f>
        <v>421092</v>
      </c>
      <c r="S209" s="192">
        <f t="shared" si="98"/>
        <v>0</v>
      </c>
      <c r="T209" s="82"/>
      <c r="U209" s="192">
        <f>ROUND(R209,0)</f>
        <v>421092</v>
      </c>
      <c r="V209" s="192">
        <f t="shared" si="99"/>
        <v>0</v>
      </c>
      <c r="W209" s="82"/>
    </row>
    <row r="210" spans="2:23" s="195" customFormat="1" outlineLevel="1" x14ac:dyDescent="0.25">
      <c r="B210" s="195">
        <v>1015</v>
      </c>
      <c r="C210" s="196" t="s">
        <v>548</v>
      </c>
      <c r="D210" s="197" t="s">
        <v>549</v>
      </c>
      <c r="E210" s="81">
        <v>5800</v>
      </c>
      <c r="F210" s="81">
        <f>ROUND(E210,0)</f>
        <v>5800</v>
      </c>
      <c r="G210" s="192">
        <f t="shared" si="94"/>
        <v>0</v>
      </c>
      <c r="H210" s="82"/>
      <c r="I210" s="192">
        <f>ROUND(F210,0)</f>
        <v>5800</v>
      </c>
      <c r="J210" s="192">
        <f t="shared" si="95"/>
        <v>0</v>
      </c>
      <c r="K210" s="82"/>
      <c r="L210" s="192">
        <f>ROUND(I210,0)</f>
        <v>5800</v>
      </c>
      <c r="M210" s="192">
        <f t="shared" si="96"/>
        <v>0</v>
      </c>
      <c r="N210" s="82"/>
      <c r="O210" s="192">
        <f>ROUND(L210,0)</f>
        <v>5800</v>
      </c>
      <c r="P210" s="192">
        <f t="shared" si="97"/>
        <v>0</v>
      </c>
      <c r="Q210" s="82"/>
      <c r="R210" s="192">
        <f>ROUND(O210,0)</f>
        <v>5800</v>
      </c>
      <c r="S210" s="192">
        <f t="shared" si="98"/>
        <v>0</v>
      </c>
      <c r="T210" s="82"/>
      <c r="U210" s="192">
        <f>ROUND(R210,0)</f>
        <v>5800</v>
      </c>
      <c r="V210" s="192">
        <f t="shared" si="99"/>
        <v>0</v>
      </c>
      <c r="W210" s="82"/>
    </row>
    <row r="211" spans="2:23" s="167" customFormat="1" ht="19.5" customHeight="1" x14ac:dyDescent="0.25">
      <c r="C211" s="172" t="s">
        <v>121</v>
      </c>
      <c r="D211" s="173" t="s">
        <v>550</v>
      </c>
      <c r="E211" s="34">
        <v>10038</v>
      </c>
      <c r="F211" s="34">
        <f>F212+F213</f>
        <v>10038</v>
      </c>
      <c r="G211" s="124">
        <f t="shared" si="94"/>
        <v>0</v>
      </c>
      <c r="H211" s="35"/>
      <c r="I211" s="124">
        <f>I212+I213</f>
        <v>10038</v>
      </c>
      <c r="J211" s="124">
        <f t="shared" si="95"/>
        <v>0</v>
      </c>
      <c r="K211" s="35"/>
      <c r="L211" s="124">
        <f>L212+L213</f>
        <v>10038</v>
      </c>
      <c r="M211" s="124">
        <f t="shared" si="96"/>
        <v>0</v>
      </c>
      <c r="N211" s="35"/>
      <c r="O211" s="124">
        <f>O212+O213</f>
        <v>10038</v>
      </c>
      <c r="P211" s="124">
        <f t="shared" si="97"/>
        <v>0</v>
      </c>
      <c r="Q211" s="35"/>
      <c r="R211" s="124">
        <f>R212+R213</f>
        <v>10038</v>
      </c>
      <c r="S211" s="124">
        <f t="shared" si="98"/>
        <v>0</v>
      </c>
      <c r="T211" s="35"/>
      <c r="U211" s="124">
        <f>U212+U213</f>
        <v>10038</v>
      </c>
      <c r="V211" s="124">
        <f t="shared" si="99"/>
        <v>0</v>
      </c>
      <c r="W211" s="35"/>
    </row>
    <row r="212" spans="2:23" s="195" customFormat="1" outlineLevel="1" x14ac:dyDescent="0.25">
      <c r="B212" s="195">
        <v>1011</v>
      </c>
      <c r="C212" s="196" t="s">
        <v>551</v>
      </c>
      <c r="D212" s="197" t="s">
        <v>552</v>
      </c>
      <c r="E212" s="81">
        <v>1407</v>
      </c>
      <c r="F212" s="81">
        <f>ROUND(E212,0)</f>
        <v>1407</v>
      </c>
      <c r="G212" s="192">
        <f t="shared" si="94"/>
        <v>0</v>
      </c>
      <c r="H212" s="82"/>
      <c r="I212" s="192">
        <f>ROUND(F212,0)</f>
        <v>1407</v>
      </c>
      <c r="J212" s="192">
        <f t="shared" si="95"/>
        <v>0</v>
      </c>
      <c r="K212" s="82"/>
      <c r="L212" s="192">
        <f>ROUND(I212,0)</f>
        <v>1407</v>
      </c>
      <c r="M212" s="192">
        <f t="shared" si="96"/>
        <v>0</v>
      </c>
      <c r="N212" s="82"/>
      <c r="O212" s="192">
        <f>ROUND(L212,0)</f>
        <v>1407</v>
      </c>
      <c r="P212" s="192">
        <f t="shared" si="97"/>
        <v>0</v>
      </c>
      <c r="Q212" s="82"/>
      <c r="R212" s="192">
        <f>ROUND(O212,0)</f>
        <v>1407</v>
      </c>
      <c r="S212" s="192">
        <f t="shared" si="98"/>
        <v>0</v>
      </c>
      <c r="T212" s="82"/>
      <c r="U212" s="192">
        <f>ROUND(R212,0)</f>
        <v>1407</v>
      </c>
      <c r="V212" s="192">
        <f t="shared" si="99"/>
        <v>0</v>
      </c>
      <c r="W212" s="82"/>
    </row>
    <row r="213" spans="2:23" s="195" customFormat="1" outlineLevel="1" x14ac:dyDescent="0.25">
      <c r="B213" s="195">
        <v>1011</v>
      </c>
      <c r="C213" s="196" t="s">
        <v>553</v>
      </c>
      <c r="D213" s="197" t="s">
        <v>554</v>
      </c>
      <c r="E213" s="81">
        <v>8631</v>
      </c>
      <c r="F213" s="81">
        <f>ROUND(E213,0)</f>
        <v>8631</v>
      </c>
      <c r="G213" s="192">
        <f t="shared" si="94"/>
        <v>0</v>
      </c>
      <c r="H213" s="82"/>
      <c r="I213" s="192">
        <f>ROUND(F213,0)</f>
        <v>8631</v>
      </c>
      <c r="J213" s="192">
        <f t="shared" si="95"/>
        <v>0</v>
      </c>
      <c r="K213" s="82"/>
      <c r="L213" s="192">
        <f>ROUND(I213,0)</f>
        <v>8631</v>
      </c>
      <c r="M213" s="192">
        <f t="shared" si="96"/>
        <v>0</v>
      </c>
      <c r="N213" s="82"/>
      <c r="O213" s="192">
        <f>ROUND(L213,0)</f>
        <v>8631</v>
      </c>
      <c r="P213" s="192">
        <f t="shared" si="97"/>
        <v>0</v>
      </c>
      <c r="Q213" s="82"/>
      <c r="R213" s="192">
        <f>ROUND(O213,0)</f>
        <v>8631</v>
      </c>
      <c r="S213" s="192">
        <f t="shared" si="98"/>
        <v>0</v>
      </c>
      <c r="T213" s="82"/>
      <c r="U213" s="192">
        <f>ROUND(R213,0)</f>
        <v>8631</v>
      </c>
      <c r="V213" s="192">
        <f t="shared" si="99"/>
        <v>0</v>
      </c>
      <c r="W213" s="82"/>
    </row>
    <row r="214" spans="2:23" s="167" customFormat="1" ht="30.6" customHeight="1" x14ac:dyDescent="0.25">
      <c r="C214" s="172" t="s">
        <v>123</v>
      </c>
      <c r="D214" s="173" t="s">
        <v>555</v>
      </c>
      <c r="E214" s="27">
        <v>839598</v>
      </c>
      <c r="F214" s="27">
        <f t="shared" ref="F214:G214" si="102">SUM(F215:F217)</f>
        <v>839598</v>
      </c>
      <c r="G214" s="125">
        <f t="shared" si="102"/>
        <v>0</v>
      </c>
      <c r="H214" s="63"/>
      <c r="I214" s="125">
        <f>SUM(I215:I217)</f>
        <v>818057</v>
      </c>
      <c r="J214" s="125">
        <f t="shared" si="95"/>
        <v>-21541</v>
      </c>
      <c r="K214" s="63"/>
      <c r="L214" s="125">
        <f>SUM(L215:L217)</f>
        <v>818057</v>
      </c>
      <c r="M214" s="125">
        <f t="shared" si="96"/>
        <v>0</v>
      </c>
      <c r="N214" s="63"/>
      <c r="O214" s="125">
        <f>SUM(O215:O217)</f>
        <v>818057</v>
      </c>
      <c r="P214" s="125">
        <f t="shared" si="97"/>
        <v>0</v>
      </c>
      <c r="Q214" s="63"/>
      <c r="R214" s="125">
        <f>SUM(R215:R217)</f>
        <v>818057</v>
      </c>
      <c r="S214" s="125">
        <f t="shared" si="98"/>
        <v>0</v>
      </c>
      <c r="T214" s="63"/>
      <c r="U214" s="125">
        <f>SUM(U215:U217)</f>
        <v>818057</v>
      </c>
      <c r="V214" s="125">
        <f t="shared" si="99"/>
        <v>0</v>
      </c>
      <c r="W214" s="63"/>
    </row>
    <row r="215" spans="2:23" s="167" customFormat="1" ht="15" customHeight="1" x14ac:dyDescent="0.25">
      <c r="B215" s="94" t="s">
        <v>556</v>
      </c>
      <c r="C215" s="199" t="s">
        <v>557</v>
      </c>
      <c r="D215" s="200" t="s">
        <v>558</v>
      </c>
      <c r="E215" s="17">
        <v>347838</v>
      </c>
      <c r="F215" s="17">
        <f t="shared" ref="F215:F220" si="103">ROUND(E215,0)</f>
        <v>347838</v>
      </c>
      <c r="G215" s="110">
        <f t="shared" si="94"/>
        <v>0</v>
      </c>
      <c r="H215" s="18"/>
      <c r="I215" s="110">
        <f>ROUND(F215,0)-21541</f>
        <v>326297</v>
      </c>
      <c r="J215" s="111">
        <f t="shared" si="95"/>
        <v>-21541</v>
      </c>
      <c r="K215" s="69" t="s">
        <v>358</v>
      </c>
      <c r="L215" s="110">
        <f t="shared" ref="L215:L222" si="104">ROUND(I215,0)</f>
        <v>326297</v>
      </c>
      <c r="M215" s="110">
        <f t="shared" si="96"/>
        <v>0</v>
      </c>
      <c r="N215" s="68"/>
      <c r="O215" s="110">
        <f t="shared" ref="O215:O222" si="105">ROUND(L215,0)</f>
        <v>326297</v>
      </c>
      <c r="P215" s="110">
        <f t="shared" si="97"/>
        <v>0</v>
      </c>
      <c r="Q215" s="68"/>
      <c r="R215" s="110">
        <f t="shared" ref="R215:R222" si="106">ROUND(O215,0)</f>
        <v>326297</v>
      </c>
      <c r="S215" s="110">
        <f t="shared" si="98"/>
        <v>0</v>
      </c>
      <c r="T215" s="68"/>
      <c r="U215" s="110">
        <f t="shared" ref="U215:U218" si="107">ROUND(R215,0)</f>
        <v>326297</v>
      </c>
      <c r="V215" s="110">
        <f t="shared" si="99"/>
        <v>0</v>
      </c>
      <c r="W215" s="68"/>
    </row>
    <row r="216" spans="2:23" s="167" customFormat="1" ht="15.75" customHeight="1" x14ac:dyDescent="0.25">
      <c r="B216" s="94" t="s">
        <v>556</v>
      </c>
      <c r="C216" s="201" t="s">
        <v>559</v>
      </c>
      <c r="D216" s="200" t="s">
        <v>560</v>
      </c>
      <c r="E216" s="17">
        <v>161090</v>
      </c>
      <c r="F216" s="17">
        <f t="shared" si="103"/>
        <v>161090</v>
      </c>
      <c r="G216" s="110">
        <f t="shared" si="94"/>
        <v>0</v>
      </c>
      <c r="H216" s="18"/>
      <c r="I216" s="110">
        <f t="shared" ref="I216:I222" si="108">ROUND(F216,0)</f>
        <v>161090</v>
      </c>
      <c r="J216" s="110">
        <f t="shared" si="95"/>
        <v>0</v>
      </c>
      <c r="K216" s="18"/>
      <c r="L216" s="110">
        <f t="shared" si="104"/>
        <v>161090</v>
      </c>
      <c r="M216" s="110">
        <f t="shared" si="96"/>
        <v>0</v>
      </c>
      <c r="N216" s="18"/>
      <c r="O216" s="110">
        <f t="shared" si="105"/>
        <v>161090</v>
      </c>
      <c r="P216" s="110">
        <f t="shared" si="97"/>
        <v>0</v>
      </c>
      <c r="Q216" s="18"/>
      <c r="R216" s="110">
        <f t="shared" si="106"/>
        <v>161090</v>
      </c>
      <c r="S216" s="110">
        <f t="shared" si="98"/>
        <v>0</v>
      </c>
      <c r="T216" s="18"/>
      <c r="U216" s="110">
        <f t="shared" si="107"/>
        <v>161090</v>
      </c>
      <c r="V216" s="110">
        <f t="shared" si="99"/>
        <v>0</v>
      </c>
      <c r="W216" s="18"/>
    </row>
    <row r="217" spans="2:23" s="167" customFormat="1" ht="15.6" customHeight="1" x14ac:dyDescent="0.25">
      <c r="B217" s="94" t="s">
        <v>561</v>
      </c>
      <c r="C217" s="199" t="s">
        <v>562</v>
      </c>
      <c r="D217" s="200" t="s">
        <v>563</v>
      </c>
      <c r="E217" s="17">
        <v>330670</v>
      </c>
      <c r="F217" s="17">
        <f t="shared" si="103"/>
        <v>330670</v>
      </c>
      <c r="G217" s="110">
        <f t="shared" si="94"/>
        <v>0</v>
      </c>
      <c r="H217" s="18"/>
      <c r="I217" s="110">
        <f t="shared" si="108"/>
        <v>330670</v>
      </c>
      <c r="J217" s="110">
        <f t="shared" si="95"/>
        <v>0</v>
      </c>
      <c r="K217" s="18"/>
      <c r="L217" s="110">
        <f t="shared" si="104"/>
        <v>330670</v>
      </c>
      <c r="M217" s="110">
        <f t="shared" si="96"/>
        <v>0</v>
      </c>
      <c r="N217" s="18"/>
      <c r="O217" s="110">
        <f t="shared" si="105"/>
        <v>330670</v>
      </c>
      <c r="P217" s="110">
        <f t="shared" si="97"/>
        <v>0</v>
      </c>
      <c r="Q217" s="18"/>
      <c r="R217" s="110">
        <f t="shared" si="106"/>
        <v>330670</v>
      </c>
      <c r="S217" s="110">
        <f t="shared" si="98"/>
        <v>0</v>
      </c>
      <c r="T217" s="18"/>
      <c r="U217" s="110">
        <f t="shared" si="107"/>
        <v>330670</v>
      </c>
      <c r="V217" s="110">
        <f t="shared" si="99"/>
        <v>0</v>
      </c>
      <c r="W217" s="18"/>
    </row>
    <row r="218" spans="2:23" s="167" customFormat="1" ht="16.149999999999999" customHeight="1" x14ac:dyDescent="0.25">
      <c r="C218" s="172" t="s">
        <v>564</v>
      </c>
      <c r="D218" s="173" t="s">
        <v>565</v>
      </c>
      <c r="E218" s="34">
        <v>132505.09117999999</v>
      </c>
      <c r="F218" s="34">
        <f t="shared" si="103"/>
        <v>132505</v>
      </c>
      <c r="G218" s="124">
        <f t="shared" si="94"/>
        <v>-9.1179999988526106E-2</v>
      </c>
      <c r="H218" s="63"/>
      <c r="I218" s="124">
        <f>ROUND(F218,0)-6709</f>
        <v>125796</v>
      </c>
      <c r="J218" s="174">
        <f t="shared" si="95"/>
        <v>-6709</v>
      </c>
      <c r="K218" s="62" t="s">
        <v>358</v>
      </c>
      <c r="L218" s="124">
        <f t="shared" si="104"/>
        <v>125796</v>
      </c>
      <c r="M218" s="124">
        <f t="shared" si="96"/>
        <v>0</v>
      </c>
      <c r="N218" s="35"/>
      <c r="O218" s="124">
        <f t="shared" si="105"/>
        <v>125796</v>
      </c>
      <c r="P218" s="124">
        <f t="shared" si="97"/>
        <v>0</v>
      </c>
      <c r="Q218" s="35"/>
      <c r="R218" s="124">
        <f t="shared" si="106"/>
        <v>125796</v>
      </c>
      <c r="S218" s="124">
        <f t="shared" si="98"/>
        <v>0</v>
      </c>
      <c r="T218" s="35"/>
      <c r="U218" s="124">
        <f t="shared" si="107"/>
        <v>125796</v>
      </c>
      <c r="V218" s="124">
        <f t="shared" si="99"/>
        <v>0</v>
      </c>
      <c r="W218" s="35"/>
    </row>
    <row r="219" spans="2:23" s="167" customFormat="1" ht="18.75" customHeight="1" x14ac:dyDescent="0.25">
      <c r="B219" s="94">
        <v>1016</v>
      </c>
      <c r="C219" s="172" t="s">
        <v>566</v>
      </c>
      <c r="D219" s="173" t="s">
        <v>187</v>
      </c>
      <c r="E219" s="34">
        <v>50000</v>
      </c>
      <c r="F219" s="34">
        <f t="shared" si="103"/>
        <v>50000</v>
      </c>
      <c r="G219" s="124">
        <f t="shared" si="94"/>
        <v>0</v>
      </c>
      <c r="H219" s="63"/>
      <c r="I219" s="124">
        <f>ROUND(F219,0)+20000</f>
        <v>70000</v>
      </c>
      <c r="J219" s="124">
        <f t="shared" si="95"/>
        <v>20000</v>
      </c>
      <c r="K219" s="63" t="s">
        <v>188</v>
      </c>
      <c r="L219" s="124">
        <f t="shared" si="104"/>
        <v>70000</v>
      </c>
      <c r="M219" s="124">
        <f t="shared" si="96"/>
        <v>0</v>
      </c>
      <c r="N219" s="63"/>
      <c r="O219" s="124">
        <f>ROUND(L219,0)+50000</f>
        <v>120000</v>
      </c>
      <c r="P219" s="124">
        <f t="shared" si="97"/>
        <v>50000</v>
      </c>
      <c r="Q219" s="83" t="s">
        <v>188</v>
      </c>
      <c r="R219" s="124">
        <f>ROUND(O219,0)+30000</f>
        <v>150000</v>
      </c>
      <c r="S219" s="124">
        <f t="shared" si="98"/>
        <v>30000</v>
      </c>
      <c r="T219" s="63" t="s">
        <v>188</v>
      </c>
      <c r="U219" s="124">
        <f>ROUND(R219,0)</f>
        <v>150000</v>
      </c>
      <c r="V219" s="124">
        <f t="shared" si="99"/>
        <v>0</v>
      </c>
      <c r="W219" s="63"/>
    </row>
    <row r="220" spans="2:23" s="167" customFormat="1" ht="18.75" customHeight="1" x14ac:dyDescent="0.25">
      <c r="B220" s="94">
        <v>1017</v>
      </c>
      <c r="C220" s="172" t="s">
        <v>567</v>
      </c>
      <c r="D220" s="173" t="s">
        <v>190</v>
      </c>
      <c r="E220" s="34">
        <v>698343.79</v>
      </c>
      <c r="F220" s="34">
        <f t="shared" si="103"/>
        <v>698344</v>
      </c>
      <c r="G220" s="124">
        <f t="shared" si="94"/>
        <v>0.2099999999627471</v>
      </c>
      <c r="H220" s="63"/>
      <c r="I220" s="124">
        <f t="shared" si="108"/>
        <v>698344</v>
      </c>
      <c r="J220" s="124">
        <f t="shared" si="95"/>
        <v>0</v>
      </c>
      <c r="K220" s="63"/>
      <c r="L220" s="124">
        <f t="shared" si="104"/>
        <v>698344</v>
      </c>
      <c r="M220" s="124">
        <f t="shared" si="96"/>
        <v>0</v>
      </c>
      <c r="N220" s="63"/>
      <c r="O220" s="124">
        <f t="shared" si="105"/>
        <v>698344</v>
      </c>
      <c r="P220" s="124">
        <f t="shared" si="97"/>
        <v>0</v>
      </c>
      <c r="Q220" s="63"/>
      <c r="R220" s="124">
        <f t="shared" si="106"/>
        <v>698344</v>
      </c>
      <c r="S220" s="124">
        <f t="shared" si="98"/>
        <v>0</v>
      </c>
      <c r="T220" s="63"/>
      <c r="U220" s="124">
        <f t="shared" ref="U220:U222" si="109">ROUND(R220,0)</f>
        <v>698344</v>
      </c>
      <c r="V220" s="124">
        <f t="shared" si="99"/>
        <v>0</v>
      </c>
      <c r="W220" s="63"/>
    </row>
    <row r="221" spans="2:23" ht="40.9" customHeight="1" x14ac:dyDescent="0.25">
      <c r="B221" s="94" t="s">
        <v>568</v>
      </c>
      <c r="C221" s="172" t="s">
        <v>569</v>
      </c>
      <c r="D221" s="173" t="s">
        <v>570</v>
      </c>
      <c r="E221" s="17">
        <v>23597</v>
      </c>
      <c r="F221" s="17">
        <f>ROUND(E221,0)</f>
        <v>23597</v>
      </c>
      <c r="G221" s="110">
        <f>F221-E221</f>
        <v>0</v>
      </c>
      <c r="H221" s="68"/>
      <c r="I221" s="110">
        <f t="shared" si="108"/>
        <v>23597</v>
      </c>
      <c r="J221" s="110">
        <f t="shared" si="95"/>
        <v>0</v>
      </c>
      <c r="K221" s="68"/>
      <c r="L221" s="110">
        <f t="shared" si="104"/>
        <v>23597</v>
      </c>
      <c r="M221" s="110">
        <f t="shared" si="96"/>
        <v>0</v>
      </c>
      <c r="N221" s="68"/>
      <c r="O221" s="110">
        <f t="shared" si="105"/>
        <v>23597</v>
      </c>
      <c r="P221" s="110">
        <f t="shared" si="97"/>
        <v>0</v>
      </c>
      <c r="Q221" s="68"/>
      <c r="R221" s="110">
        <f t="shared" si="106"/>
        <v>23597</v>
      </c>
      <c r="S221" s="110">
        <f t="shared" si="98"/>
        <v>0</v>
      </c>
      <c r="T221" s="68"/>
      <c r="U221" s="110">
        <f t="shared" si="109"/>
        <v>23597</v>
      </c>
      <c r="V221" s="110">
        <f t="shared" si="99"/>
        <v>0</v>
      </c>
      <c r="W221" s="68"/>
    </row>
    <row r="222" spans="2:23" ht="44.45" customHeight="1" x14ac:dyDescent="0.25">
      <c r="B222" s="94" t="s">
        <v>571</v>
      </c>
      <c r="C222" s="172" t="s">
        <v>572</v>
      </c>
      <c r="D222" s="173" t="s">
        <v>573</v>
      </c>
      <c r="E222" s="17">
        <v>18440</v>
      </c>
      <c r="F222" s="17">
        <f>ROUND(E222,0)</f>
        <v>18440</v>
      </c>
      <c r="G222" s="110">
        <f>F222-E222</f>
        <v>0</v>
      </c>
      <c r="H222" s="68"/>
      <c r="I222" s="110">
        <f t="shared" si="108"/>
        <v>18440</v>
      </c>
      <c r="J222" s="110">
        <f t="shared" si="95"/>
        <v>0</v>
      </c>
      <c r="K222" s="68"/>
      <c r="L222" s="110">
        <f t="shared" si="104"/>
        <v>18440</v>
      </c>
      <c r="M222" s="110">
        <f t="shared" si="96"/>
        <v>0</v>
      </c>
      <c r="N222" s="68"/>
      <c r="O222" s="110">
        <f t="shared" si="105"/>
        <v>18440</v>
      </c>
      <c r="P222" s="110">
        <f t="shared" si="97"/>
        <v>0</v>
      </c>
      <c r="Q222" s="68"/>
      <c r="R222" s="110">
        <f t="shared" si="106"/>
        <v>18440</v>
      </c>
      <c r="S222" s="110">
        <f t="shared" si="98"/>
        <v>0</v>
      </c>
      <c r="T222" s="68"/>
      <c r="U222" s="110">
        <f t="shared" si="109"/>
        <v>18440</v>
      </c>
      <c r="V222" s="110">
        <f t="shared" si="99"/>
        <v>0</v>
      </c>
      <c r="W222" s="68"/>
    </row>
    <row r="223" spans="2:23" x14ac:dyDescent="0.25">
      <c r="C223" s="175" t="s">
        <v>126</v>
      </c>
      <c r="D223" s="176" t="s">
        <v>574</v>
      </c>
      <c r="E223" s="19">
        <v>21517854.165859237</v>
      </c>
      <c r="F223" s="19">
        <f>F224+F225+F228+F231+F235+F239+F243+F251+F252+F263+F266+F269+F270+F271+F272+F273+F274</f>
        <v>21576210</v>
      </c>
      <c r="G223" s="114">
        <f>G224+G225+G228+G231+G235+G239+G243+G252+G263+G266+G269+G270+G271+G272+G273+G274</f>
        <v>58356.224140764331</v>
      </c>
      <c r="H223" s="114"/>
      <c r="I223" s="114">
        <f>I224+I225+I228+I231+I235+I239+I243+I251+I252+I263+I266+I269+I270+I271+I272+I273+I274</f>
        <v>21675003</v>
      </c>
      <c r="J223" s="114">
        <f t="shared" si="95"/>
        <v>98793</v>
      </c>
      <c r="K223" s="114"/>
      <c r="L223" s="114">
        <f>L224+L225+L228+L231+L235+L239+L243+L251+L252+L263+L266+L269+L270+L271+L272+L273+L274</f>
        <v>21738469</v>
      </c>
      <c r="M223" s="114">
        <f t="shared" si="96"/>
        <v>63466</v>
      </c>
      <c r="N223" s="114"/>
      <c r="O223" s="114">
        <f>O224+O225+O228+O231+O235+O239+O243+O251+O252+O263+O266+O269+O270+O271+O272+O273+O274</f>
        <v>21751989</v>
      </c>
      <c r="P223" s="114">
        <f t="shared" si="97"/>
        <v>13520</v>
      </c>
      <c r="Q223" s="114"/>
      <c r="R223" s="114">
        <f>R224+R225+R228+R231+R235+R239+R243+R251+R252+R263+R266+R269+R270+R271+R272+R273+R274</f>
        <v>21982854</v>
      </c>
      <c r="S223" s="114">
        <f t="shared" si="98"/>
        <v>230865</v>
      </c>
      <c r="T223" s="114"/>
      <c r="U223" s="114">
        <f>U224+U225+U228+U231+U235+U239+U243+U251+U252+U263+U266+U269+U270+U271+U272+U273+U274</f>
        <v>22040448</v>
      </c>
      <c r="V223" s="114">
        <f t="shared" si="99"/>
        <v>57594</v>
      </c>
      <c r="W223" s="114"/>
    </row>
    <row r="224" spans="2:23" ht="27.6" customHeight="1" x14ac:dyDescent="0.25">
      <c r="B224" s="202" t="s">
        <v>575</v>
      </c>
      <c r="C224" s="172" t="s">
        <v>576</v>
      </c>
      <c r="D224" s="180" t="s">
        <v>577</v>
      </c>
      <c r="E224" s="34">
        <v>1009440</v>
      </c>
      <c r="F224" s="34">
        <f>ROUND(E224,0)</f>
        <v>1009440</v>
      </c>
      <c r="G224" s="124">
        <f t="shared" si="94"/>
        <v>0</v>
      </c>
      <c r="H224" s="35"/>
      <c r="I224" s="124">
        <f>ROUND(F224,0)</f>
        <v>1009440</v>
      </c>
      <c r="J224" s="124">
        <f t="shared" si="95"/>
        <v>0</v>
      </c>
      <c r="K224" s="35"/>
      <c r="L224" s="124">
        <f>ROUND(I224,0)</f>
        <v>1009440</v>
      </c>
      <c r="M224" s="124">
        <f t="shared" si="96"/>
        <v>0</v>
      </c>
      <c r="N224" s="35"/>
      <c r="O224" s="124">
        <f>ROUND(L224,0)</f>
        <v>1009440</v>
      </c>
      <c r="P224" s="124">
        <f t="shared" si="97"/>
        <v>0</v>
      </c>
      <c r="Q224" s="35"/>
      <c r="R224" s="124">
        <f>ROUND(O224,0)-220908</f>
        <v>788532</v>
      </c>
      <c r="S224" s="124">
        <f t="shared" si="98"/>
        <v>-220908</v>
      </c>
      <c r="T224" s="35" t="s">
        <v>578</v>
      </c>
      <c r="U224" s="124">
        <f>ROUND(R224,0)-5000</f>
        <v>783532</v>
      </c>
      <c r="V224" s="124">
        <f t="shared" si="99"/>
        <v>-5000</v>
      </c>
      <c r="W224" s="35" t="s">
        <v>1147</v>
      </c>
    </row>
    <row r="225" spans="2:23" ht="18" customHeight="1" x14ac:dyDescent="0.25">
      <c r="C225" s="172" t="s">
        <v>579</v>
      </c>
      <c r="D225" s="180" t="s">
        <v>580</v>
      </c>
      <c r="E225" s="34">
        <v>1943919.3519472245</v>
      </c>
      <c r="F225" s="34">
        <f t="shared" ref="F225" si="110">SUM(F226:F227)</f>
        <v>1943919</v>
      </c>
      <c r="G225" s="124">
        <f t="shared" si="94"/>
        <v>-0.35194722446613014</v>
      </c>
      <c r="H225" s="63"/>
      <c r="I225" s="124">
        <f>SUM(I226:I227)</f>
        <v>1956009</v>
      </c>
      <c r="J225" s="124">
        <f t="shared" si="95"/>
        <v>12090</v>
      </c>
      <c r="K225" s="63"/>
      <c r="L225" s="124">
        <f>SUM(L226:L227)</f>
        <v>1960502</v>
      </c>
      <c r="M225" s="124">
        <f t="shared" si="96"/>
        <v>4493</v>
      </c>
      <c r="N225" s="63"/>
      <c r="O225" s="124">
        <f>SUM(O226:O227)</f>
        <v>1960502</v>
      </c>
      <c r="P225" s="124">
        <f t="shared" si="97"/>
        <v>0</v>
      </c>
      <c r="Q225" s="63"/>
      <c r="R225" s="124">
        <f>SUM(R226:R227)</f>
        <v>1981391</v>
      </c>
      <c r="S225" s="124">
        <f t="shared" si="98"/>
        <v>20889</v>
      </c>
      <c r="T225" s="63"/>
      <c r="U225" s="124">
        <f>SUM(U226:U227)</f>
        <v>1981391</v>
      </c>
      <c r="V225" s="124">
        <f t="shared" si="99"/>
        <v>0</v>
      </c>
      <c r="W225" s="63"/>
    </row>
    <row r="226" spans="2:23" ht="16.149999999999999" customHeight="1" x14ac:dyDescent="0.25">
      <c r="B226" s="131" t="s">
        <v>581</v>
      </c>
      <c r="C226" s="178" t="s">
        <v>582</v>
      </c>
      <c r="D226" s="155" t="s">
        <v>583</v>
      </c>
      <c r="E226" s="84">
        <v>273761</v>
      </c>
      <c r="F226" s="84">
        <f>ROUND(E226,0)</f>
        <v>273761</v>
      </c>
      <c r="G226" s="203">
        <f t="shared" si="94"/>
        <v>0</v>
      </c>
      <c r="H226" s="25"/>
      <c r="I226" s="203">
        <f>ROUND(F226,0)</f>
        <v>273761</v>
      </c>
      <c r="J226" s="203">
        <f t="shared" si="95"/>
        <v>0</v>
      </c>
      <c r="K226" s="25"/>
      <c r="L226" s="203">
        <f>ROUND(I226,0)+4493</f>
        <v>278254</v>
      </c>
      <c r="M226" s="203">
        <f t="shared" si="96"/>
        <v>4493</v>
      </c>
      <c r="N226" s="25" t="s">
        <v>150</v>
      </c>
      <c r="O226" s="203">
        <f>ROUND(L226,0)</f>
        <v>278254</v>
      </c>
      <c r="P226" s="203">
        <f t="shared" si="97"/>
        <v>0</v>
      </c>
      <c r="Q226" s="25"/>
      <c r="R226" s="203">
        <f>ROUND(O226,0)+19049+1840</f>
        <v>299143</v>
      </c>
      <c r="S226" s="203">
        <f t="shared" si="98"/>
        <v>20889</v>
      </c>
      <c r="T226" s="25" t="s">
        <v>137</v>
      </c>
      <c r="U226" s="203">
        <f>ROUND(R226,0)</f>
        <v>299143</v>
      </c>
      <c r="V226" s="203">
        <f t="shared" si="99"/>
        <v>0</v>
      </c>
      <c r="W226" s="25"/>
    </row>
    <row r="227" spans="2:23" ht="15" customHeight="1" x14ac:dyDescent="0.25">
      <c r="B227" s="131" t="s">
        <v>584</v>
      </c>
      <c r="C227" s="178" t="s">
        <v>585</v>
      </c>
      <c r="D227" s="155" t="s">
        <v>586</v>
      </c>
      <c r="E227" s="84">
        <v>1670158.3519472245</v>
      </c>
      <c r="F227" s="84">
        <f>ROUND(E227,0)</f>
        <v>1670158</v>
      </c>
      <c r="G227" s="203">
        <f t="shared" si="94"/>
        <v>-0.35194722446613014</v>
      </c>
      <c r="H227" s="85"/>
      <c r="I227" s="203">
        <f>ROUND(F227,0)-7910+20000</f>
        <v>1682248</v>
      </c>
      <c r="J227" s="204">
        <f t="shared" si="95"/>
        <v>12090</v>
      </c>
      <c r="K227" s="26" t="s">
        <v>587</v>
      </c>
      <c r="L227" s="203">
        <f>ROUND(I227,0)</f>
        <v>1682248</v>
      </c>
      <c r="M227" s="203">
        <f t="shared" si="96"/>
        <v>0</v>
      </c>
      <c r="N227" s="25"/>
      <c r="O227" s="203">
        <f>ROUND(L227,0)</f>
        <v>1682248</v>
      </c>
      <c r="P227" s="203">
        <f t="shared" si="97"/>
        <v>0</v>
      </c>
      <c r="Q227" s="25"/>
      <c r="R227" s="203">
        <f>ROUND(O227,0)</f>
        <v>1682248</v>
      </c>
      <c r="S227" s="203">
        <f t="shared" si="98"/>
        <v>0</v>
      </c>
      <c r="T227" s="25"/>
      <c r="U227" s="203">
        <f>ROUND(R227,0)</f>
        <v>1682248</v>
      </c>
      <c r="V227" s="203">
        <f t="shared" si="99"/>
        <v>0</v>
      </c>
      <c r="W227" s="25"/>
    </row>
    <row r="228" spans="2:23" ht="18" customHeight="1" x14ac:dyDescent="0.25">
      <c r="C228" s="172" t="s">
        <v>588</v>
      </c>
      <c r="D228" s="180" t="s">
        <v>589</v>
      </c>
      <c r="E228" s="34">
        <v>1237573.6494368</v>
      </c>
      <c r="F228" s="34">
        <f>F229+F230</f>
        <v>1237574</v>
      </c>
      <c r="G228" s="124">
        <f t="shared" si="94"/>
        <v>0.35056319995783269</v>
      </c>
      <c r="H228" s="63"/>
      <c r="I228" s="124">
        <f>I229+I230</f>
        <v>1230777</v>
      </c>
      <c r="J228" s="124">
        <f t="shared" si="95"/>
        <v>-6797</v>
      </c>
      <c r="K228" s="63"/>
      <c r="L228" s="124">
        <f>L229+L230</f>
        <v>1232647</v>
      </c>
      <c r="M228" s="124">
        <f t="shared" si="96"/>
        <v>1870</v>
      </c>
      <c r="N228" s="63"/>
      <c r="O228" s="124">
        <f>O229+O230</f>
        <v>1232647</v>
      </c>
      <c r="P228" s="124">
        <f t="shared" si="97"/>
        <v>0</v>
      </c>
      <c r="Q228" s="63"/>
      <c r="R228" s="124">
        <f>R229+R230</f>
        <v>1237648</v>
      </c>
      <c r="S228" s="124">
        <f t="shared" si="98"/>
        <v>5001</v>
      </c>
      <c r="T228" s="63"/>
      <c r="U228" s="124">
        <f>U229+U230</f>
        <v>1237648</v>
      </c>
      <c r="V228" s="124">
        <f t="shared" si="99"/>
        <v>0</v>
      </c>
      <c r="W228" s="63"/>
    </row>
    <row r="229" spans="2:23" ht="16.5" customHeight="1" x14ac:dyDescent="0.25">
      <c r="B229" s="131" t="s">
        <v>590</v>
      </c>
      <c r="C229" s="178" t="s">
        <v>591</v>
      </c>
      <c r="D229" s="155" t="s">
        <v>583</v>
      </c>
      <c r="E229" s="17">
        <v>113943</v>
      </c>
      <c r="F229" s="17">
        <f>ROUND(E229,0)</f>
        <v>113943</v>
      </c>
      <c r="G229" s="110">
        <f t="shared" si="94"/>
        <v>0</v>
      </c>
      <c r="H229" s="25"/>
      <c r="I229" s="110">
        <f>ROUND(F229,0)</f>
        <v>113943</v>
      </c>
      <c r="J229" s="110">
        <f t="shared" si="95"/>
        <v>0</v>
      </c>
      <c r="K229" s="25"/>
      <c r="L229" s="110">
        <f>ROUND(I229,0)+1870</f>
        <v>115813</v>
      </c>
      <c r="M229" s="110">
        <f t="shared" si="96"/>
        <v>1870</v>
      </c>
      <c r="N229" s="25" t="s">
        <v>150</v>
      </c>
      <c r="O229" s="110">
        <f>ROUND(L229,0)</f>
        <v>115813</v>
      </c>
      <c r="P229" s="110">
        <f t="shared" si="97"/>
        <v>0</v>
      </c>
      <c r="Q229" s="25"/>
      <c r="R229" s="110">
        <f>ROUND(O229,0)+5001</f>
        <v>120814</v>
      </c>
      <c r="S229" s="110">
        <f t="shared" si="98"/>
        <v>5001</v>
      </c>
      <c r="T229" s="25" t="s">
        <v>137</v>
      </c>
      <c r="U229" s="110">
        <f>ROUND(R229,0)</f>
        <v>120814</v>
      </c>
      <c r="V229" s="110">
        <f t="shared" si="99"/>
        <v>0</v>
      </c>
      <c r="W229" s="25"/>
    </row>
    <row r="230" spans="2:23" ht="13.15" customHeight="1" x14ac:dyDescent="0.25">
      <c r="B230" s="131" t="s">
        <v>592</v>
      </c>
      <c r="C230" s="178" t="s">
        <v>593</v>
      </c>
      <c r="D230" s="155" t="s">
        <v>586</v>
      </c>
      <c r="E230" s="17">
        <v>1123630.6494368</v>
      </c>
      <c r="F230" s="17">
        <f>ROUND(E230,0)</f>
        <v>1123631</v>
      </c>
      <c r="G230" s="110">
        <f t="shared" si="94"/>
        <v>0.35056319995783269</v>
      </c>
      <c r="H230" s="25"/>
      <c r="I230" s="110">
        <f>ROUND(F230,0)-6797</f>
        <v>1116834</v>
      </c>
      <c r="J230" s="111">
        <f t="shared" si="95"/>
        <v>-6797</v>
      </c>
      <c r="K230" s="26" t="s">
        <v>358</v>
      </c>
      <c r="L230" s="110">
        <f>ROUND(I230,0)</f>
        <v>1116834</v>
      </c>
      <c r="M230" s="110">
        <f t="shared" si="96"/>
        <v>0</v>
      </c>
      <c r="N230" s="25"/>
      <c r="O230" s="110">
        <f>ROUND(L230,0)</f>
        <v>1116834</v>
      </c>
      <c r="P230" s="110">
        <f t="shared" si="97"/>
        <v>0</v>
      </c>
      <c r="Q230" s="25"/>
      <c r="R230" s="110">
        <f>ROUND(O230,0)</f>
        <v>1116834</v>
      </c>
      <c r="S230" s="110">
        <f t="shared" si="98"/>
        <v>0</v>
      </c>
      <c r="T230" s="25"/>
      <c r="U230" s="110">
        <f>ROUND(R230,0)</f>
        <v>1116834</v>
      </c>
      <c r="V230" s="110">
        <f t="shared" si="99"/>
        <v>0</v>
      </c>
      <c r="W230" s="25"/>
    </row>
    <row r="231" spans="2:23" ht="18" customHeight="1" x14ac:dyDescent="0.25">
      <c r="C231" s="205" t="s">
        <v>594</v>
      </c>
      <c r="D231" s="180" t="s">
        <v>595</v>
      </c>
      <c r="E231" s="34">
        <v>1320896.3067867202</v>
      </c>
      <c r="F231" s="34">
        <f>F232+F233+F234</f>
        <v>1320896</v>
      </c>
      <c r="G231" s="124">
        <f t="shared" si="94"/>
        <v>-0.30678672017529607</v>
      </c>
      <c r="H231" s="63"/>
      <c r="I231" s="124">
        <f>I232+I233+I234</f>
        <v>1320896</v>
      </c>
      <c r="J231" s="124">
        <f t="shared" si="95"/>
        <v>0</v>
      </c>
      <c r="K231" s="63"/>
      <c r="L231" s="124">
        <f>L232+L233+L234</f>
        <v>1323864</v>
      </c>
      <c r="M231" s="124">
        <f t="shared" si="96"/>
        <v>2968</v>
      </c>
      <c r="N231" s="63"/>
      <c r="O231" s="124">
        <f>O232+O233+O234</f>
        <v>1323864</v>
      </c>
      <c r="P231" s="124">
        <f t="shared" si="97"/>
        <v>0</v>
      </c>
      <c r="Q231" s="63"/>
      <c r="R231" s="124">
        <f>R232+R233+R234</f>
        <v>1324966</v>
      </c>
      <c r="S231" s="124">
        <f t="shared" si="98"/>
        <v>1102</v>
      </c>
      <c r="T231" s="63"/>
      <c r="U231" s="124">
        <f>U232+U233+U234</f>
        <v>1327591</v>
      </c>
      <c r="V231" s="124">
        <f t="shared" si="99"/>
        <v>2625</v>
      </c>
      <c r="W231" s="63"/>
    </row>
    <row r="232" spans="2:23" ht="13.5" customHeight="1" x14ac:dyDescent="0.25">
      <c r="B232" s="94" t="s">
        <v>596</v>
      </c>
      <c r="C232" s="178" t="s">
        <v>597</v>
      </c>
      <c r="D232" s="155" t="s">
        <v>583</v>
      </c>
      <c r="E232" s="17">
        <v>192011</v>
      </c>
      <c r="F232" s="17">
        <f>ROUND(E232,0)</f>
        <v>192011</v>
      </c>
      <c r="G232" s="110">
        <f t="shared" si="94"/>
        <v>0</v>
      </c>
      <c r="H232" s="25"/>
      <c r="I232" s="110">
        <f>ROUND(F232,0)</f>
        <v>192011</v>
      </c>
      <c r="J232" s="110">
        <f t="shared" si="95"/>
        <v>0</v>
      </c>
      <c r="K232" s="25"/>
      <c r="L232" s="110">
        <f>ROUND(I232,0)+2968</f>
        <v>194979</v>
      </c>
      <c r="M232" s="110">
        <f t="shared" si="96"/>
        <v>2968</v>
      </c>
      <c r="N232" s="25" t="s">
        <v>150</v>
      </c>
      <c r="O232" s="110">
        <f>ROUND(L232,0)</f>
        <v>194979</v>
      </c>
      <c r="P232" s="110">
        <f t="shared" si="97"/>
        <v>0</v>
      </c>
      <c r="Q232" s="25"/>
      <c r="R232" s="110">
        <f>ROUND(O232,0)+1102</f>
        <v>196081</v>
      </c>
      <c r="S232" s="110">
        <f t="shared" si="98"/>
        <v>1102</v>
      </c>
      <c r="T232" s="25" t="s">
        <v>137</v>
      </c>
      <c r="U232" s="110">
        <f>ROUND(R232,0)</f>
        <v>196081</v>
      </c>
      <c r="V232" s="110">
        <f t="shared" si="99"/>
        <v>0</v>
      </c>
      <c r="W232" s="25"/>
    </row>
    <row r="233" spans="2:23" ht="17.45" customHeight="1" x14ac:dyDescent="0.25">
      <c r="B233" s="94" t="s">
        <v>598</v>
      </c>
      <c r="C233" s="178" t="s">
        <v>599</v>
      </c>
      <c r="D233" s="155" t="s">
        <v>586</v>
      </c>
      <c r="E233" s="17">
        <v>968536.30678672018</v>
      </c>
      <c r="F233" s="17">
        <f>ROUND(E233,0)</f>
        <v>968536</v>
      </c>
      <c r="G233" s="110">
        <f t="shared" si="94"/>
        <v>-0.30678672017529607</v>
      </c>
      <c r="H233" s="25"/>
      <c r="I233" s="110">
        <f>ROUND(F233,0)</f>
        <v>968536</v>
      </c>
      <c r="J233" s="110">
        <f t="shared" si="95"/>
        <v>0</v>
      </c>
      <c r="K233" s="25"/>
      <c r="L233" s="110">
        <f>ROUND(I233,0)</f>
        <v>968536</v>
      </c>
      <c r="M233" s="110">
        <f t="shared" si="96"/>
        <v>0</v>
      </c>
      <c r="N233" s="25"/>
      <c r="O233" s="110">
        <f>ROUND(L233,0)</f>
        <v>968536</v>
      </c>
      <c r="P233" s="110">
        <f t="shared" si="97"/>
        <v>0</v>
      </c>
      <c r="Q233" s="25"/>
      <c r="R233" s="110">
        <f>ROUND(O233,0)</f>
        <v>968536</v>
      </c>
      <c r="S233" s="110">
        <f t="shared" si="98"/>
        <v>0</v>
      </c>
      <c r="T233" s="25"/>
      <c r="U233" s="110">
        <f>ROUND(R233,0)</f>
        <v>968536</v>
      </c>
      <c r="V233" s="110">
        <f t="shared" si="99"/>
        <v>0</v>
      </c>
      <c r="W233" s="25"/>
    </row>
    <row r="234" spans="2:23" ht="39" customHeight="1" x14ac:dyDescent="0.25">
      <c r="C234" s="178" t="s">
        <v>600</v>
      </c>
      <c r="D234" s="155" t="s">
        <v>601</v>
      </c>
      <c r="E234" s="17">
        <v>160349</v>
      </c>
      <c r="F234" s="17">
        <f>ROUND(E234,0)</f>
        <v>160349</v>
      </c>
      <c r="G234" s="110">
        <f>F234-E234</f>
        <v>0</v>
      </c>
      <c r="H234" s="25"/>
      <c r="I234" s="110">
        <f>ROUND(F234,0)</f>
        <v>160349</v>
      </c>
      <c r="J234" s="110">
        <f t="shared" si="95"/>
        <v>0</v>
      </c>
      <c r="K234" s="25"/>
      <c r="L234" s="110">
        <f>ROUND(I234,0)</f>
        <v>160349</v>
      </c>
      <c r="M234" s="110">
        <f t="shared" si="96"/>
        <v>0</v>
      </c>
      <c r="N234" s="25"/>
      <c r="O234" s="110">
        <f>ROUND(L234,0)</f>
        <v>160349</v>
      </c>
      <c r="P234" s="110">
        <f t="shared" si="97"/>
        <v>0</v>
      </c>
      <c r="Q234" s="25"/>
      <c r="R234" s="110">
        <f>ROUND(O234,0)</f>
        <v>160349</v>
      </c>
      <c r="S234" s="110">
        <f t="shared" si="98"/>
        <v>0</v>
      </c>
      <c r="T234" s="25"/>
      <c r="U234" s="110">
        <f>ROUND(R234,0)+2625</f>
        <v>162974</v>
      </c>
      <c r="V234" s="110">
        <f t="shared" si="99"/>
        <v>2625</v>
      </c>
      <c r="W234" s="25" t="s">
        <v>602</v>
      </c>
    </row>
    <row r="235" spans="2:23" x14ac:dyDescent="0.25">
      <c r="B235" s="94" t="s">
        <v>603</v>
      </c>
      <c r="C235" s="205" t="s">
        <v>604</v>
      </c>
      <c r="D235" s="180" t="s">
        <v>605</v>
      </c>
      <c r="E235" s="34">
        <v>1231648.2936508402</v>
      </c>
      <c r="F235" s="34">
        <f t="shared" ref="F235" si="111">SUM(F236:F238)</f>
        <v>1231648</v>
      </c>
      <c r="G235" s="124">
        <f t="shared" si="94"/>
        <v>-0.29365084017626941</v>
      </c>
      <c r="H235" s="63"/>
      <c r="I235" s="124">
        <f>SUM(I236:I238)</f>
        <v>1233648</v>
      </c>
      <c r="J235" s="124">
        <f t="shared" si="95"/>
        <v>2000</v>
      </c>
      <c r="K235" s="63"/>
      <c r="L235" s="124">
        <f>SUM(L236:L238)</f>
        <v>1234807</v>
      </c>
      <c r="M235" s="124">
        <f t="shared" si="96"/>
        <v>1159</v>
      </c>
      <c r="N235" s="63"/>
      <c r="O235" s="124">
        <f>SUM(O236:O238)</f>
        <v>1234807</v>
      </c>
      <c r="P235" s="124">
        <f t="shared" si="97"/>
        <v>0</v>
      </c>
      <c r="Q235" s="63"/>
      <c r="R235" s="124">
        <f>SUM(R236:R238)</f>
        <v>1252512</v>
      </c>
      <c r="S235" s="124">
        <f t="shared" si="98"/>
        <v>17705</v>
      </c>
      <c r="T235" s="63"/>
      <c r="U235" s="124">
        <f>SUM(U236:U238)</f>
        <v>1252512</v>
      </c>
      <c r="V235" s="124">
        <f t="shared" si="99"/>
        <v>0</v>
      </c>
      <c r="W235" s="63"/>
    </row>
    <row r="236" spans="2:23" s="207" customFormat="1" ht="17.25" customHeight="1" x14ac:dyDescent="0.25">
      <c r="B236" s="206" t="s">
        <v>606</v>
      </c>
      <c r="C236" s="178" t="s">
        <v>607</v>
      </c>
      <c r="D236" s="155" t="s">
        <v>583</v>
      </c>
      <c r="E236" s="17">
        <v>71133</v>
      </c>
      <c r="F236" s="17">
        <f>ROUND(E236,0)</f>
        <v>71133</v>
      </c>
      <c r="G236" s="203">
        <f t="shared" si="94"/>
        <v>0</v>
      </c>
      <c r="H236" s="18"/>
      <c r="I236" s="110">
        <f>ROUND(F236,0)</f>
        <v>71133</v>
      </c>
      <c r="J236" s="203">
        <f t="shared" si="95"/>
        <v>0</v>
      </c>
      <c r="K236" s="18"/>
      <c r="L236" s="110">
        <f>ROUND(I236,0)+1159</f>
        <v>72292</v>
      </c>
      <c r="M236" s="203">
        <f t="shared" si="96"/>
        <v>1159</v>
      </c>
      <c r="N236" s="18" t="s">
        <v>150</v>
      </c>
      <c r="O236" s="110">
        <f>ROUND(L236,0)</f>
        <v>72292</v>
      </c>
      <c r="P236" s="203">
        <f t="shared" si="97"/>
        <v>0</v>
      </c>
      <c r="Q236" s="18"/>
      <c r="R236" s="110">
        <f>ROUND(O236,0)+17705</f>
        <v>89997</v>
      </c>
      <c r="S236" s="203">
        <f t="shared" si="98"/>
        <v>17705</v>
      </c>
      <c r="T236" s="18" t="s">
        <v>137</v>
      </c>
      <c r="U236" s="110">
        <f>ROUND(R236,0)</f>
        <v>89997</v>
      </c>
      <c r="V236" s="203">
        <f t="shared" si="99"/>
        <v>0</v>
      </c>
      <c r="W236" s="18"/>
    </row>
    <row r="237" spans="2:23" s="207" customFormat="1" ht="15.6" customHeight="1" x14ac:dyDescent="0.25">
      <c r="C237" s="178" t="s">
        <v>608</v>
      </c>
      <c r="D237" s="155" t="s">
        <v>586</v>
      </c>
      <c r="E237" s="17">
        <v>1001768.2936508402</v>
      </c>
      <c r="F237" s="17">
        <f>ROUND(E237,0)</f>
        <v>1001768</v>
      </c>
      <c r="G237" s="203">
        <f t="shared" si="94"/>
        <v>-0.29365084017626941</v>
      </c>
      <c r="H237" s="25"/>
      <c r="I237" s="110">
        <f>ROUND(F237,0)+2000</f>
        <v>1003768</v>
      </c>
      <c r="J237" s="203">
        <f t="shared" si="95"/>
        <v>2000</v>
      </c>
      <c r="K237" s="18" t="s">
        <v>609</v>
      </c>
      <c r="L237" s="110">
        <f>ROUND(I237,0)</f>
        <v>1003768</v>
      </c>
      <c r="M237" s="203">
        <f t="shared" si="96"/>
        <v>0</v>
      </c>
      <c r="N237" s="18"/>
      <c r="O237" s="110">
        <f>ROUND(L237,0)</f>
        <v>1003768</v>
      </c>
      <c r="P237" s="203">
        <f t="shared" si="97"/>
        <v>0</v>
      </c>
      <c r="Q237" s="18"/>
      <c r="R237" s="110">
        <f>ROUND(O237,0)</f>
        <v>1003768</v>
      </c>
      <c r="S237" s="203">
        <f t="shared" si="98"/>
        <v>0</v>
      </c>
      <c r="T237" s="18"/>
      <c r="U237" s="110">
        <f>ROUND(R237,0)</f>
        <v>1003768</v>
      </c>
      <c r="V237" s="203">
        <f t="shared" si="99"/>
        <v>0</v>
      </c>
      <c r="W237" s="18"/>
    </row>
    <row r="238" spans="2:23" s="207" customFormat="1" ht="13.9" customHeight="1" x14ac:dyDescent="0.25">
      <c r="C238" s="178" t="s">
        <v>610</v>
      </c>
      <c r="D238" s="155" t="s">
        <v>601</v>
      </c>
      <c r="E238" s="17">
        <v>158747</v>
      </c>
      <c r="F238" s="17">
        <f>ROUND(E238,0)</f>
        <v>158747</v>
      </c>
      <c r="G238" s="203">
        <f>F238-E238</f>
        <v>0</v>
      </c>
      <c r="H238" s="25"/>
      <c r="I238" s="110">
        <f>ROUND(F238,0)</f>
        <v>158747</v>
      </c>
      <c r="J238" s="203">
        <f t="shared" si="95"/>
        <v>0</v>
      </c>
      <c r="K238" s="25"/>
      <c r="L238" s="110">
        <f>ROUND(I238,0)</f>
        <v>158747</v>
      </c>
      <c r="M238" s="203">
        <f t="shared" si="96"/>
        <v>0</v>
      </c>
      <c r="N238" s="25"/>
      <c r="O238" s="110">
        <f>ROUND(L238,0)</f>
        <v>158747</v>
      </c>
      <c r="P238" s="203">
        <f t="shared" si="97"/>
        <v>0</v>
      </c>
      <c r="Q238" s="25"/>
      <c r="R238" s="110">
        <f>ROUND(O238,0)</f>
        <v>158747</v>
      </c>
      <c r="S238" s="203">
        <f t="shared" si="98"/>
        <v>0</v>
      </c>
      <c r="T238" s="25"/>
      <c r="U238" s="110">
        <f>ROUND(R238,0)</f>
        <v>158747</v>
      </c>
      <c r="V238" s="203">
        <f t="shared" si="99"/>
        <v>0</v>
      </c>
      <c r="W238" s="25"/>
    </row>
    <row r="239" spans="2:23" ht="17.45" customHeight="1" x14ac:dyDescent="0.25">
      <c r="C239" s="205" t="s">
        <v>611</v>
      </c>
      <c r="D239" s="180" t="s">
        <v>612</v>
      </c>
      <c r="E239" s="34">
        <v>2137999</v>
      </c>
      <c r="F239" s="34">
        <f>F240+F241+F242</f>
        <v>2137999</v>
      </c>
      <c r="G239" s="124">
        <f t="shared" si="94"/>
        <v>0</v>
      </c>
      <c r="H239" s="63"/>
      <c r="I239" s="124">
        <f>I240+I241+I242</f>
        <v>2137999</v>
      </c>
      <c r="J239" s="124">
        <f t="shared" si="95"/>
        <v>0</v>
      </c>
      <c r="K239" s="63"/>
      <c r="L239" s="124">
        <f>L240+L241+L242</f>
        <v>2137999</v>
      </c>
      <c r="M239" s="124">
        <f t="shared" si="96"/>
        <v>0</v>
      </c>
      <c r="N239" s="63"/>
      <c r="O239" s="124">
        <f>O240+O241+O242</f>
        <v>2137999</v>
      </c>
      <c r="P239" s="124">
        <f t="shared" si="97"/>
        <v>0</v>
      </c>
      <c r="Q239" s="63"/>
      <c r="R239" s="124">
        <f>R240+R241+R242</f>
        <v>2435337</v>
      </c>
      <c r="S239" s="124">
        <f t="shared" si="98"/>
        <v>297338</v>
      </c>
      <c r="T239" s="35" t="s">
        <v>613</v>
      </c>
      <c r="U239" s="124">
        <f>U240+U241+U242</f>
        <v>2459747</v>
      </c>
      <c r="V239" s="124">
        <f t="shared" si="99"/>
        <v>24410</v>
      </c>
      <c r="W239" s="35"/>
    </row>
    <row r="240" spans="2:23" s="207" customFormat="1" ht="45" x14ac:dyDescent="0.25">
      <c r="B240" s="206" t="s">
        <v>614</v>
      </c>
      <c r="C240" s="208" t="s">
        <v>615</v>
      </c>
      <c r="D240" s="209" t="s">
        <v>616</v>
      </c>
      <c r="E240" s="17">
        <v>625207</v>
      </c>
      <c r="F240" s="17">
        <f>ROUND(E240,0)</f>
        <v>625207</v>
      </c>
      <c r="G240" s="203">
        <f t="shared" si="94"/>
        <v>0</v>
      </c>
      <c r="H240" s="18"/>
      <c r="I240" s="110">
        <f>ROUND(F240,0)</f>
        <v>625207</v>
      </c>
      <c r="J240" s="203">
        <f t="shared" si="95"/>
        <v>0</v>
      </c>
      <c r="K240" s="18"/>
      <c r="L240" s="110">
        <f>ROUND(I240,0)</f>
        <v>625207</v>
      </c>
      <c r="M240" s="203">
        <f t="shared" si="96"/>
        <v>0</v>
      </c>
      <c r="N240" s="18"/>
      <c r="O240" s="110">
        <f>ROUND(L240,0)</f>
        <v>625207</v>
      </c>
      <c r="P240" s="203">
        <f t="shared" si="97"/>
        <v>0</v>
      </c>
      <c r="Q240" s="18"/>
      <c r="R240" s="110">
        <f>ROUND(O240,0)-2770</f>
        <v>622437</v>
      </c>
      <c r="S240" s="203">
        <f t="shared" si="98"/>
        <v>-2770</v>
      </c>
      <c r="T240" s="25" t="s">
        <v>137</v>
      </c>
      <c r="U240" s="110">
        <f>ROUND(R240,0)+9026+5192*2</f>
        <v>641847</v>
      </c>
      <c r="V240" s="203">
        <f t="shared" si="99"/>
        <v>19410</v>
      </c>
      <c r="W240" s="25" t="s">
        <v>718</v>
      </c>
    </row>
    <row r="241" spans="2:23" s="207" customFormat="1" ht="16.149999999999999" customHeight="1" x14ac:dyDescent="0.25">
      <c r="B241" s="206" t="s">
        <v>617</v>
      </c>
      <c r="C241" s="208" t="s">
        <v>618</v>
      </c>
      <c r="D241" s="209" t="s">
        <v>619</v>
      </c>
      <c r="E241" s="17">
        <v>135000</v>
      </c>
      <c r="F241" s="17">
        <f>ROUND(E241,0)</f>
        <v>135000</v>
      </c>
      <c r="G241" s="203">
        <f t="shared" si="94"/>
        <v>0</v>
      </c>
      <c r="H241" s="18"/>
      <c r="I241" s="110">
        <f>ROUND(F241,0)</f>
        <v>135000</v>
      </c>
      <c r="J241" s="203">
        <f t="shared" si="95"/>
        <v>0</v>
      </c>
      <c r="K241" s="18"/>
      <c r="L241" s="110">
        <f>ROUND(I241,0)</f>
        <v>135000</v>
      </c>
      <c r="M241" s="203">
        <f t="shared" si="96"/>
        <v>0</v>
      </c>
      <c r="N241" s="18"/>
      <c r="O241" s="110">
        <f>ROUND(L241,0)</f>
        <v>135000</v>
      </c>
      <c r="P241" s="203">
        <f t="shared" si="97"/>
        <v>0</v>
      </c>
      <c r="Q241" s="18"/>
      <c r="R241" s="110">
        <f>ROUND(O241,0)+27810</f>
        <v>162810</v>
      </c>
      <c r="S241" s="203">
        <f t="shared" si="98"/>
        <v>27810</v>
      </c>
      <c r="T241" s="18"/>
      <c r="U241" s="110">
        <f>ROUND(R241,0)+5000</f>
        <v>167810</v>
      </c>
      <c r="V241" s="203">
        <f t="shared" si="99"/>
        <v>5000</v>
      </c>
      <c r="W241" s="18" t="s">
        <v>1147</v>
      </c>
    </row>
    <row r="242" spans="2:23" x14ac:dyDescent="0.25">
      <c r="B242" s="131" t="s">
        <v>617</v>
      </c>
      <c r="C242" s="178" t="s">
        <v>620</v>
      </c>
      <c r="D242" s="155" t="s">
        <v>621</v>
      </c>
      <c r="E242" s="17">
        <v>1377792</v>
      </c>
      <c r="F242" s="17">
        <f>ROUND(E242,0)</f>
        <v>1377792</v>
      </c>
      <c r="G242" s="203">
        <f t="shared" si="94"/>
        <v>0</v>
      </c>
      <c r="H242" s="18"/>
      <c r="I242" s="110">
        <f>ROUND(F242,0)</f>
        <v>1377792</v>
      </c>
      <c r="J242" s="203">
        <f t="shared" si="95"/>
        <v>0</v>
      </c>
      <c r="K242" s="18"/>
      <c r="L242" s="110">
        <f>ROUND(I242,0)</f>
        <v>1377792</v>
      </c>
      <c r="M242" s="203">
        <f t="shared" si="96"/>
        <v>0</v>
      </c>
      <c r="N242" s="18"/>
      <c r="O242" s="110">
        <f>ROUND(L242,0)</f>
        <v>1377792</v>
      </c>
      <c r="P242" s="203">
        <f t="shared" si="97"/>
        <v>0</v>
      </c>
      <c r="Q242" s="18"/>
      <c r="R242" s="110">
        <f>ROUND(O242,0)+47100+193098+32100</f>
        <v>1650090</v>
      </c>
      <c r="S242" s="203">
        <f t="shared" si="98"/>
        <v>272298</v>
      </c>
      <c r="T242" s="25"/>
      <c r="U242" s="110">
        <f>ROUND(R242,0)</f>
        <v>1650090</v>
      </c>
      <c r="V242" s="203">
        <f t="shared" si="99"/>
        <v>0</v>
      </c>
      <c r="W242" s="25"/>
    </row>
    <row r="243" spans="2:23" s="167" customFormat="1" ht="15.75" customHeight="1" x14ac:dyDescent="0.2">
      <c r="C243" s="205" t="s">
        <v>622</v>
      </c>
      <c r="D243" s="180" t="s">
        <v>623</v>
      </c>
      <c r="E243" s="65">
        <v>1977338.5930570001</v>
      </c>
      <c r="F243" s="65">
        <f t="shared" ref="F243" si="112">F244+F245+F246+F247+F248+F249+F250</f>
        <v>1974553</v>
      </c>
      <c r="G243" s="181">
        <f t="shared" si="94"/>
        <v>-2785.5930570000783</v>
      </c>
      <c r="H243" s="73"/>
      <c r="I243" s="181">
        <f>I244+I245+I246+I247+I248+I249+I250</f>
        <v>1979553</v>
      </c>
      <c r="J243" s="181">
        <f t="shared" si="95"/>
        <v>5000</v>
      </c>
      <c r="K243" s="73"/>
      <c r="L243" s="181">
        <f>L244+L245+L246+L247+L248+L249+L250</f>
        <v>1990205</v>
      </c>
      <c r="M243" s="181">
        <f t="shared" si="96"/>
        <v>10652</v>
      </c>
      <c r="N243" s="73"/>
      <c r="O243" s="181">
        <f>O244+O245+O246+O247+O248+O249+O250</f>
        <v>1993905</v>
      </c>
      <c r="P243" s="181">
        <f t="shared" si="97"/>
        <v>3700</v>
      </c>
      <c r="Q243" s="73"/>
      <c r="R243" s="181">
        <f>R244+R245+R246+R247+R248+R249+R250</f>
        <v>2044278</v>
      </c>
      <c r="S243" s="181">
        <f t="shared" si="98"/>
        <v>50373</v>
      </c>
      <c r="T243" s="73"/>
      <c r="U243" s="181">
        <f>U244+U245+U246+U247+U248+U249+U250</f>
        <v>2087578</v>
      </c>
      <c r="V243" s="181">
        <f t="shared" si="99"/>
        <v>43300</v>
      </c>
      <c r="W243" s="73"/>
    </row>
    <row r="244" spans="2:23" s="107" customFormat="1" ht="17.25" customHeight="1" x14ac:dyDescent="0.25">
      <c r="B244" s="118" t="s">
        <v>624</v>
      </c>
      <c r="C244" s="178" t="s">
        <v>625</v>
      </c>
      <c r="D244" s="155" t="s">
        <v>583</v>
      </c>
      <c r="E244" s="17">
        <v>926167</v>
      </c>
      <c r="F244" s="17">
        <f>ROUND(E244,0)</f>
        <v>926167</v>
      </c>
      <c r="G244" s="110">
        <f t="shared" si="94"/>
        <v>0</v>
      </c>
      <c r="H244" s="25"/>
      <c r="I244" s="110">
        <f>ROUND(F244,0)</f>
        <v>926167</v>
      </c>
      <c r="J244" s="110">
        <f t="shared" si="95"/>
        <v>0</v>
      </c>
      <c r="K244" s="25"/>
      <c r="L244" s="110">
        <f>ROUND(I244,0)+10652</f>
        <v>936819</v>
      </c>
      <c r="M244" s="110">
        <f t="shared" si="96"/>
        <v>10652</v>
      </c>
      <c r="N244" s="25" t="s">
        <v>150</v>
      </c>
      <c r="O244" s="110">
        <f>ROUND(L244,0)</f>
        <v>936819</v>
      </c>
      <c r="P244" s="110">
        <f t="shared" si="97"/>
        <v>0</v>
      </c>
      <c r="Q244" s="25"/>
      <c r="R244" s="110">
        <f>ROUND(O244,0)+13121+33255</f>
        <v>983195</v>
      </c>
      <c r="S244" s="110">
        <f t="shared" si="98"/>
        <v>46376</v>
      </c>
      <c r="T244" s="25" t="s">
        <v>137</v>
      </c>
      <c r="U244" s="110">
        <f>ROUND(R244,0)</f>
        <v>983195</v>
      </c>
      <c r="V244" s="110">
        <f t="shared" si="99"/>
        <v>0</v>
      </c>
      <c r="W244" s="25"/>
    </row>
    <row r="245" spans="2:23" s="107" customFormat="1" x14ac:dyDescent="0.25">
      <c r="B245" s="107" t="s">
        <v>624</v>
      </c>
      <c r="C245" s="178" t="s">
        <v>626</v>
      </c>
      <c r="D245" s="155" t="s">
        <v>627</v>
      </c>
      <c r="E245" s="17">
        <v>74869</v>
      </c>
      <c r="F245" s="17">
        <f>ROUND(E245,0)</f>
        <v>74869</v>
      </c>
      <c r="G245" s="110">
        <f t="shared" si="94"/>
        <v>0</v>
      </c>
      <c r="H245" s="25"/>
      <c r="I245" s="110">
        <f>ROUND(F245,0)</f>
        <v>74869</v>
      </c>
      <c r="J245" s="110">
        <f t="shared" si="95"/>
        <v>0</v>
      </c>
      <c r="K245" s="25"/>
      <c r="L245" s="110">
        <f t="shared" ref="L245:L251" si="113">ROUND(I245,0)</f>
        <v>74869</v>
      </c>
      <c r="M245" s="110">
        <f t="shared" si="96"/>
        <v>0</v>
      </c>
      <c r="N245" s="25"/>
      <c r="O245" s="110">
        <f t="shared" ref="O245:O250" si="114">ROUND(L245,0)</f>
        <v>74869</v>
      </c>
      <c r="P245" s="110">
        <f t="shared" si="97"/>
        <v>0</v>
      </c>
      <c r="Q245" s="25"/>
      <c r="R245" s="110">
        <f t="shared" ref="R245:R250" si="115">ROUND(O245,0)</f>
        <v>74869</v>
      </c>
      <c r="S245" s="110">
        <f t="shared" si="98"/>
        <v>0</v>
      </c>
      <c r="T245" s="25"/>
      <c r="U245" s="110">
        <f t="shared" ref="U245:U247" si="116">ROUND(R245,0)</f>
        <v>74869</v>
      </c>
      <c r="V245" s="110">
        <f t="shared" si="99"/>
        <v>0</v>
      </c>
      <c r="W245" s="25"/>
    </row>
    <row r="246" spans="2:23" s="107" customFormat="1" ht="17.25" customHeight="1" x14ac:dyDescent="0.25">
      <c r="B246" s="118" t="s">
        <v>628</v>
      </c>
      <c r="C246" s="178" t="s">
        <v>629</v>
      </c>
      <c r="D246" s="155" t="s">
        <v>586</v>
      </c>
      <c r="E246" s="17">
        <v>682154.59305699996</v>
      </c>
      <c r="F246" s="17">
        <f t="shared" ref="F246:F251" si="117">ROUND(E246,0)</f>
        <v>682155</v>
      </c>
      <c r="G246" s="110">
        <f t="shared" si="94"/>
        <v>0.40694300003815442</v>
      </c>
      <c r="H246" s="25"/>
      <c r="I246" s="110">
        <f>ROUND(F246,0)</f>
        <v>682155</v>
      </c>
      <c r="J246" s="110">
        <f t="shared" si="95"/>
        <v>0</v>
      </c>
      <c r="K246" s="25"/>
      <c r="L246" s="110">
        <f t="shared" si="113"/>
        <v>682155</v>
      </c>
      <c r="M246" s="110">
        <f t="shared" si="96"/>
        <v>0</v>
      </c>
      <c r="N246" s="25"/>
      <c r="O246" s="110">
        <f t="shared" si="114"/>
        <v>682155</v>
      </c>
      <c r="P246" s="110">
        <f t="shared" si="97"/>
        <v>0</v>
      </c>
      <c r="Q246" s="25"/>
      <c r="R246" s="110">
        <f t="shared" si="115"/>
        <v>682155</v>
      </c>
      <c r="S246" s="110">
        <f t="shared" si="98"/>
        <v>0</v>
      </c>
      <c r="T246" s="25"/>
      <c r="U246" s="110">
        <f t="shared" si="116"/>
        <v>682155</v>
      </c>
      <c r="V246" s="110">
        <f t="shared" si="99"/>
        <v>0</v>
      </c>
      <c r="W246" s="25"/>
    </row>
    <row r="247" spans="2:23" s="107" customFormat="1" ht="18" customHeight="1" x14ac:dyDescent="0.25">
      <c r="B247" s="118"/>
      <c r="C247" s="178" t="s">
        <v>630</v>
      </c>
      <c r="D247" s="155" t="s">
        <v>601</v>
      </c>
      <c r="E247" s="17">
        <v>241081</v>
      </c>
      <c r="F247" s="17">
        <f t="shared" si="117"/>
        <v>241081</v>
      </c>
      <c r="G247" s="110">
        <f t="shared" si="94"/>
        <v>0</v>
      </c>
      <c r="H247" s="25"/>
      <c r="I247" s="110">
        <f>ROUND(F247,0)</f>
        <v>241081</v>
      </c>
      <c r="J247" s="110">
        <f t="shared" si="95"/>
        <v>0</v>
      </c>
      <c r="K247" s="25"/>
      <c r="L247" s="110">
        <f t="shared" si="113"/>
        <v>241081</v>
      </c>
      <c r="M247" s="110">
        <f t="shared" si="96"/>
        <v>0</v>
      </c>
      <c r="N247" s="25"/>
      <c r="O247" s="110">
        <f>ROUND(L247,0)+3700</f>
        <v>244781</v>
      </c>
      <c r="P247" s="110">
        <f t="shared" si="97"/>
        <v>3700</v>
      </c>
      <c r="Q247" s="33" t="s">
        <v>631</v>
      </c>
      <c r="R247" s="110">
        <f t="shared" si="115"/>
        <v>244781</v>
      </c>
      <c r="S247" s="110">
        <f t="shared" si="98"/>
        <v>0</v>
      </c>
      <c r="T247" s="25"/>
      <c r="U247" s="110">
        <f t="shared" si="116"/>
        <v>244781</v>
      </c>
      <c r="V247" s="110">
        <f t="shared" si="99"/>
        <v>0</v>
      </c>
      <c r="W247" s="25"/>
    </row>
    <row r="248" spans="2:23" s="107" customFormat="1" ht="15.6" customHeight="1" x14ac:dyDescent="0.25">
      <c r="B248" s="118" t="s">
        <v>632</v>
      </c>
      <c r="C248" s="178" t="s">
        <v>633</v>
      </c>
      <c r="D248" s="155" t="s">
        <v>634</v>
      </c>
      <c r="E248" s="17">
        <v>6454</v>
      </c>
      <c r="F248" s="17">
        <f>ROUND(E248,0)-2786</f>
        <v>3668</v>
      </c>
      <c r="G248" s="110">
        <f t="shared" si="94"/>
        <v>-2786</v>
      </c>
      <c r="H248" s="18" t="s">
        <v>171</v>
      </c>
      <c r="I248" s="110">
        <f>ROUND(F248,0)</f>
        <v>3668</v>
      </c>
      <c r="J248" s="110">
        <f t="shared" si="95"/>
        <v>0</v>
      </c>
      <c r="K248" s="18"/>
      <c r="L248" s="110">
        <f t="shared" si="113"/>
        <v>3668</v>
      </c>
      <c r="M248" s="110">
        <f t="shared" si="96"/>
        <v>0</v>
      </c>
      <c r="N248" s="18"/>
      <c r="O248" s="110">
        <f t="shared" si="114"/>
        <v>3668</v>
      </c>
      <c r="P248" s="110">
        <f t="shared" si="97"/>
        <v>0</v>
      </c>
      <c r="Q248" s="18"/>
      <c r="R248" s="110">
        <f>ROUND(O248,0)+3997</f>
        <v>7665</v>
      </c>
      <c r="S248" s="110">
        <f t="shared" si="98"/>
        <v>3997</v>
      </c>
      <c r="T248" s="25" t="s">
        <v>172</v>
      </c>
      <c r="U248" s="110">
        <f>ROUND(R248,0)</f>
        <v>7665</v>
      </c>
      <c r="V248" s="110">
        <f t="shared" si="99"/>
        <v>0</v>
      </c>
      <c r="W248" s="25"/>
    </row>
    <row r="249" spans="2:23" s="167" customFormat="1" ht="13.9" customHeight="1" x14ac:dyDescent="0.25">
      <c r="B249" s="131" t="s">
        <v>635</v>
      </c>
      <c r="C249" s="178" t="s">
        <v>636</v>
      </c>
      <c r="D249" s="155" t="s">
        <v>637</v>
      </c>
      <c r="E249" s="17">
        <v>46613</v>
      </c>
      <c r="F249" s="17">
        <f t="shared" si="117"/>
        <v>46613</v>
      </c>
      <c r="G249" s="110">
        <f t="shared" si="94"/>
        <v>0</v>
      </c>
      <c r="H249" s="18"/>
      <c r="I249" s="110">
        <f>ROUND(F249,0)+5000</f>
        <v>51613</v>
      </c>
      <c r="J249" s="110">
        <f t="shared" si="95"/>
        <v>5000</v>
      </c>
      <c r="K249" s="37" t="s">
        <v>242</v>
      </c>
      <c r="L249" s="110">
        <f t="shared" si="113"/>
        <v>51613</v>
      </c>
      <c r="M249" s="110">
        <f t="shared" si="96"/>
        <v>0</v>
      </c>
      <c r="N249" s="37"/>
      <c r="O249" s="110">
        <f t="shared" si="114"/>
        <v>51613</v>
      </c>
      <c r="P249" s="110">
        <f t="shared" si="97"/>
        <v>0</v>
      </c>
      <c r="Q249" s="37"/>
      <c r="R249" s="110">
        <f t="shared" si="115"/>
        <v>51613</v>
      </c>
      <c r="S249" s="110">
        <f t="shared" si="98"/>
        <v>0</v>
      </c>
      <c r="T249" s="37"/>
      <c r="U249" s="110">
        <f>ROUND(R249,0)+6000+37300</f>
        <v>94913</v>
      </c>
      <c r="V249" s="110">
        <f t="shared" si="99"/>
        <v>43300</v>
      </c>
      <c r="W249" s="37" t="s">
        <v>243</v>
      </c>
    </row>
    <row r="250" spans="2:23" s="167" customFormat="1" ht="15" customHeight="1" x14ac:dyDescent="0.25">
      <c r="B250" s="131" t="s">
        <v>638</v>
      </c>
      <c r="C250" s="178" t="s">
        <v>639</v>
      </c>
      <c r="D250" s="155" t="s">
        <v>640</v>
      </c>
      <c r="E250" s="17">
        <v>0</v>
      </c>
      <c r="F250" s="17">
        <f t="shared" si="117"/>
        <v>0</v>
      </c>
      <c r="G250" s="110">
        <f t="shared" si="94"/>
        <v>0</v>
      </c>
      <c r="H250" s="18"/>
      <c r="I250" s="110">
        <f>ROUND(F250,0)</f>
        <v>0</v>
      </c>
      <c r="J250" s="110">
        <f t="shared" si="95"/>
        <v>0</v>
      </c>
      <c r="K250" s="18"/>
      <c r="L250" s="110">
        <f t="shared" si="113"/>
        <v>0</v>
      </c>
      <c r="M250" s="110">
        <f t="shared" si="96"/>
        <v>0</v>
      </c>
      <c r="N250" s="18"/>
      <c r="O250" s="110">
        <f t="shared" si="114"/>
        <v>0</v>
      </c>
      <c r="P250" s="110">
        <f t="shared" si="97"/>
        <v>0</v>
      </c>
      <c r="Q250" s="18"/>
      <c r="R250" s="110">
        <f t="shared" si="115"/>
        <v>0</v>
      </c>
      <c r="S250" s="110">
        <f t="shared" si="98"/>
        <v>0</v>
      </c>
      <c r="T250" s="18"/>
      <c r="U250" s="110">
        <f t="shared" ref="U250" si="118">ROUND(R250,0)</f>
        <v>0</v>
      </c>
      <c r="V250" s="110">
        <f t="shared" si="99"/>
        <v>0</v>
      </c>
      <c r="W250" s="18"/>
    </row>
    <row r="251" spans="2:23" s="107" customFormat="1" ht="17.45" customHeight="1" x14ac:dyDescent="0.25">
      <c r="B251" s="131" t="s">
        <v>641</v>
      </c>
      <c r="C251" s="205" t="s">
        <v>642</v>
      </c>
      <c r="D251" s="180" t="s">
        <v>331</v>
      </c>
      <c r="E251" s="65">
        <v>836633.39</v>
      </c>
      <c r="F251" s="65">
        <f t="shared" si="117"/>
        <v>836633</v>
      </c>
      <c r="G251" s="181">
        <f>F251-E251</f>
        <v>-0.39000000001396984</v>
      </c>
      <c r="H251" s="35"/>
      <c r="I251" s="181">
        <f>ROUND(F251,0)</f>
        <v>836633</v>
      </c>
      <c r="J251" s="181">
        <f t="shared" si="95"/>
        <v>0</v>
      </c>
      <c r="K251" s="35"/>
      <c r="L251" s="181">
        <f t="shared" si="113"/>
        <v>836633</v>
      </c>
      <c r="M251" s="181">
        <f t="shared" si="96"/>
        <v>0</v>
      </c>
      <c r="N251" s="35"/>
      <c r="O251" s="181">
        <f>ROUND(L251,0)</f>
        <v>836633</v>
      </c>
      <c r="P251" s="181">
        <f t="shared" si="97"/>
        <v>0</v>
      </c>
      <c r="Q251" s="35"/>
      <c r="R251" s="181">
        <f>ROUND(O251,0)-30000</f>
        <v>806633</v>
      </c>
      <c r="S251" s="181">
        <f t="shared" si="98"/>
        <v>-30000</v>
      </c>
      <c r="T251" s="35" t="s">
        <v>643</v>
      </c>
      <c r="U251" s="181">
        <f>ROUND(R251,0)</f>
        <v>806633</v>
      </c>
      <c r="V251" s="181">
        <f t="shared" si="99"/>
        <v>0</v>
      </c>
      <c r="W251" s="35"/>
    </row>
    <row r="252" spans="2:23" s="107" customFormat="1" ht="15.75" customHeight="1" x14ac:dyDescent="0.25">
      <c r="B252" s="118"/>
      <c r="C252" s="205" t="s">
        <v>644</v>
      </c>
      <c r="D252" s="180" t="s">
        <v>645</v>
      </c>
      <c r="E252" s="65">
        <v>7240446.2743386505</v>
      </c>
      <c r="F252" s="65">
        <f>F253+F254+F255+F256+F257+F258+F259+F260</f>
        <v>7249299</v>
      </c>
      <c r="G252" s="181">
        <f t="shared" si="94"/>
        <v>8852.7256613494828</v>
      </c>
      <c r="H252" s="35"/>
      <c r="I252" s="181">
        <f>I253+I254+I255+I256+I257+I258+I259+I260</f>
        <v>7335799</v>
      </c>
      <c r="J252" s="181">
        <f t="shared" si="95"/>
        <v>86500</v>
      </c>
      <c r="K252" s="35"/>
      <c r="L252" s="181">
        <f>L253+L254+L255+L256+L257+L258+L259+L260</f>
        <v>7378123</v>
      </c>
      <c r="M252" s="181">
        <f t="shared" si="96"/>
        <v>42324</v>
      </c>
      <c r="N252" s="35"/>
      <c r="O252" s="181">
        <f>O253+O254+O255+O256+O257+O258+O259+O260</f>
        <v>7378123</v>
      </c>
      <c r="P252" s="181">
        <f t="shared" si="97"/>
        <v>0</v>
      </c>
      <c r="Q252" s="35"/>
      <c r="R252" s="181">
        <f>R253+R254+R255+R256+R257+R258+R259+R260</f>
        <v>7424608</v>
      </c>
      <c r="S252" s="181">
        <f t="shared" si="98"/>
        <v>46485</v>
      </c>
      <c r="T252" s="35"/>
      <c r="U252" s="181">
        <f>U253+U254+U255+U256+U257+U258+U259+U260</f>
        <v>7416867</v>
      </c>
      <c r="V252" s="181">
        <f t="shared" si="99"/>
        <v>-7741</v>
      </c>
      <c r="W252" s="35"/>
    </row>
    <row r="253" spans="2:23" s="107" customFormat="1" ht="57.6" customHeight="1" x14ac:dyDescent="0.25">
      <c r="B253" s="118" t="s">
        <v>646</v>
      </c>
      <c r="C253" s="178" t="s">
        <v>647</v>
      </c>
      <c r="D253" s="155" t="s">
        <v>583</v>
      </c>
      <c r="E253" s="17">
        <v>3750643</v>
      </c>
      <c r="F253" s="17">
        <f>ROUND(E253,0)</f>
        <v>3750643</v>
      </c>
      <c r="G253" s="110">
        <f t="shared" si="94"/>
        <v>0</v>
      </c>
      <c r="H253" s="25"/>
      <c r="I253" s="110">
        <f t="shared" ref="I253:I259" si="119">ROUND(F253,0)</f>
        <v>3750643</v>
      </c>
      <c r="J253" s="110">
        <f t="shared" si="95"/>
        <v>0</v>
      </c>
      <c r="K253" s="25"/>
      <c r="L253" s="110">
        <f>ROUND(I253,0)+41084</f>
        <v>3791727</v>
      </c>
      <c r="M253" s="110">
        <f t="shared" si="96"/>
        <v>41084</v>
      </c>
      <c r="N253" s="25" t="s">
        <v>150</v>
      </c>
      <c r="O253" s="110">
        <f>ROUND(L253,0)</f>
        <v>3791727</v>
      </c>
      <c r="P253" s="110">
        <f t="shared" si="97"/>
        <v>0</v>
      </c>
      <c r="Q253" s="25"/>
      <c r="R253" s="110">
        <f>ROUND(O253,0)-16862+34285+5175</f>
        <v>3814325</v>
      </c>
      <c r="S253" s="110">
        <f t="shared" si="98"/>
        <v>22598</v>
      </c>
      <c r="T253" s="25" t="s">
        <v>137</v>
      </c>
      <c r="U253" s="110">
        <f>ROUND(R253,0)+850+435-9026</f>
        <v>3806584</v>
      </c>
      <c r="V253" s="110">
        <f t="shared" si="99"/>
        <v>-7741</v>
      </c>
      <c r="W253" s="25" t="s">
        <v>1149</v>
      </c>
    </row>
    <row r="254" spans="2:23" s="107" customFormat="1" ht="16.899999999999999" customHeight="1" x14ac:dyDescent="0.25">
      <c r="B254" s="118" t="s">
        <v>648</v>
      </c>
      <c r="C254" s="178" t="s">
        <v>649</v>
      </c>
      <c r="D254" s="155" t="s">
        <v>586</v>
      </c>
      <c r="E254" s="17">
        <v>1425817.7494320502</v>
      </c>
      <c r="F254" s="17">
        <f>ROUND(E254,0)+10864</f>
        <v>1436682</v>
      </c>
      <c r="G254" s="110">
        <f t="shared" si="94"/>
        <v>10864.250567949843</v>
      </c>
      <c r="H254" s="25" t="s">
        <v>650</v>
      </c>
      <c r="I254" s="110">
        <f>ROUND(F254,0)+43000</f>
        <v>1479682</v>
      </c>
      <c r="J254" s="111">
        <f t="shared" si="95"/>
        <v>43000</v>
      </c>
      <c r="K254" s="26" t="s">
        <v>651</v>
      </c>
      <c r="L254" s="110">
        <f t="shared" ref="L254:L259" si="120">ROUND(I254,0)</f>
        <v>1479682</v>
      </c>
      <c r="M254" s="110">
        <f t="shared" si="96"/>
        <v>0</v>
      </c>
      <c r="N254" s="25"/>
      <c r="O254" s="110">
        <f t="shared" ref="O254:O259" si="121">ROUND(L254,0)</f>
        <v>1479682</v>
      </c>
      <c r="P254" s="110">
        <f t="shared" si="97"/>
        <v>0</v>
      </c>
      <c r="Q254" s="25"/>
      <c r="R254" s="110">
        <f>ROUND(O254,0)-9300-3500</f>
        <v>1466882</v>
      </c>
      <c r="S254" s="110">
        <f t="shared" si="98"/>
        <v>-12800</v>
      </c>
      <c r="T254" s="25" t="s">
        <v>652</v>
      </c>
      <c r="U254" s="110">
        <f>ROUND(R254,0)</f>
        <v>1466882</v>
      </c>
      <c r="V254" s="110">
        <f t="shared" si="99"/>
        <v>0</v>
      </c>
      <c r="W254" s="25"/>
    </row>
    <row r="255" spans="2:23" s="107" customFormat="1" ht="17.45" customHeight="1" x14ac:dyDescent="0.25">
      <c r="B255" s="107" t="s">
        <v>653</v>
      </c>
      <c r="C255" s="178" t="s">
        <v>654</v>
      </c>
      <c r="D255" s="155" t="s">
        <v>655</v>
      </c>
      <c r="E255" s="17">
        <v>250373</v>
      </c>
      <c r="F255" s="17">
        <f>ROUND(E255,0)</f>
        <v>250373</v>
      </c>
      <c r="G255" s="110">
        <f t="shared" si="94"/>
        <v>0</v>
      </c>
      <c r="H255" s="18"/>
      <c r="I255" s="110">
        <f t="shared" si="119"/>
        <v>250373</v>
      </c>
      <c r="J255" s="110">
        <f t="shared" si="95"/>
        <v>0</v>
      </c>
      <c r="K255" s="18"/>
      <c r="L255" s="110">
        <f t="shared" si="120"/>
        <v>250373</v>
      </c>
      <c r="M255" s="110">
        <f t="shared" si="96"/>
        <v>0</v>
      </c>
      <c r="N255" s="18"/>
      <c r="O255" s="110">
        <f t="shared" si="121"/>
        <v>250373</v>
      </c>
      <c r="P255" s="110">
        <f t="shared" si="97"/>
        <v>0</v>
      </c>
      <c r="Q255" s="18"/>
      <c r="R255" s="110">
        <f t="shared" ref="R255:R259" si="122">ROUND(O255,0)</f>
        <v>250373</v>
      </c>
      <c r="S255" s="110">
        <f t="shared" si="98"/>
        <v>0</v>
      </c>
      <c r="T255" s="18"/>
      <c r="U255" s="110">
        <f t="shared" ref="U255" si="123">ROUND(R255,0)</f>
        <v>250373</v>
      </c>
      <c r="V255" s="110">
        <f t="shared" si="99"/>
        <v>0</v>
      </c>
      <c r="W255" s="18"/>
    </row>
    <row r="256" spans="2:23" s="107" customFormat="1" ht="14.45" customHeight="1" x14ac:dyDescent="0.25">
      <c r="B256" s="118" t="s">
        <v>656</v>
      </c>
      <c r="C256" s="178" t="s">
        <v>657</v>
      </c>
      <c r="D256" s="155" t="s">
        <v>634</v>
      </c>
      <c r="E256" s="17">
        <v>16158</v>
      </c>
      <c r="F256" s="17">
        <f>ROUND(E256,0)-2011</f>
        <v>14147</v>
      </c>
      <c r="G256" s="110">
        <f t="shared" si="94"/>
        <v>-2011</v>
      </c>
      <c r="H256" s="18" t="s">
        <v>171</v>
      </c>
      <c r="I256" s="110">
        <f t="shared" si="119"/>
        <v>14147</v>
      </c>
      <c r="J256" s="110">
        <f t="shared" si="95"/>
        <v>0</v>
      </c>
      <c r="K256" s="18"/>
      <c r="L256" s="110">
        <f t="shared" si="120"/>
        <v>14147</v>
      </c>
      <c r="M256" s="110">
        <f t="shared" si="96"/>
        <v>0</v>
      </c>
      <c r="N256" s="18"/>
      <c r="O256" s="110">
        <f t="shared" si="121"/>
        <v>14147</v>
      </c>
      <c r="P256" s="110">
        <f t="shared" si="97"/>
        <v>0</v>
      </c>
      <c r="Q256" s="18"/>
      <c r="R256" s="110">
        <f>ROUND(O256,0)+14485</f>
        <v>28632</v>
      </c>
      <c r="S256" s="110">
        <f t="shared" si="98"/>
        <v>14485</v>
      </c>
      <c r="T256" s="25" t="s">
        <v>172</v>
      </c>
      <c r="U256" s="110">
        <f>ROUND(R256,0)</f>
        <v>28632</v>
      </c>
      <c r="V256" s="110">
        <f t="shared" si="99"/>
        <v>0</v>
      </c>
      <c r="W256" s="25"/>
    </row>
    <row r="257" spans="2:23" s="210" customFormat="1" ht="42.6" customHeight="1" x14ac:dyDescent="0.25">
      <c r="B257" s="118" t="s">
        <v>648</v>
      </c>
      <c r="C257" s="178" t="s">
        <v>658</v>
      </c>
      <c r="D257" s="155" t="s">
        <v>333</v>
      </c>
      <c r="E257" s="17">
        <v>390000</v>
      </c>
      <c r="F257" s="17">
        <f>ROUND(E257,0)</f>
        <v>390000</v>
      </c>
      <c r="G257" s="110">
        <f t="shared" si="94"/>
        <v>0</v>
      </c>
      <c r="H257" s="25"/>
      <c r="I257" s="110">
        <f>ROUND(F257,0)+43500</f>
        <v>433500</v>
      </c>
      <c r="J257" s="111">
        <f t="shared" si="95"/>
        <v>43500</v>
      </c>
      <c r="K257" s="26" t="s">
        <v>659</v>
      </c>
      <c r="L257" s="110">
        <f t="shared" si="120"/>
        <v>433500</v>
      </c>
      <c r="M257" s="110">
        <f t="shared" si="96"/>
        <v>0</v>
      </c>
      <c r="N257" s="25"/>
      <c r="O257" s="110">
        <f t="shared" si="121"/>
        <v>433500</v>
      </c>
      <c r="P257" s="110">
        <f t="shared" si="97"/>
        <v>0</v>
      </c>
      <c r="Q257" s="25"/>
      <c r="R257" s="110">
        <f t="shared" si="122"/>
        <v>433500</v>
      </c>
      <c r="S257" s="110">
        <f t="shared" si="98"/>
        <v>0</v>
      </c>
      <c r="T257" s="25"/>
      <c r="U257" s="110">
        <f t="shared" ref="U257" si="124">ROUND(R257,0)</f>
        <v>433500</v>
      </c>
      <c r="V257" s="110">
        <f t="shared" si="99"/>
        <v>0</v>
      </c>
      <c r="W257" s="25"/>
    </row>
    <row r="258" spans="2:23" s="210" customFormat="1" ht="15.6" customHeight="1" x14ac:dyDescent="0.25">
      <c r="B258" s="211" t="s">
        <v>660</v>
      </c>
      <c r="C258" s="178" t="s">
        <v>661</v>
      </c>
      <c r="D258" s="155" t="s">
        <v>662</v>
      </c>
      <c r="E258" s="17">
        <v>838367.24456400005</v>
      </c>
      <c r="F258" s="17">
        <f>ROUND(E258,0)</f>
        <v>838367</v>
      </c>
      <c r="G258" s="110">
        <f t="shared" si="94"/>
        <v>-0.24456400005146861</v>
      </c>
      <c r="H258" s="25" t="s">
        <v>663</v>
      </c>
      <c r="I258" s="110">
        <f t="shared" si="119"/>
        <v>838367</v>
      </c>
      <c r="J258" s="110">
        <f t="shared" si="95"/>
        <v>0</v>
      </c>
      <c r="K258" s="25"/>
      <c r="L258" s="110">
        <f t="shared" si="120"/>
        <v>838367</v>
      </c>
      <c r="M258" s="110">
        <f t="shared" si="96"/>
        <v>0</v>
      </c>
      <c r="N258" s="25"/>
      <c r="O258" s="110">
        <f t="shared" si="121"/>
        <v>838367</v>
      </c>
      <c r="P258" s="110">
        <f t="shared" si="97"/>
        <v>0</v>
      </c>
      <c r="Q258" s="25"/>
      <c r="R258" s="110">
        <f>ROUND(O258,0)+9300+3500</f>
        <v>851167</v>
      </c>
      <c r="S258" s="110">
        <f t="shared" si="98"/>
        <v>12800</v>
      </c>
      <c r="T258" s="25" t="s">
        <v>652</v>
      </c>
      <c r="U258" s="110">
        <f>ROUND(R258,0)</f>
        <v>851167</v>
      </c>
      <c r="V258" s="110">
        <f t="shared" si="99"/>
        <v>0</v>
      </c>
      <c r="W258" s="25"/>
    </row>
    <row r="259" spans="2:23" s="210" customFormat="1" ht="15" customHeight="1" x14ac:dyDescent="0.25">
      <c r="B259" s="118" t="s">
        <v>646</v>
      </c>
      <c r="C259" s="178" t="s">
        <v>664</v>
      </c>
      <c r="D259" s="155" t="s">
        <v>665</v>
      </c>
      <c r="E259" s="17">
        <v>173758</v>
      </c>
      <c r="F259" s="17">
        <f>ROUND(E259,0)</f>
        <v>173758</v>
      </c>
      <c r="G259" s="110">
        <f t="shared" si="94"/>
        <v>0</v>
      </c>
      <c r="H259" s="18"/>
      <c r="I259" s="110">
        <f t="shared" si="119"/>
        <v>173758</v>
      </c>
      <c r="J259" s="110">
        <f t="shared" si="95"/>
        <v>0</v>
      </c>
      <c r="K259" s="18"/>
      <c r="L259" s="110">
        <f t="shared" si="120"/>
        <v>173758</v>
      </c>
      <c r="M259" s="110">
        <f t="shared" si="96"/>
        <v>0</v>
      </c>
      <c r="N259" s="18"/>
      <c r="O259" s="110">
        <f t="shared" si="121"/>
        <v>173758</v>
      </c>
      <c r="P259" s="110">
        <f t="shared" si="97"/>
        <v>0</v>
      </c>
      <c r="Q259" s="18"/>
      <c r="R259" s="110">
        <f t="shared" si="122"/>
        <v>173758</v>
      </c>
      <c r="S259" s="110">
        <f t="shared" si="98"/>
        <v>0</v>
      </c>
      <c r="T259" s="18"/>
      <c r="U259" s="110">
        <f t="shared" ref="U259" si="125">ROUND(R259,0)</f>
        <v>173758</v>
      </c>
      <c r="V259" s="110">
        <f t="shared" si="99"/>
        <v>0</v>
      </c>
      <c r="W259" s="18"/>
    </row>
    <row r="260" spans="2:23" s="215" customFormat="1" ht="13.9" customHeight="1" x14ac:dyDescent="0.25">
      <c r="B260" s="211"/>
      <c r="C260" s="212" t="s">
        <v>666</v>
      </c>
      <c r="D260" s="213" t="s">
        <v>667</v>
      </c>
      <c r="E260" s="86">
        <v>395329.28034260002</v>
      </c>
      <c r="F260" s="86">
        <f t="shared" ref="F260:G260" si="126">F261+F262</f>
        <v>395329</v>
      </c>
      <c r="G260" s="214">
        <f t="shared" si="126"/>
        <v>-0.28034260001732036</v>
      </c>
      <c r="H260" s="214"/>
      <c r="I260" s="214">
        <f>I261+I262</f>
        <v>395329</v>
      </c>
      <c r="J260" s="214">
        <f t="shared" si="95"/>
        <v>0</v>
      </c>
      <c r="K260" s="214"/>
      <c r="L260" s="214">
        <f>L261+L262</f>
        <v>396569</v>
      </c>
      <c r="M260" s="214">
        <f t="shared" si="96"/>
        <v>1240</v>
      </c>
      <c r="N260" s="214"/>
      <c r="O260" s="214">
        <f>O261+O262</f>
        <v>396569</v>
      </c>
      <c r="P260" s="214">
        <f t="shared" si="97"/>
        <v>0</v>
      </c>
      <c r="Q260" s="214"/>
      <c r="R260" s="214">
        <f>R261+R262</f>
        <v>405971</v>
      </c>
      <c r="S260" s="214">
        <f t="shared" si="98"/>
        <v>9402</v>
      </c>
      <c r="T260" s="214"/>
      <c r="U260" s="214">
        <f>U261+U262</f>
        <v>405971</v>
      </c>
      <c r="V260" s="214">
        <f t="shared" si="99"/>
        <v>0</v>
      </c>
      <c r="W260" s="214"/>
    </row>
    <row r="261" spans="2:23" s="210" customFormat="1" ht="12" customHeight="1" x14ac:dyDescent="0.25">
      <c r="B261" s="131" t="s">
        <v>668</v>
      </c>
      <c r="C261" s="216" t="s">
        <v>669</v>
      </c>
      <c r="D261" s="155" t="s">
        <v>670</v>
      </c>
      <c r="E261" s="17">
        <v>83788</v>
      </c>
      <c r="F261" s="17">
        <f>ROUND(E261,0)</f>
        <v>83788</v>
      </c>
      <c r="G261" s="110">
        <f t="shared" si="94"/>
        <v>0</v>
      </c>
      <c r="H261" s="25"/>
      <c r="I261" s="110">
        <f>ROUND(F261,0)</f>
        <v>83788</v>
      </c>
      <c r="J261" s="110">
        <f t="shared" si="95"/>
        <v>0</v>
      </c>
      <c r="K261" s="25"/>
      <c r="L261" s="110">
        <f>ROUND(I261,0)+1240</f>
        <v>85028</v>
      </c>
      <c r="M261" s="110">
        <f t="shared" si="96"/>
        <v>1240</v>
      </c>
      <c r="N261" s="25" t="s">
        <v>150</v>
      </c>
      <c r="O261" s="110">
        <f>ROUND(L261,0)</f>
        <v>85028</v>
      </c>
      <c r="P261" s="110">
        <f t="shared" si="97"/>
        <v>0</v>
      </c>
      <c r="Q261" s="25"/>
      <c r="R261" s="110">
        <f>ROUND(O261,0)+9402</f>
        <v>94430</v>
      </c>
      <c r="S261" s="110">
        <f t="shared" si="98"/>
        <v>9402</v>
      </c>
      <c r="T261" s="25" t="s">
        <v>137</v>
      </c>
      <c r="U261" s="110">
        <f>ROUND(R261,0)</f>
        <v>94430</v>
      </c>
      <c r="V261" s="110">
        <f t="shared" si="99"/>
        <v>0</v>
      </c>
      <c r="W261" s="25"/>
    </row>
    <row r="262" spans="2:23" s="167" customFormat="1" ht="12.6" customHeight="1" x14ac:dyDescent="0.25">
      <c r="B262" s="211" t="s">
        <v>671</v>
      </c>
      <c r="C262" s="216" t="s">
        <v>672</v>
      </c>
      <c r="D262" s="155" t="s">
        <v>673</v>
      </c>
      <c r="E262" s="17">
        <v>311541.28034260002</v>
      </c>
      <c r="F262" s="17">
        <f>ROUND(E262,0)</f>
        <v>311541</v>
      </c>
      <c r="G262" s="110">
        <f t="shared" si="94"/>
        <v>-0.28034260001732036</v>
      </c>
      <c r="H262" s="18"/>
      <c r="I262" s="110">
        <f>ROUND(F262,0)</f>
        <v>311541</v>
      </c>
      <c r="J262" s="110">
        <f t="shared" si="95"/>
        <v>0</v>
      </c>
      <c r="K262" s="18"/>
      <c r="L262" s="110">
        <f>ROUND(I262,0)</f>
        <v>311541</v>
      </c>
      <c r="M262" s="110">
        <f t="shared" si="96"/>
        <v>0</v>
      </c>
      <c r="N262" s="18"/>
      <c r="O262" s="110">
        <f>ROUND(L262,0)</f>
        <v>311541</v>
      </c>
      <c r="P262" s="110">
        <f t="shared" si="97"/>
        <v>0</v>
      </c>
      <c r="Q262" s="18"/>
      <c r="R262" s="110">
        <f>ROUND(O262,0)</f>
        <v>311541</v>
      </c>
      <c r="S262" s="110">
        <f t="shared" si="98"/>
        <v>0</v>
      </c>
      <c r="T262" s="18"/>
      <c r="U262" s="110">
        <f>ROUND(R262,0)</f>
        <v>311541</v>
      </c>
      <c r="V262" s="110">
        <f t="shared" si="99"/>
        <v>0</v>
      </c>
      <c r="W262" s="18"/>
    </row>
    <row r="263" spans="2:23" ht="18" customHeight="1" x14ac:dyDescent="0.25">
      <c r="C263" s="205" t="s">
        <v>674</v>
      </c>
      <c r="D263" s="180" t="s">
        <v>675</v>
      </c>
      <c r="E263" s="65">
        <v>1489092.9817770002</v>
      </c>
      <c r="F263" s="65">
        <f t="shared" ref="F263" si="127">F264+F265</f>
        <v>1541382</v>
      </c>
      <c r="G263" s="181">
        <f t="shared" ref="G263:G283" si="128">F263-E263</f>
        <v>52289.018222999759</v>
      </c>
      <c r="H263" s="181"/>
      <c r="I263" s="181">
        <f>I264+I265</f>
        <v>1541382</v>
      </c>
      <c r="J263" s="181">
        <f t="shared" si="95"/>
        <v>0</v>
      </c>
      <c r="K263" s="181"/>
      <c r="L263" s="181">
        <f>L264+L265</f>
        <v>1541382</v>
      </c>
      <c r="M263" s="181">
        <f t="shared" si="96"/>
        <v>0</v>
      </c>
      <c r="N263" s="181"/>
      <c r="O263" s="181">
        <f>O264+O265</f>
        <v>1541382</v>
      </c>
      <c r="P263" s="181">
        <f t="shared" si="97"/>
        <v>0</v>
      </c>
      <c r="Q263" s="181"/>
      <c r="R263" s="181">
        <f>R264+R265</f>
        <v>1570960</v>
      </c>
      <c r="S263" s="181">
        <f t="shared" si="98"/>
        <v>29578</v>
      </c>
      <c r="T263" s="181"/>
      <c r="U263" s="181">
        <f>U264+U265</f>
        <v>1570960</v>
      </c>
      <c r="V263" s="181">
        <f t="shared" si="99"/>
        <v>0</v>
      </c>
      <c r="W263" s="181"/>
    </row>
    <row r="264" spans="2:23" ht="13.5" customHeight="1" x14ac:dyDescent="0.25">
      <c r="C264" s="178" t="s">
        <v>676</v>
      </c>
      <c r="D264" s="155" t="s">
        <v>677</v>
      </c>
      <c r="E264" s="17">
        <v>593640</v>
      </c>
      <c r="F264" s="17">
        <f>ROUND(E264,0)+52289</f>
        <v>645929</v>
      </c>
      <c r="G264" s="110">
        <f t="shared" si="128"/>
        <v>52289</v>
      </c>
      <c r="H264" s="25" t="s">
        <v>136</v>
      </c>
      <c r="I264" s="110">
        <f>ROUND(F264,0)</f>
        <v>645929</v>
      </c>
      <c r="J264" s="110">
        <f t="shared" si="95"/>
        <v>0</v>
      </c>
      <c r="K264" s="25"/>
      <c r="L264" s="110">
        <f>ROUND(I264,0)</f>
        <v>645929</v>
      </c>
      <c r="M264" s="110">
        <f t="shared" si="96"/>
        <v>0</v>
      </c>
      <c r="N264" s="25"/>
      <c r="O264" s="110">
        <f>ROUND(L264,0)</f>
        <v>645929</v>
      </c>
      <c r="P264" s="110">
        <f t="shared" si="97"/>
        <v>0</v>
      </c>
      <c r="Q264" s="25"/>
      <c r="R264" s="110">
        <f>ROUND(O264,0)+29578</f>
        <v>675507</v>
      </c>
      <c r="S264" s="110">
        <f t="shared" si="98"/>
        <v>29578</v>
      </c>
      <c r="T264" s="25" t="s">
        <v>137</v>
      </c>
      <c r="U264" s="110">
        <f>ROUND(R264,0)</f>
        <v>675507</v>
      </c>
      <c r="V264" s="110">
        <f t="shared" si="99"/>
        <v>0</v>
      </c>
      <c r="W264" s="25"/>
    </row>
    <row r="265" spans="2:23" ht="28.9" customHeight="1" x14ac:dyDescent="0.25">
      <c r="C265" s="178" t="s">
        <v>678</v>
      </c>
      <c r="D265" s="155" t="s">
        <v>586</v>
      </c>
      <c r="E265" s="17">
        <v>895452.98177700012</v>
      </c>
      <c r="F265" s="17">
        <f>ROUND(E265,0)</f>
        <v>895453</v>
      </c>
      <c r="G265" s="110">
        <f t="shared" si="128"/>
        <v>1.8222999875433743E-2</v>
      </c>
      <c r="H265" s="87"/>
      <c r="I265" s="110">
        <f>ROUND(F265,0)</f>
        <v>895453</v>
      </c>
      <c r="J265" s="110">
        <f t="shared" ref="J265:J283" si="129">I265-F265</f>
        <v>0</v>
      </c>
      <c r="K265" s="87"/>
      <c r="L265" s="110">
        <f>ROUND(I265,0)</f>
        <v>895453</v>
      </c>
      <c r="M265" s="110">
        <f t="shared" ref="M265:M283" si="130">L265-I265</f>
        <v>0</v>
      </c>
      <c r="N265" s="87"/>
      <c r="O265" s="110">
        <f>ROUND(L265,0)</f>
        <v>895453</v>
      </c>
      <c r="P265" s="110">
        <f t="shared" ref="P265:P283" si="131">O265-L265</f>
        <v>0</v>
      </c>
      <c r="Q265" s="87"/>
      <c r="R265" s="110">
        <f>ROUND(O265,0)</f>
        <v>895453</v>
      </c>
      <c r="S265" s="110">
        <f t="shared" ref="S265:S283" si="132">R265-O265</f>
        <v>0</v>
      </c>
      <c r="T265" s="87"/>
      <c r="U265" s="110">
        <f>ROUND(R265,0)</f>
        <v>895453</v>
      </c>
      <c r="V265" s="110">
        <f t="shared" ref="V265:V283" si="133">U265-R265</f>
        <v>0</v>
      </c>
      <c r="W265" s="87"/>
    </row>
    <row r="266" spans="2:23" ht="16.149999999999999" customHeight="1" x14ac:dyDescent="0.25">
      <c r="C266" s="217" t="s">
        <v>679</v>
      </c>
      <c r="D266" s="180" t="s">
        <v>680</v>
      </c>
      <c r="E266" s="65">
        <v>643256.80554049998</v>
      </c>
      <c r="F266" s="65">
        <f>F267+F268</f>
        <v>643257</v>
      </c>
      <c r="G266" s="181">
        <f t="shared" si="128"/>
        <v>0.19445950002409518</v>
      </c>
      <c r="H266" s="73"/>
      <c r="I266" s="181">
        <f>I267+I268</f>
        <v>643257</v>
      </c>
      <c r="J266" s="181">
        <f t="shared" si="129"/>
        <v>0</v>
      </c>
      <c r="K266" s="73"/>
      <c r="L266" s="181">
        <f>L267+L268</f>
        <v>643257</v>
      </c>
      <c r="M266" s="181">
        <f t="shared" si="130"/>
        <v>0</v>
      </c>
      <c r="N266" s="73"/>
      <c r="O266" s="181">
        <f>O267+O268</f>
        <v>643257</v>
      </c>
      <c r="P266" s="181">
        <f t="shared" si="131"/>
        <v>0</v>
      </c>
      <c r="Q266" s="73"/>
      <c r="R266" s="181">
        <f>R267+R268</f>
        <v>656559</v>
      </c>
      <c r="S266" s="181">
        <f t="shared" si="132"/>
        <v>13302</v>
      </c>
      <c r="T266" s="73"/>
      <c r="U266" s="181">
        <f>U267+U268</f>
        <v>656559</v>
      </c>
      <c r="V266" s="181">
        <f t="shared" si="133"/>
        <v>0</v>
      </c>
      <c r="W266" s="73"/>
    </row>
    <row r="267" spans="2:23" ht="18" customHeight="1" x14ac:dyDescent="0.25">
      <c r="B267" s="131" t="s">
        <v>681</v>
      </c>
      <c r="C267" s="178" t="s">
        <v>682</v>
      </c>
      <c r="D267" s="155" t="s">
        <v>677</v>
      </c>
      <c r="E267" s="17">
        <v>299308</v>
      </c>
      <c r="F267" s="17">
        <f t="shared" ref="F267:F273" si="134">ROUND(E267,0)</f>
        <v>299308</v>
      </c>
      <c r="G267" s="110">
        <f t="shared" si="128"/>
        <v>0</v>
      </c>
      <c r="H267" s="18"/>
      <c r="I267" s="110">
        <f t="shared" ref="I267:I273" si="135">ROUND(F267,0)</f>
        <v>299308</v>
      </c>
      <c r="J267" s="110">
        <f t="shared" si="129"/>
        <v>0</v>
      </c>
      <c r="K267" s="18"/>
      <c r="L267" s="110">
        <f t="shared" ref="L267:L273" si="136">ROUND(I267,0)</f>
        <v>299308</v>
      </c>
      <c r="M267" s="110">
        <f t="shared" si="130"/>
        <v>0</v>
      </c>
      <c r="N267" s="18"/>
      <c r="O267" s="110">
        <f t="shared" ref="O267:O273" si="137">ROUND(L267,0)</f>
        <v>299308</v>
      </c>
      <c r="P267" s="110">
        <f t="shared" si="131"/>
        <v>0</v>
      </c>
      <c r="Q267" s="18"/>
      <c r="R267" s="110">
        <f>ROUND(O267,0)+13302</f>
        <v>312610</v>
      </c>
      <c r="S267" s="110">
        <f t="shared" si="132"/>
        <v>13302</v>
      </c>
      <c r="T267" s="25" t="s">
        <v>141</v>
      </c>
      <c r="U267" s="110">
        <f>ROUND(R267,0)</f>
        <v>312610</v>
      </c>
      <c r="V267" s="110">
        <f t="shared" si="133"/>
        <v>0</v>
      </c>
      <c r="W267" s="25"/>
    </row>
    <row r="268" spans="2:23" ht="16.5" customHeight="1" x14ac:dyDescent="0.25">
      <c r="B268" s="131" t="s">
        <v>683</v>
      </c>
      <c r="C268" s="178" t="s">
        <v>684</v>
      </c>
      <c r="D268" s="155" t="s">
        <v>685</v>
      </c>
      <c r="E268" s="17">
        <v>343948.80554049998</v>
      </c>
      <c r="F268" s="17">
        <f t="shared" si="134"/>
        <v>343949</v>
      </c>
      <c r="G268" s="110">
        <f t="shared" si="128"/>
        <v>0.19445950002409518</v>
      </c>
      <c r="H268" s="25"/>
      <c r="I268" s="110">
        <f t="shared" si="135"/>
        <v>343949</v>
      </c>
      <c r="J268" s="110">
        <f t="shared" si="129"/>
        <v>0</v>
      </c>
      <c r="K268" s="25"/>
      <c r="L268" s="110">
        <f t="shared" si="136"/>
        <v>343949</v>
      </c>
      <c r="M268" s="110">
        <f t="shared" si="130"/>
        <v>0</v>
      </c>
      <c r="N268" s="25"/>
      <c r="O268" s="110">
        <f t="shared" si="137"/>
        <v>343949</v>
      </c>
      <c r="P268" s="110">
        <f t="shared" si="131"/>
        <v>0</v>
      </c>
      <c r="Q268" s="25"/>
      <c r="R268" s="110">
        <f t="shared" ref="R268:R273" si="138">ROUND(O268,0)</f>
        <v>343949</v>
      </c>
      <c r="S268" s="110">
        <f t="shared" si="132"/>
        <v>0</v>
      </c>
      <c r="T268" s="25"/>
      <c r="U268" s="110">
        <f t="shared" ref="U268:U273" si="139">ROUND(R268,0)</f>
        <v>343949</v>
      </c>
      <c r="V268" s="110">
        <f t="shared" si="133"/>
        <v>0</v>
      </c>
      <c r="W268" s="25"/>
    </row>
    <row r="269" spans="2:23" ht="46.15" customHeight="1" x14ac:dyDescent="0.25">
      <c r="B269" s="131" t="s">
        <v>686</v>
      </c>
      <c r="C269" s="217" t="s">
        <v>687</v>
      </c>
      <c r="D269" s="180" t="s">
        <v>688</v>
      </c>
      <c r="E269" s="34">
        <v>316025.5193245</v>
      </c>
      <c r="F269" s="34">
        <f t="shared" si="134"/>
        <v>316026</v>
      </c>
      <c r="G269" s="124">
        <f t="shared" si="128"/>
        <v>0.48067550000268966</v>
      </c>
      <c r="H269" s="35"/>
      <c r="I269" s="124">
        <f t="shared" si="135"/>
        <v>316026</v>
      </c>
      <c r="J269" s="124">
        <f t="shared" si="129"/>
        <v>0</v>
      </c>
      <c r="K269" s="35"/>
      <c r="L269" s="124">
        <f t="shared" si="136"/>
        <v>316026</v>
      </c>
      <c r="M269" s="124">
        <f t="shared" si="130"/>
        <v>0</v>
      </c>
      <c r="N269" s="35"/>
      <c r="O269" s="124">
        <f>ROUND(L269,0)+9820</f>
        <v>325846</v>
      </c>
      <c r="P269" s="124">
        <f t="shared" si="131"/>
        <v>9820</v>
      </c>
      <c r="Q269" s="35" t="s">
        <v>541</v>
      </c>
      <c r="R269" s="124">
        <f t="shared" si="138"/>
        <v>325846</v>
      </c>
      <c r="S269" s="124">
        <f t="shared" si="132"/>
        <v>0</v>
      </c>
      <c r="T269" s="35"/>
      <c r="U269" s="124">
        <f t="shared" si="139"/>
        <v>325846</v>
      </c>
      <c r="V269" s="124">
        <f t="shared" si="133"/>
        <v>0</v>
      </c>
      <c r="W269" s="35"/>
    </row>
    <row r="270" spans="2:23" ht="32.450000000000003" customHeight="1" x14ac:dyDescent="0.25">
      <c r="B270" s="131"/>
      <c r="C270" s="217" t="s">
        <v>689</v>
      </c>
      <c r="D270" s="180" t="s">
        <v>690</v>
      </c>
      <c r="E270" s="34">
        <v>3000</v>
      </c>
      <c r="F270" s="34">
        <f t="shared" si="134"/>
        <v>3000</v>
      </c>
      <c r="G270" s="124"/>
      <c r="H270" s="35"/>
      <c r="I270" s="124">
        <f t="shared" si="135"/>
        <v>3000</v>
      </c>
      <c r="J270" s="124">
        <f t="shared" si="129"/>
        <v>0</v>
      </c>
      <c r="K270" s="35"/>
      <c r="L270" s="124">
        <f t="shared" si="136"/>
        <v>3000</v>
      </c>
      <c r="M270" s="124">
        <f t="shared" si="130"/>
        <v>0</v>
      </c>
      <c r="N270" s="35"/>
      <c r="O270" s="124">
        <f t="shared" si="137"/>
        <v>3000</v>
      </c>
      <c r="P270" s="124">
        <f t="shared" si="131"/>
        <v>0</v>
      </c>
      <c r="Q270" s="35"/>
      <c r="R270" s="124">
        <f t="shared" si="138"/>
        <v>3000</v>
      </c>
      <c r="S270" s="124">
        <f t="shared" si="132"/>
        <v>0</v>
      </c>
      <c r="T270" s="35"/>
      <c r="U270" s="124">
        <f t="shared" si="139"/>
        <v>3000</v>
      </c>
      <c r="V270" s="124">
        <f t="shared" si="133"/>
        <v>0</v>
      </c>
      <c r="W270" s="35"/>
    </row>
    <row r="271" spans="2:23" ht="31.9" customHeight="1" x14ac:dyDescent="0.25">
      <c r="B271" s="131" t="s">
        <v>691</v>
      </c>
      <c r="C271" s="217" t="s">
        <v>692</v>
      </c>
      <c r="D271" s="180" t="s">
        <v>693</v>
      </c>
      <c r="E271" s="34">
        <v>16292</v>
      </c>
      <c r="F271" s="34">
        <f t="shared" si="134"/>
        <v>16292</v>
      </c>
      <c r="G271" s="124">
        <f t="shared" si="128"/>
        <v>0</v>
      </c>
      <c r="H271" s="35"/>
      <c r="I271" s="124">
        <f t="shared" si="135"/>
        <v>16292</v>
      </c>
      <c r="J271" s="124">
        <f t="shared" si="129"/>
        <v>0</v>
      </c>
      <c r="K271" s="35"/>
      <c r="L271" s="124">
        <f t="shared" si="136"/>
        <v>16292</v>
      </c>
      <c r="M271" s="124">
        <f t="shared" si="130"/>
        <v>0</v>
      </c>
      <c r="N271" s="35"/>
      <c r="O271" s="124">
        <f t="shared" si="137"/>
        <v>16292</v>
      </c>
      <c r="P271" s="124">
        <f t="shared" si="131"/>
        <v>0</v>
      </c>
      <c r="Q271" s="35"/>
      <c r="R271" s="124">
        <f t="shared" si="138"/>
        <v>16292</v>
      </c>
      <c r="S271" s="124">
        <f t="shared" si="132"/>
        <v>0</v>
      </c>
      <c r="T271" s="35"/>
      <c r="U271" s="124">
        <f t="shared" si="139"/>
        <v>16292</v>
      </c>
      <c r="V271" s="124">
        <f t="shared" si="133"/>
        <v>0</v>
      </c>
      <c r="W271" s="35"/>
    </row>
    <row r="272" spans="2:23" ht="27" customHeight="1" x14ac:dyDescent="0.25">
      <c r="B272" s="131" t="s">
        <v>694</v>
      </c>
      <c r="C272" s="217" t="s">
        <v>695</v>
      </c>
      <c r="D272" s="180" t="s">
        <v>232</v>
      </c>
      <c r="E272" s="34">
        <v>1049</v>
      </c>
      <c r="F272" s="34">
        <f t="shared" si="134"/>
        <v>1049</v>
      </c>
      <c r="G272" s="124">
        <f t="shared" si="128"/>
        <v>0</v>
      </c>
      <c r="H272" s="35"/>
      <c r="I272" s="124">
        <f t="shared" si="135"/>
        <v>1049</v>
      </c>
      <c r="J272" s="124">
        <f t="shared" si="129"/>
        <v>0</v>
      </c>
      <c r="K272" s="35"/>
      <c r="L272" s="124">
        <f t="shared" si="136"/>
        <v>1049</v>
      </c>
      <c r="M272" s="124">
        <f t="shared" si="130"/>
        <v>0</v>
      </c>
      <c r="N272" s="35"/>
      <c r="O272" s="124">
        <f t="shared" si="137"/>
        <v>1049</v>
      </c>
      <c r="P272" s="124">
        <f t="shared" si="131"/>
        <v>0</v>
      </c>
      <c r="Q272" s="35"/>
      <c r="R272" s="124">
        <f t="shared" si="138"/>
        <v>1049</v>
      </c>
      <c r="S272" s="124">
        <f t="shared" si="132"/>
        <v>0</v>
      </c>
      <c r="T272" s="35"/>
      <c r="U272" s="124">
        <f t="shared" si="139"/>
        <v>1049</v>
      </c>
      <c r="V272" s="124">
        <f t="shared" si="133"/>
        <v>0</v>
      </c>
      <c r="W272" s="35"/>
    </row>
    <row r="273" spans="2:23" ht="57.6" customHeight="1" x14ac:dyDescent="0.25">
      <c r="B273" s="131" t="s">
        <v>696</v>
      </c>
      <c r="C273" s="217" t="s">
        <v>697</v>
      </c>
      <c r="D273" s="180" t="s">
        <v>698</v>
      </c>
      <c r="E273" s="34">
        <v>7000</v>
      </c>
      <c r="F273" s="34">
        <f t="shared" si="134"/>
        <v>7000</v>
      </c>
      <c r="G273" s="124">
        <f t="shared" si="128"/>
        <v>0</v>
      </c>
      <c r="H273" s="35"/>
      <c r="I273" s="124">
        <f t="shared" si="135"/>
        <v>7000</v>
      </c>
      <c r="J273" s="124">
        <f t="shared" si="129"/>
        <v>0</v>
      </c>
      <c r="K273" s="35"/>
      <c r="L273" s="124">
        <f t="shared" si="136"/>
        <v>7000</v>
      </c>
      <c r="M273" s="124">
        <f t="shared" si="130"/>
        <v>0</v>
      </c>
      <c r="N273" s="35"/>
      <c r="O273" s="124">
        <f t="shared" si="137"/>
        <v>7000</v>
      </c>
      <c r="P273" s="124">
        <f t="shared" si="131"/>
        <v>0</v>
      </c>
      <c r="Q273" s="35"/>
      <c r="R273" s="124">
        <f t="shared" si="138"/>
        <v>7000</v>
      </c>
      <c r="S273" s="124">
        <f t="shared" si="132"/>
        <v>0</v>
      </c>
      <c r="T273" s="35"/>
      <c r="U273" s="124">
        <f t="shared" si="139"/>
        <v>7000</v>
      </c>
      <c r="V273" s="124">
        <f t="shared" si="133"/>
        <v>0</v>
      </c>
      <c r="W273" s="35"/>
    </row>
    <row r="274" spans="2:23" ht="27" customHeight="1" x14ac:dyDescent="0.25">
      <c r="C274" s="205" t="s">
        <v>699</v>
      </c>
      <c r="D274" s="180" t="s">
        <v>220</v>
      </c>
      <c r="E274" s="27">
        <v>106243</v>
      </c>
      <c r="F274" s="27">
        <f>F275+F276</f>
        <v>106243</v>
      </c>
      <c r="G274" s="124">
        <f t="shared" si="128"/>
        <v>0</v>
      </c>
      <c r="H274" s="35"/>
      <c r="I274" s="125">
        <f>I275+I276</f>
        <v>106243</v>
      </c>
      <c r="J274" s="124">
        <f t="shared" si="129"/>
        <v>0</v>
      </c>
      <c r="K274" s="35"/>
      <c r="L274" s="125">
        <f>L275+L276</f>
        <v>106243</v>
      </c>
      <c r="M274" s="124">
        <f t="shared" si="130"/>
        <v>0</v>
      </c>
      <c r="N274" s="35"/>
      <c r="O274" s="125">
        <f>O275+O276</f>
        <v>106243</v>
      </c>
      <c r="P274" s="124">
        <f t="shared" si="131"/>
        <v>0</v>
      </c>
      <c r="Q274" s="35"/>
      <c r="R274" s="125">
        <f>R275+R276</f>
        <v>106243</v>
      </c>
      <c r="S274" s="124">
        <f t="shared" si="132"/>
        <v>0</v>
      </c>
      <c r="T274" s="35"/>
      <c r="U274" s="125">
        <f>U275+U276</f>
        <v>106243</v>
      </c>
      <c r="V274" s="124">
        <f t="shared" si="133"/>
        <v>0</v>
      </c>
      <c r="W274" s="35"/>
    </row>
    <row r="275" spans="2:23" ht="14.45" customHeight="1" x14ac:dyDescent="0.25">
      <c r="B275" s="131" t="s">
        <v>700</v>
      </c>
      <c r="C275" s="178" t="s">
        <v>701</v>
      </c>
      <c r="D275" s="155" t="s">
        <v>702</v>
      </c>
      <c r="E275" s="17">
        <v>70943</v>
      </c>
      <c r="F275" s="17">
        <f>ROUND(E275,0)</f>
        <v>70943</v>
      </c>
      <c r="G275" s="110">
        <f t="shared" si="128"/>
        <v>0</v>
      </c>
      <c r="H275" s="25"/>
      <c r="I275" s="110">
        <f>ROUND(F275,0)</f>
        <v>70943</v>
      </c>
      <c r="J275" s="110">
        <f t="shared" si="129"/>
        <v>0</v>
      </c>
      <c r="K275" s="25"/>
      <c r="L275" s="110">
        <f>ROUND(I275,0)</f>
        <v>70943</v>
      </c>
      <c r="M275" s="110">
        <f t="shared" si="130"/>
        <v>0</v>
      </c>
      <c r="N275" s="25"/>
      <c r="O275" s="110">
        <f>ROUND(L275,0)</f>
        <v>70943</v>
      </c>
      <c r="P275" s="110">
        <f t="shared" si="131"/>
        <v>0</v>
      </c>
      <c r="Q275" s="25"/>
      <c r="R275" s="110">
        <f>ROUND(O275,0)</f>
        <v>70943</v>
      </c>
      <c r="S275" s="110">
        <f t="shared" si="132"/>
        <v>0</v>
      </c>
      <c r="T275" s="25"/>
      <c r="U275" s="110">
        <f>ROUND(R275,0)</f>
        <v>70943</v>
      </c>
      <c r="V275" s="110">
        <f t="shared" si="133"/>
        <v>0</v>
      </c>
      <c r="W275" s="25"/>
    </row>
    <row r="276" spans="2:23" s="167" customFormat="1" ht="15" customHeight="1" x14ac:dyDescent="0.25">
      <c r="B276" s="131" t="s">
        <v>703</v>
      </c>
      <c r="C276" s="178" t="s">
        <v>704</v>
      </c>
      <c r="D276" s="155" t="s">
        <v>705</v>
      </c>
      <c r="E276" s="17">
        <v>35300</v>
      </c>
      <c r="F276" s="17">
        <f>ROUND(E276,0)</f>
        <v>35300</v>
      </c>
      <c r="G276" s="110">
        <f t="shared" si="128"/>
        <v>0</v>
      </c>
      <c r="H276" s="25"/>
      <c r="I276" s="110">
        <f>ROUND(F276,0)</f>
        <v>35300</v>
      </c>
      <c r="J276" s="110">
        <f t="shared" si="129"/>
        <v>0</v>
      </c>
      <c r="K276" s="25"/>
      <c r="L276" s="110">
        <f>ROUND(I276,0)</f>
        <v>35300</v>
      </c>
      <c r="M276" s="110">
        <f t="shared" si="130"/>
        <v>0</v>
      </c>
      <c r="N276" s="25"/>
      <c r="O276" s="110">
        <f>ROUND(L276,0)</f>
        <v>35300</v>
      </c>
      <c r="P276" s="110">
        <f t="shared" si="131"/>
        <v>0</v>
      </c>
      <c r="Q276" s="25"/>
      <c r="R276" s="110">
        <f>ROUND(O276,0)</f>
        <v>35300</v>
      </c>
      <c r="S276" s="110">
        <f t="shared" si="132"/>
        <v>0</v>
      </c>
      <c r="T276" s="25"/>
      <c r="U276" s="110">
        <f>ROUND(R276,0)</f>
        <v>35300</v>
      </c>
      <c r="V276" s="110">
        <f t="shared" si="133"/>
        <v>0</v>
      </c>
      <c r="W276" s="25"/>
    </row>
    <row r="277" spans="2:23" s="167" customFormat="1" ht="17.45" customHeight="1" outlineLevel="1" x14ac:dyDescent="0.2">
      <c r="C277" s="175" t="s">
        <v>706</v>
      </c>
      <c r="D277" s="176" t="s">
        <v>707</v>
      </c>
      <c r="E277" s="19">
        <v>0</v>
      </c>
      <c r="F277" s="19">
        <f>SUM(F278:F279)</f>
        <v>0</v>
      </c>
      <c r="G277" s="114">
        <f t="shared" si="128"/>
        <v>0</v>
      </c>
      <c r="H277" s="20"/>
      <c r="I277" s="114">
        <f>SUM(I278:I279)</f>
        <v>0</v>
      </c>
      <c r="J277" s="114">
        <f t="shared" si="129"/>
        <v>0</v>
      </c>
      <c r="K277" s="20"/>
      <c r="L277" s="114">
        <f>SUM(L278:L279)</f>
        <v>0</v>
      </c>
      <c r="M277" s="114">
        <f t="shared" si="130"/>
        <v>0</v>
      </c>
      <c r="N277" s="20"/>
      <c r="O277" s="114">
        <f>SUM(O278:O279)</f>
        <v>0</v>
      </c>
      <c r="P277" s="114">
        <f t="shared" si="131"/>
        <v>0</v>
      </c>
      <c r="Q277" s="20"/>
      <c r="R277" s="114">
        <f>SUM(R278:R279)</f>
        <v>0</v>
      </c>
      <c r="S277" s="114">
        <f t="shared" si="132"/>
        <v>0</v>
      </c>
      <c r="T277" s="20"/>
      <c r="U277" s="114">
        <f>SUM(U278:U279)</f>
        <v>150000</v>
      </c>
      <c r="V277" s="114">
        <f t="shared" si="133"/>
        <v>150000</v>
      </c>
      <c r="W277" s="20"/>
    </row>
    <row r="278" spans="2:23" ht="17.25" customHeight="1" outlineLevel="1" x14ac:dyDescent="0.25">
      <c r="C278" s="172" t="s">
        <v>130</v>
      </c>
      <c r="D278" s="173" t="s">
        <v>708</v>
      </c>
      <c r="E278" s="34"/>
      <c r="F278" s="34"/>
      <c r="G278" s="124">
        <f t="shared" si="128"/>
        <v>0</v>
      </c>
      <c r="H278" s="35"/>
      <c r="I278" s="124"/>
      <c r="J278" s="124">
        <f t="shared" si="129"/>
        <v>0</v>
      </c>
      <c r="K278" s="35"/>
      <c r="L278" s="124"/>
      <c r="M278" s="124">
        <f t="shared" si="130"/>
        <v>0</v>
      </c>
      <c r="N278" s="35"/>
      <c r="O278" s="124"/>
      <c r="P278" s="124">
        <f t="shared" si="131"/>
        <v>0</v>
      </c>
      <c r="Q278" s="35"/>
      <c r="R278" s="124"/>
      <c r="S278" s="124">
        <f t="shared" si="132"/>
        <v>0</v>
      </c>
      <c r="T278" s="35"/>
      <c r="U278" s="124">
        <v>150000</v>
      </c>
      <c r="V278" s="124">
        <f t="shared" si="133"/>
        <v>150000</v>
      </c>
      <c r="W278" s="35" t="s">
        <v>400</v>
      </c>
    </row>
    <row r="279" spans="2:23" ht="15.75" outlineLevel="1" thickBot="1" x14ac:dyDescent="0.3">
      <c r="C279" s="172" t="s">
        <v>200</v>
      </c>
      <c r="D279" s="173" t="s">
        <v>709</v>
      </c>
      <c r="E279" s="34"/>
      <c r="F279" s="34"/>
      <c r="G279" s="124">
        <f t="shared" si="128"/>
        <v>0</v>
      </c>
      <c r="H279" s="35"/>
      <c r="I279" s="124"/>
      <c r="J279" s="124">
        <f t="shared" si="129"/>
        <v>0</v>
      </c>
      <c r="K279" s="35"/>
      <c r="L279" s="124"/>
      <c r="M279" s="124">
        <f t="shared" si="130"/>
        <v>0</v>
      </c>
      <c r="N279" s="35"/>
      <c r="O279" s="124"/>
      <c r="P279" s="124">
        <f t="shared" si="131"/>
        <v>0</v>
      </c>
      <c r="Q279" s="35"/>
      <c r="R279" s="124"/>
      <c r="S279" s="124">
        <f t="shared" si="132"/>
        <v>0</v>
      </c>
      <c r="T279" s="35"/>
      <c r="U279" s="124"/>
      <c r="V279" s="124">
        <f t="shared" si="133"/>
        <v>0</v>
      </c>
      <c r="W279" s="35"/>
    </row>
    <row r="280" spans="2:23" s="167" customFormat="1" ht="30" customHeight="1" thickBot="1" x14ac:dyDescent="0.25">
      <c r="C280" s="218"/>
      <c r="D280" s="219" t="s">
        <v>710</v>
      </c>
      <c r="E280" s="88">
        <v>54533532.808720239</v>
      </c>
      <c r="F280" s="88">
        <f>F135+F145+F147+F148+F153+F155+F191+F204+F223+F277+0.5</f>
        <v>54591888.5</v>
      </c>
      <c r="G280" s="220">
        <f t="shared" si="128"/>
        <v>58355.691279761493</v>
      </c>
      <c r="H280" s="89"/>
      <c r="I280" s="220">
        <f>I135+I145+I147+I148+I153+I155+I191+I204+I223+I277+0.5</f>
        <v>55068746.5</v>
      </c>
      <c r="J280" s="220">
        <f t="shared" si="129"/>
        <v>476858</v>
      </c>
      <c r="K280" s="89"/>
      <c r="L280" s="220">
        <f>L135+L145+L147+L148+L153+L155+L191+L204+L223+L277+0.5</f>
        <v>55226538.5</v>
      </c>
      <c r="M280" s="220">
        <f t="shared" si="130"/>
        <v>157792</v>
      </c>
      <c r="N280" s="89"/>
      <c r="O280" s="220">
        <f>O135+O145+O147+O148+O153+O155+O191+O204+O223+O277+0.5</f>
        <v>55344618.5</v>
      </c>
      <c r="P280" s="220">
        <f t="shared" si="131"/>
        <v>118080</v>
      </c>
      <c r="Q280" s="89"/>
      <c r="R280" s="220">
        <f>R135+R145+R147+R148+R153+R155+R191+R204+R223+R277+0.5</f>
        <v>53843814.5</v>
      </c>
      <c r="S280" s="220">
        <f t="shared" si="132"/>
        <v>-1500804</v>
      </c>
      <c r="T280" s="89"/>
      <c r="U280" s="220">
        <f>U135+U145+U147+U148+U153+U155+U191+U204+U223+U277+0.5</f>
        <v>54803274.5</v>
      </c>
      <c r="V280" s="220">
        <f>U280-R280</f>
        <v>959460</v>
      </c>
      <c r="W280" s="89"/>
    </row>
    <row r="281" spans="2:23" s="107" customFormat="1" ht="42" customHeight="1" thickBot="1" x14ac:dyDescent="0.3">
      <c r="C281" s="175" t="s">
        <v>261</v>
      </c>
      <c r="D281" s="176" t="s">
        <v>711</v>
      </c>
      <c r="E281" s="19">
        <v>3601890.1379218102</v>
      </c>
      <c r="F281" s="19">
        <f>ROUND(E281,0)</f>
        <v>3601890</v>
      </c>
      <c r="G281" s="114">
        <f t="shared" si="128"/>
        <v>-0.13792181015014648</v>
      </c>
      <c r="H281" s="24"/>
      <c r="I281" s="114">
        <f>ROUND(F281,0)</f>
        <v>3601890</v>
      </c>
      <c r="J281" s="114">
        <f t="shared" si="129"/>
        <v>0</v>
      </c>
      <c r="K281" s="24"/>
      <c r="L281" s="114">
        <f>ROUND(I281,0)</f>
        <v>3601890</v>
      </c>
      <c r="M281" s="114">
        <f t="shared" si="130"/>
        <v>0</v>
      </c>
      <c r="N281" s="24"/>
      <c r="O281" s="114">
        <f>ROUND(L281,0)</f>
        <v>3601890</v>
      </c>
      <c r="P281" s="114">
        <f t="shared" si="131"/>
        <v>0</v>
      </c>
      <c r="Q281" s="24"/>
      <c r="R281" s="114">
        <f>ROUND(O281,0)</f>
        <v>3601890</v>
      </c>
      <c r="S281" s="114">
        <f t="shared" si="132"/>
        <v>0</v>
      </c>
      <c r="T281" s="24"/>
      <c r="U281" s="114">
        <f>ROUND(R281,0)+133641+37335</f>
        <v>3772866</v>
      </c>
      <c r="V281" s="114">
        <f t="shared" si="133"/>
        <v>170976</v>
      </c>
      <c r="W281" s="24" t="s">
        <v>712</v>
      </c>
    </row>
    <row r="282" spans="2:23" ht="15.75" thickBot="1" x14ac:dyDescent="0.3">
      <c r="C282" s="218"/>
      <c r="D282" s="219" t="s">
        <v>713</v>
      </c>
      <c r="E282" s="90">
        <v>58135422.946642049</v>
      </c>
      <c r="F282" s="90">
        <f>F280+F281</f>
        <v>58193778.5</v>
      </c>
      <c r="G282" s="221">
        <f t="shared" si="128"/>
        <v>58355.553357951343</v>
      </c>
      <c r="H282" s="91"/>
      <c r="I282" s="221">
        <f>I280+I281</f>
        <v>58670636.5</v>
      </c>
      <c r="J282" s="221">
        <f t="shared" si="129"/>
        <v>476858</v>
      </c>
      <c r="K282" s="91"/>
      <c r="L282" s="221">
        <f>L280+L281</f>
        <v>58828428.5</v>
      </c>
      <c r="M282" s="221">
        <f t="shared" si="130"/>
        <v>157792</v>
      </c>
      <c r="N282" s="91"/>
      <c r="O282" s="221">
        <f>O280+O281</f>
        <v>58946508.5</v>
      </c>
      <c r="P282" s="221">
        <f t="shared" si="131"/>
        <v>118080</v>
      </c>
      <c r="Q282" s="91"/>
      <c r="R282" s="221">
        <f>R280+R281</f>
        <v>57445704.5</v>
      </c>
      <c r="S282" s="221">
        <f t="shared" si="132"/>
        <v>-1500804</v>
      </c>
      <c r="T282" s="91"/>
      <c r="U282" s="221">
        <f>U280+U281</f>
        <v>58576140.5</v>
      </c>
      <c r="V282" s="221">
        <f t="shared" si="133"/>
        <v>1130436</v>
      </c>
      <c r="W282" s="91"/>
    </row>
    <row r="283" spans="2:23" ht="16.5" thickTop="1" thickBot="1" x14ac:dyDescent="0.3">
      <c r="C283" s="222" t="s">
        <v>714</v>
      </c>
      <c r="D283" s="223" t="s">
        <v>715</v>
      </c>
      <c r="E283" s="92">
        <v>26873.285557955503</v>
      </c>
      <c r="F283" s="92">
        <f>F129-F282-0.2</f>
        <v>26873.3</v>
      </c>
      <c r="G283" s="224">
        <f t="shared" si="128"/>
        <v>1.4442044495808659E-2</v>
      </c>
      <c r="H283" s="93"/>
      <c r="I283" s="224">
        <f>I129-I282-0.2</f>
        <v>43996.3</v>
      </c>
      <c r="J283" s="224">
        <f t="shared" si="129"/>
        <v>17123.000000000004</v>
      </c>
      <c r="K283" s="93"/>
      <c r="L283" s="224">
        <f>L129-L282-0.2</f>
        <v>47155.3</v>
      </c>
      <c r="M283" s="224">
        <f t="shared" si="130"/>
        <v>3159</v>
      </c>
      <c r="N283" s="93"/>
      <c r="O283" s="224">
        <f>O129-O282-0.2</f>
        <v>47075.3</v>
      </c>
      <c r="P283" s="224">
        <f t="shared" si="131"/>
        <v>-80</v>
      </c>
      <c r="Q283" s="93"/>
      <c r="R283" s="224">
        <f>R129-R282-0.2</f>
        <v>44090.3</v>
      </c>
      <c r="S283" s="224">
        <f t="shared" si="132"/>
        <v>-2985</v>
      </c>
      <c r="T283" s="93"/>
      <c r="U283" s="224">
        <f>U129-U282-0.2</f>
        <v>50568.129999998215</v>
      </c>
      <c r="V283" s="224">
        <f t="shared" si="133"/>
        <v>6477.8299999982119</v>
      </c>
      <c r="W283" s="93"/>
    </row>
    <row r="285" spans="2:23" x14ac:dyDescent="0.25">
      <c r="V285" s="97"/>
    </row>
  </sheetData>
  <mergeCells count="7">
    <mergeCell ref="W57:W58"/>
    <mergeCell ref="C132:D132"/>
    <mergeCell ref="C133:D133"/>
    <mergeCell ref="K168:K169"/>
    <mergeCell ref="C2:D2"/>
    <mergeCell ref="C3:D3"/>
    <mergeCell ref="T57:T58"/>
  </mergeCells>
  <conditionalFormatting sqref="E283:G283">
    <cfRule type="cellIs" dxfId="5" priority="7" operator="lessThan">
      <formula>0</formula>
    </cfRule>
  </conditionalFormatting>
  <conditionalFormatting sqref="I283:J283">
    <cfRule type="cellIs" dxfId="4" priority="5" operator="lessThan">
      <formula>0</formula>
    </cfRule>
  </conditionalFormatting>
  <conditionalFormatting sqref="L283:M283">
    <cfRule type="cellIs" dxfId="3" priority="4" operator="lessThan">
      <formula>0</formula>
    </cfRule>
  </conditionalFormatting>
  <conditionalFormatting sqref="O283:P283">
    <cfRule type="cellIs" dxfId="2" priority="3" operator="lessThan">
      <formula>0</formula>
    </cfRule>
  </conditionalFormatting>
  <conditionalFormatting sqref="R283:S283">
    <cfRule type="cellIs" dxfId="1" priority="2" operator="lessThan">
      <formula>0</formula>
    </cfRule>
  </conditionalFormatting>
  <conditionalFormatting sqref="U283:V283">
    <cfRule type="cellIs" dxfId="0" priority="1" operator="lessThan">
      <formula>0</formula>
    </cfRule>
  </conditionalFormatting>
  <pageMargins left="0.47244094488188981" right="0.47244094488188981" top="0.47244094488188981" bottom="0.47244094488188981" header="0.27559055118110237" footer="0.27559055118110237"/>
  <pageSetup paperSize="9" scale="85" fitToHeight="0"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52EFA-CBC6-447B-86F3-63503906AA3D}">
  <sheetPr>
    <tabColor rgb="FF7030A0"/>
    <pageSetUpPr fitToPage="1"/>
  </sheetPr>
  <dimension ref="A1:BE190"/>
  <sheetViews>
    <sheetView topLeftCell="A156" workbookViewId="0">
      <pane xSplit="3" topLeftCell="D1" activePane="topRight" state="frozen"/>
      <selection activeCell="C1" sqref="C1"/>
      <selection pane="topRight" activeCell="BE171" sqref="BE171"/>
    </sheetView>
  </sheetViews>
  <sheetFormatPr defaultColWidth="9" defaultRowHeight="15" outlineLevelRow="1" outlineLevelCol="1" x14ac:dyDescent="0.25"/>
  <cols>
    <col min="1" max="1" width="5.5703125" style="225" hidden="1" customWidth="1" outlineLevel="1"/>
    <col min="2" max="2" width="4" style="225" hidden="1" customWidth="1" outlineLevel="1"/>
    <col min="3" max="3" width="12.28515625" style="225" customWidth="1" collapsed="1"/>
    <col min="4" max="4" width="42.140625" style="225" customWidth="1"/>
    <col min="5" max="5" width="15.42578125" style="227" hidden="1" customWidth="1" outlineLevel="1"/>
    <col min="6" max="6" width="13.42578125" style="225" hidden="1" customWidth="1" outlineLevel="1"/>
    <col min="7" max="7" width="12.85546875" style="225" customWidth="1" collapsed="1"/>
    <col min="8" max="8" width="12.42578125" style="225" customWidth="1"/>
    <col min="9" max="9" width="7.28515625" style="225" customWidth="1"/>
    <col min="10" max="10" width="13.140625" style="227" customWidth="1"/>
    <col min="11" max="12" width="15" style="225" hidden="1" customWidth="1" outlineLevel="1"/>
    <col min="13" max="13" width="6.7109375" style="225" hidden="1" customWidth="1" outlineLevel="1"/>
    <col min="14" max="16" width="15" style="225" hidden="1" customWidth="1" outlineLevel="1"/>
    <col min="17" max="17" width="18.140625" style="225" customWidth="1" collapsed="1"/>
    <col min="18" max="18" width="13.140625" style="225" hidden="1" customWidth="1" outlineLevel="1"/>
    <col min="19" max="19" width="13.140625" style="230" hidden="1" customWidth="1" outlineLevel="1"/>
    <col min="20" max="20" width="11.42578125" style="230" customWidth="1" collapsed="1"/>
    <col min="21" max="26" width="11.42578125" style="225" customWidth="1"/>
    <col min="27" max="52" width="11.42578125" style="225" hidden="1" customWidth="1" outlineLevel="1"/>
    <col min="53" max="54" width="13.42578125" style="225" customWidth="1" collapsed="1"/>
    <col min="55" max="56" width="9" style="225"/>
    <col min="57" max="57" width="12" style="225" customWidth="1"/>
    <col min="58" max="16384" width="9" style="225"/>
  </cols>
  <sheetData>
    <row r="1" spans="1:57" ht="18.75" x14ac:dyDescent="0.3">
      <c r="C1" s="226" t="s">
        <v>719</v>
      </c>
      <c r="K1" s="228"/>
      <c r="L1" s="228"/>
      <c r="M1" s="228"/>
      <c r="N1" s="228"/>
      <c r="O1" s="228"/>
      <c r="Q1" s="229"/>
      <c r="R1" s="229"/>
    </row>
    <row r="2" spans="1:57" ht="18.75" x14ac:dyDescent="0.3">
      <c r="C2" s="231"/>
      <c r="K2" s="229"/>
      <c r="L2" s="229"/>
      <c r="M2" s="229"/>
      <c r="N2" s="229"/>
      <c r="O2" s="229"/>
      <c r="Q2" s="229"/>
      <c r="R2" s="229"/>
      <c r="S2" s="229"/>
      <c r="T2" s="229"/>
      <c r="W2" s="232"/>
    </row>
    <row r="3" spans="1:57" ht="15.75" x14ac:dyDescent="0.25">
      <c r="C3" s="233" t="s">
        <v>720</v>
      </c>
      <c r="K3" s="228"/>
      <c r="L3" s="228"/>
      <c r="M3" s="228"/>
      <c r="N3" s="228"/>
      <c r="O3" s="228"/>
      <c r="P3" s="228"/>
      <c r="Q3" s="229"/>
      <c r="R3" s="229"/>
      <c r="S3" s="229"/>
      <c r="T3" s="234"/>
      <c r="U3" s="234"/>
      <c r="V3" s="234"/>
      <c r="W3" s="234"/>
      <c r="X3" s="234"/>
      <c r="Y3" s="234"/>
      <c r="Z3" s="234"/>
      <c r="AA3" s="234"/>
      <c r="AB3" s="234"/>
      <c r="AC3" s="234"/>
      <c r="AD3" s="234"/>
      <c r="AE3" s="234"/>
      <c r="AF3" s="234"/>
      <c r="AG3" s="234"/>
      <c r="AH3" s="234"/>
      <c r="AI3" s="234"/>
      <c r="AJ3" s="234"/>
      <c r="AK3" s="234"/>
      <c r="AL3" s="234"/>
      <c r="AM3" s="234"/>
      <c r="AN3" s="234"/>
      <c r="AO3" s="234"/>
      <c r="AP3" s="234"/>
      <c r="AQ3" s="234"/>
      <c r="AR3" s="234"/>
      <c r="AS3" s="234"/>
      <c r="AT3" s="234"/>
      <c r="AU3" s="234"/>
      <c r="AV3" s="234"/>
      <c r="AW3" s="234"/>
      <c r="AX3" s="234"/>
      <c r="AY3" s="234"/>
      <c r="AZ3" s="234"/>
      <c r="BA3" s="234"/>
      <c r="BB3" s="234"/>
    </row>
    <row r="4" spans="1:57" hidden="1" outlineLevel="1" x14ac:dyDescent="0.25">
      <c r="C4" s="235"/>
      <c r="K4" s="236"/>
      <c r="L4" s="236"/>
      <c r="M4" s="236"/>
      <c r="N4" s="236"/>
      <c r="O4" s="236"/>
      <c r="P4" s="237">
        <v>0</v>
      </c>
      <c r="Q4" s="229"/>
      <c r="R4" s="229"/>
      <c r="S4" s="229"/>
      <c r="T4" s="229"/>
      <c r="V4" s="238"/>
      <c r="W4" s="238"/>
      <c r="X4" s="238"/>
      <c r="Y4" s="238"/>
      <c r="Z4" s="238"/>
      <c r="AA4" s="238"/>
      <c r="AB4" s="238"/>
      <c r="AC4" s="238"/>
      <c r="AD4" s="238"/>
    </row>
    <row r="5" spans="1:57" s="239" customFormat="1" ht="60" collapsed="1" x14ac:dyDescent="0.2">
      <c r="B5" s="240" t="s">
        <v>721</v>
      </c>
      <c r="C5" s="240" t="s">
        <v>722</v>
      </c>
      <c r="D5" s="240" t="s">
        <v>723</v>
      </c>
      <c r="E5" s="241" t="s">
        <v>724</v>
      </c>
      <c r="F5" s="241" t="s">
        <v>725</v>
      </c>
      <c r="G5" s="241" t="s">
        <v>726</v>
      </c>
      <c r="H5" s="241" t="s">
        <v>727</v>
      </c>
      <c r="I5" s="241" t="s">
        <v>728</v>
      </c>
      <c r="J5" s="242" t="s">
        <v>729</v>
      </c>
      <c r="K5" s="243" t="s">
        <v>730</v>
      </c>
      <c r="L5" s="243" t="s">
        <v>731</v>
      </c>
      <c r="M5" s="243" t="s">
        <v>732</v>
      </c>
      <c r="N5" s="243" t="s">
        <v>733</v>
      </c>
      <c r="O5" s="243" t="s">
        <v>734</v>
      </c>
      <c r="P5" s="243" t="s">
        <v>735</v>
      </c>
      <c r="Q5" s="244" t="s">
        <v>736</v>
      </c>
      <c r="R5" s="245" t="s">
        <v>737</v>
      </c>
      <c r="S5" s="246" t="s">
        <v>738</v>
      </c>
      <c r="T5" s="242">
        <v>2023</v>
      </c>
      <c r="U5" s="240">
        <v>2024</v>
      </c>
      <c r="V5" s="240">
        <v>2025</v>
      </c>
      <c r="W5" s="240">
        <v>2026</v>
      </c>
      <c r="X5" s="240">
        <v>2027</v>
      </c>
      <c r="Y5" s="240">
        <v>2028</v>
      </c>
      <c r="Z5" s="240">
        <v>2029</v>
      </c>
      <c r="AA5" s="240">
        <v>2030</v>
      </c>
      <c r="AB5" s="240">
        <v>2031</v>
      </c>
      <c r="AC5" s="240">
        <v>2032</v>
      </c>
      <c r="AD5" s="240">
        <v>2033</v>
      </c>
      <c r="AE5" s="240">
        <v>2034</v>
      </c>
      <c r="AF5" s="240">
        <v>2035</v>
      </c>
      <c r="AG5" s="240">
        <v>2036</v>
      </c>
      <c r="AH5" s="240">
        <v>2037</v>
      </c>
      <c r="AI5" s="240">
        <v>2038</v>
      </c>
      <c r="AJ5" s="240">
        <v>2039</v>
      </c>
      <c r="AK5" s="240">
        <v>2040</v>
      </c>
      <c r="AL5" s="240">
        <v>2041</v>
      </c>
      <c r="AM5" s="240">
        <v>2042</v>
      </c>
      <c r="AN5" s="240">
        <v>2043</v>
      </c>
      <c r="AO5" s="240">
        <v>2044</v>
      </c>
      <c r="AP5" s="240">
        <v>2045</v>
      </c>
      <c r="AQ5" s="240">
        <v>2046</v>
      </c>
      <c r="AR5" s="240">
        <v>2047</v>
      </c>
      <c r="AS5" s="240">
        <v>2048</v>
      </c>
      <c r="AT5" s="240">
        <v>2049</v>
      </c>
      <c r="AU5" s="240">
        <v>2050</v>
      </c>
      <c r="AV5" s="240">
        <v>2051</v>
      </c>
      <c r="AW5" s="240">
        <v>2052</v>
      </c>
      <c r="AX5" s="240">
        <v>2053</v>
      </c>
      <c r="AY5" s="241" t="s">
        <v>739</v>
      </c>
      <c r="BA5" s="247" t="s">
        <v>740</v>
      </c>
      <c r="BB5" s="241" t="s">
        <v>741</v>
      </c>
    </row>
    <row r="6" spans="1:57" s="248" customFormat="1" hidden="1" outlineLevel="1" x14ac:dyDescent="0.25">
      <c r="B6" s="249" t="s">
        <v>742</v>
      </c>
      <c r="C6" s="249">
        <v>1</v>
      </c>
      <c r="D6" s="249" t="s">
        <v>743</v>
      </c>
      <c r="E6" s="250" t="s">
        <v>744</v>
      </c>
      <c r="F6" s="249" t="s">
        <v>745</v>
      </c>
      <c r="G6" s="251" t="s">
        <v>746</v>
      </c>
      <c r="H6" s="251" t="s">
        <v>747</v>
      </c>
      <c r="I6" s="251" t="s">
        <v>748</v>
      </c>
      <c r="J6" s="252">
        <v>2099988.0499999998</v>
      </c>
      <c r="K6" s="253">
        <v>1343825.59</v>
      </c>
      <c r="L6" s="253"/>
      <c r="M6" s="253"/>
      <c r="N6" s="249"/>
      <c r="O6" s="249"/>
      <c r="P6" s="249"/>
      <c r="Q6" s="254" t="s">
        <v>749</v>
      </c>
      <c r="R6" s="255">
        <v>48972.4</v>
      </c>
      <c r="S6" s="255">
        <v>48972.4</v>
      </c>
      <c r="T6" s="256">
        <f>SUM(R6:S6)</f>
        <v>97944.8</v>
      </c>
      <c r="U6" s="256">
        <v>97944.8</v>
      </c>
      <c r="V6" s="256">
        <v>97944.8</v>
      </c>
      <c r="W6" s="256">
        <v>97944.8</v>
      </c>
      <c r="X6" s="256">
        <v>97944.8</v>
      </c>
      <c r="Y6" s="256">
        <v>97944.8</v>
      </c>
      <c r="Z6" s="256">
        <v>97944.8</v>
      </c>
      <c r="AA6" s="256">
        <v>97944.8</v>
      </c>
      <c r="AB6" s="256">
        <v>97944.8</v>
      </c>
      <c r="AC6" s="256">
        <v>97944.8</v>
      </c>
      <c r="AD6" s="256">
        <v>113829.75999999999</v>
      </c>
      <c r="AE6" s="256">
        <v>113829.75999999999</v>
      </c>
      <c r="AF6" s="256">
        <v>113829.75999999999</v>
      </c>
      <c r="AG6" s="256">
        <v>71860.709999999992</v>
      </c>
      <c r="AH6" s="256">
        <v>0</v>
      </c>
      <c r="AI6" s="256">
        <v>0</v>
      </c>
      <c r="AJ6" s="256">
        <v>0</v>
      </c>
      <c r="AK6" s="256">
        <v>0</v>
      </c>
      <c r="AL6" s="256">
        <v>0</v>
      </c>
      <c r="AM6" s="256">
        <v>0</v>
      </c>
      <c r="AN6" s="256">
        <v>0</v>
      </c>
      <c r="AO6" s="256">
        <v>0</v>
      </c>
      <c r="AP6" s="256">
        <v>0</v>
      </c>
      <c r="AQ6" s="256">
        <v>0</v>
      </c>
      <c r="AR6" s="256">
        <v>0</v>
      </c>
      <c r="AS6" s="256">
        <v>0</v>
      </c>
      <c r="AT6" s="256">
        <v>0</v>
      </c>
      <c r="AU6" s="256">
        <v>0</v>
      </c>
      <c r="AV6" s="256">
        <v>0</v>
      </c>
      <c r="AW6" s="256"/>
      <c r="AX6" s="256"/>
      <c r="AY6" s="257">
        <f>SUM(T6:AX6)</f>
        <v>1392797.9900000002</v>
      </c>
      <c r="AZ6" s="232">
        <f>AY6-SUM(T6:AX6)</f>
        <v>0</v>
      </c>
      <c r="BA6" s="258">
        <f>SUM(AA6:AX6)</f>
        <v>707184.39</v>
      </c>
      <c r="BB6" s="259">
        <f>SUM(T6:Z6,BA6)</f>
        <v>1392797.9900000002</v>
      </c>
      <c r="BD6" s="248" t="b">
        <f>AY6=BB6</f>
        <v>1</v>
      </c>
      <c r="BE6" s="260">
        <f>BB6-K6-R6</f>
        <v>1.3824319466948509E-10</v>
      </c>
    </row>
    <row r="7" spans="1:57" hidden="1" outlineLevel="1" x14ac:dyDescent="0.25">
      <c r="B7" s="261" t="s">
        <v>742</v>
      </c>
      <c r="C7" s="261"/>
      <c r="D7" s="261"/>
      <c r="E7" s="262"/>
      <c r="F7" s="261"/>
      <c r="G7" s="261"/>
      <c r="H7" s="261"/>
      <c r="I7" s="261"/>
      <c r="J7" s="263"/>
      <c r="K7" s="263"/>
      <c r="L7" s="263" t="s">
        <v>750</v>
      </c>
      <c r="M7" s="263"/>
      <c r="N7" s="264">
        <f>SUM(O7:P7)</f>
        <v>3.8879999999999999</v>
      </c>
      <c r="O7" s="264">
        <v>3.8879999999999999</v>
      </c>
      <c r="P7" s="264">
        <f>$P$4</f>
        <v>0</v>
      </c>
      <c r="Q7" s="264" t="s">
        <v>751</v>
      </c>
      <c r="R7" s="265">
        <v>11605.25</v>
      </c>
      <c r="S7" s="265">
        <v>12466.47</v>
      </c>
      <c r="T7" s="266">
        <f>SUM(R7:S7)</f>
        <v>24071.72</v>
      </c>
      <c r="U7" s="266">
        <f>SUM(U6:$AV6)*$N7/100</f>
        <v>50343.892027200003</v>
      </c>
      <c r="V7" s="266">
        <f>SUM(V6:$AV6)*$N7/100</f>
        <v>46535.7982032</v>
      </c>
      <c r="W7" s="266">
        <f>SUM(W6:$AV6)*$N7/100</f>
        <v>42727.704379200004</v>
      </c>
      <c r="X7" s="266">
        <f>SUM(X6:$AV6)*$N7/100</f>
        <v>38919.610555200001</v>
      </c>
      <c r="Y7" s="266">
        <f>SUM(Y6:$AV6)*$N7/100</f>
        <v>35111.516731199998</v>
      </c>
      <c r="Z7" s="266">
        <f>SUM(Z6:$AV6)*$N7/100</f>
        <v>31303.422907199998</v>
      </c>
      <c r="AA7" s="266">
        <f>SUM(AA6:$AV6)*$N7/100</f>
        <v>27495.329083199998</v>
      </c>
      <c r="AB7" s="266">
        <f>SUM(AB6:$AV6)*$N7/100</f>
        <v>23687.235259199999</v>
      </c>
      <c r="AC7" s="266">
        <f>SUM(AC6:$AV6)*$N7/100</f>
        <v>19879.141435200003</v>
      </c>
      <c r="AD7" s="266">
        <f>SUM(AD6:$AV6)*$N7/100</f>
        <v>16071.0476112</v>
      </c>
      <c r="AE7" s="266">
        <f>SUM(AE6:$AV6)*$N7/100</f>
        <v>11645.346542399999</v>
      </c>
      <c r="AF7" s="266">
        <f>SUM(AF6:$AV6)*$N7/100</f>
        <v>7219.6454735999987</v>
      </c>
      <c r="AG7" s="266">
        <f>SUM(AG6:$AV6)*$N7/100</f>
        <v>2793.9444048</v>
      </c>
      <c r="AH7" s="266">
        <v>0</v>
      </c>
      <c r="AI7" s="266">
        <v>0</v>
      </c>
      <c r="AJ7" s="266">
        <v>0</v>
      </c>
      <c r="AK7" s="266">
        <v>0</v>
      </c>
      <c r="AL7" s="266">
        <v>0</v>
      </c>
      <c r="AM7" s="266">
        <v>0</v>
      </c>
      <c r="AN7" s="266">
        <v>0</v>
      </c>
      <c r="AO7" s="266">
        <v>0</v>
      </c>
      <c r="AP7" s="266">
        <v>0</v>
      </c>
      <c r="AQ7" s="266">
        <v>0</v>
      </c>
      <c r="AR7" s="266">
        <v>0</v>
      </c>
      <c r="AS7" s="266">
        <v>0</v>
      </c>
      <c r="AT7" s="266">
        <v>0</v>
      </c>
      <c r="AU7" s="266">
        <v>0</v>
      </c>
      <c r="AV7" s="266">
        <v>0</v>
      </c>
      <c r="AW7" s="266"/>
      <c r="AX7" s="266"/>
      <c r="AY7" s="267">
        <f>SUM(T7:AX7)</f>
        <v>377805.35461280006</v>
      </c>
      <c r="AZ7" s="232">
        <f t="shared" ref="AZ7:AZ70" si="0">AY7-SUM(T7:AX7)</f>
        <v>0</v>
      </c>
      <c r="BA7" s="268">
        <f t="shared" ref="BA7:BA70" si="1">SUM(AA7:AX7)</f>
        <v>108791.68980960001</v>
      </c>
      <c r="BB7" s="269">
        <f>SUM(T7:Z7,BA7)</f>
        <v>377805.3546128</v>
      </c>
      <c r="BD7" s="248" t="b">
        <f t="shared" ref="BD7:BD70" si="2">AY7=BB7</f>
        <v>1</v>
      </c>
    </row>
    <row r="8" spans="1:57" s="248" customFormat="1" hidden="1" outlineLevel="1" x14ac:dyDescent="0.25">
      <c r="B8" s="249" t="s">
        <v>742</v>
      </c>
      <c r="C8" s="249">
        <v>2</v>
      </c>
      <c r="D8" s="249" t="s">
        <v>752</v>
      </c>
      <c r="E8" s="250" t="s">
        <v>753</v>
      </c>
      <c r="F8" s="249" t="s">
        <v>754</v>
      </c>
      <c r="G8" s="251" t="s">
        <v>755</v>
      </c>
      <c r="H8" s="251" t="s">
        <v>756</v>
      </c>
      <c r="I8" s="251" t="s">
        <v>748</v>
      </c>
      <c r="J8" s="252">
        <v>6628759.9400000004</v>
      </c>
      <c r="K8" s="253">
        <v>3337088.24</v>
      </c>
      <c r="L8" s="253"/>
      <c r="M8" s="253"/>
      <c r="N8" s="254"/>
      <c r="O8" s="254">
        <v>2.3380000000000001</v>
      </c>
      <c r="P8" s="254"/>
      <c r="Q8" s="254" t="s">
        <v>749</v>
      </c>
      <c r="R8" s="255">
        <v>196299.4</v>
      </c>
      <c r="S8" s="255">
        <v>196299.4</v>
      </c>
      <c r="T8" s="256">
        <f t="shared" ref="T8:T71" si="3">SUM(R8:S8)</f>
        <v>392598.8</v>
      </c>
      <c r="U8" s="256">
        <v>392598.8</v>
      </c>
      <c r="V8" s="256">
        <v>392598.8</v>
      </c>
      <c r="W8" s="256">
        <v>392598.8</v>
      </c>
      <c r="X8" s="256">
        <v>392598.8</v>
      </c>
      <c r="Y8" s="256">
        <v>392598.8</v>
      </c>
      <c r="Z8" s="256">
        <v>392598.8</v>
      </c>
      <c r="AA8" s="256">
        <v>392598.8</v>
      </c>
      <c r="AB8" s="256">
        <v>392597.24</v>
      </c>
      <c r="AC8" s="256">
        <v>0</v>
      </c>
      <c r="AD8" s="256">
        <v>0</v>
      </c>
      <c r="AE8" s="256">
        <v>0</v>
      </c>
      <c r="AF8" s="256">
        <v>0</v>
      </c>
      <c r="AG8" s="256">
        <v>0</v>
      </c>
      <c r="AH8" s="256">
        <v>0</v>
      </c>
      <c r="AI8" s="256">
        <v>0</v>
      </c>
      <c r="AJ8" s="256">
        <v>0</v>
      </c>
      <c r="AK8" s="256">
        <v>0</v>
      </c>
      <c r="AL8" s="256">
        <v>0</v>
      </c>
      <c r="AM8" s="256">
        <v>0</v>
      </c>
      <c r="AN8" s="256">
        <v>0</v>
      </c>
      <c r="AO8" s="256">
        <v>0</v>
      </c>
      <c r="AP8" s="256">
        <v>0</v>
      </c>
      <c r="AQ8" s="256">
        <v>0</v>
      </c>
      <c r="AR8" s="256">
        <v>0</v>
      </c>
      <c r="AS8" s="256">
        <v>0</v>
      </c>
      <c r="AT8" s="256">
        <v>0</v>
      </c>
      <c r="AU8" s="256">
        <v>0</v>
      </c>
      <c r="AV8" s="256">
        <v>0</v>
      </c>
      <c r="AW8" s="256"/>
      <c r="AX8" s="256"/>
      <c r="AY8" s="257">
        <f t="shared" ref="AY8:AY71" si="4">SUM(T8:AX8)</f>
        <v>3533387.6399999997</v>
      </c>
      <c r="AZ8" s="232">
        <f t="shared" si="0"/>
        <v>0</v>
      </c>
      <c r="BA8" s="258">
        <f t="shared" si="1"/>
        <v>785196.04</v>
      </c>
      <c r="BB8" s="259">
        <f t="shared" ref="BB8:BB71" si="5">SUM(T8:Z8,BA8)</f>
        <v>3533387.6399999997</v>
      </c>
      <c r="BD8" s="248" t="b">
        <f t="shared" si="2"/>
        <v>1</v>
      </c>
      <c r="BE8" s="260">
        <f>BB8-K8-R8</f>
        <v>-5.5297277867794037E-10</v>
      </c>
    </row>
    <row r="9" spans="1:57" hidden="1" outlineLevel="1" x14ac:dyDescent="0.25">
      <c r="B9" s="261" t="s">
        <v>742</v>
      </c>
      <c r="C9" s="261"/>
      <c r="D9" s="261"/>
      <c r="E9" s="262"/>
      <c r="F9" s="261"/>
      <c r="G9" s="261"/>
      <c r="H9" s="261"/>
      <c r="I9" s="261"/>
      <c r="J9" s="263"/>
      <c r="K9" s="263"/>
      <c r="L9" s="270" t="s">
        <v>757</v>
      </c>
      <c r="M9" s="270"/>
      <c r="N9" s="264">
        <f t="shared" ref="N9:N71" si="6">SUM(O9:P9)</f>
        <v>4.1500000000000004</v>
      </c>
      <c r="O9" s="271">
        <v>4.1500000000000004</v>
      </c>
      <c r="P9" s="264">
        <f>$P$4</f>
        <v>0</v>
      </c>
      <c r="Q9" s="264" t="s">
        <v>751</v>
      </c>
      <c r="R9" s="265">
        <v>62557.14</v>
      </c>
      <c r="S9" s="265">
        <v>21380.09</v>
      </c>
      <c r="T9" s="266">
        <f t="shared" si="3"/>
        <v>83937.23</v>
      </c>
      <c r="U9" s="266">
        <f>SUM(U8:$AV8)*$N9/100</f>
        <v>130342.73686</v>
      </c>
      <c r="V9" s="266">
        <f>SUM(V8:$AV8)*$N9/100</f>
        <v>114049.88666000002</v>
      </c>
      <c r="W9" s="266">
        <f>SUM(W8:$AV8)*$N9/100</f>
        <v>97757.036460000018</v>
      </c>
      <c r="X9" s="266">
        <f>SUM(X8:$AV8)*$N9/100</f>
        <v>81464.186260000002</v>
      </c>
      <c r="Y9" s="266">
        <f>SUM(Y8:$AV8)*$N9/100</f>
        <v>65171.336059999994</v>
      </c>
      <c r="Z9" s="266">
        <f>SUM(Z8:$AV8)*$N9/100</f>
        <v>48878.485860000001</v>
      </c>
      <c r="AA9" s="266">
        <f>SUM(AA8:$AV8)*$N9/100</f>
        <v>32585.635660000007</v>
      </c>
      <c r="AB9" s="266">
        <f>SUM(AB8:$AV8)*$N9/100</f>
        <v>16292.785460000001</v>
      </c>
      <c r="AC9" s="266">
        <f>SUM(AC8:$AV8)*$N9/100</f>
        <v>0</v>
      </c>
      <c r="AD9" s="266">
        <v>0</v>
      </c>
      <c r="AE9" s="266">
        <v>0</v>
      </c>
      <c r="AF9" s="266">
        <v>0</v>
      </c>
      <c r="AG9" s="266">
        <v>0</v>
      </c>
      <c r="AH9" s="266">
        <v>0</v>
      </c>
      <c r="AI9" s="266">
        <v>0</v>
      </c>
      <c r="AJ9" s="266">
        <v>0</v>
      </c>
      <c r="AK9" s="266">
        <v>0</v>
      </c>
      <c r="AL9" s="266">
        <v>0</v>
      </c>
      <c r="AM9" s="266">
        <v>0</v>
      </c>
      <c r="AN9" s="266">
        <v>0</v>
      </c>
      <c r="AO9" s="266">
        <v>0</v>
      </c>
      <c r="AP9" s="266">
        <v>0</v>
      </c>
      <c r="AQ9" s="266">
        <v>0</v>
      </c>
      <c r="AR9" s="266">
        <v>0</v>
      </c>
      <c r="AS9" s="266">
        <v>0</v>
      </c>
      <c r="AT9" s="266">
        <v>0</v>
      </c>
      <c r="AU9" s="266">
        <v>0</v>
      </c>
      <c r="AV9" s="266">
        <v>0</v>
      </c>
      <c r="AW9" s="266"/>
      <c r="AX9" s="266"/>
      <c r="AY9" s="267">
        <f t="shared" si="4"/>
        <v>670479.31928000005</v>
      </c>
      <c r="AZ9" s="232">
        <f t="shared" si="0"/>
        <v>0</v>
      </c>
      <c r="BA9" s="268">
        <f t="shared" si="1"/>
        <v>48878.421120000006</v>
      </c>
      <c r="BB9" s="269">
        <f t="shared" si="5"/>
        <v>670479.31927999994</v>
      </c>
      <c r="BD9" s="248" t="b">
        <f t="shared" si="2"/>
        <v>1</v>
      </c>
    </row>
    <row r="10" spans="1:57" s="248" customFormat="1" hidden="1" outlineLevel="1" x14ac:dyDescent="0.25">
      <c r="A10" s="248" t="s">
        <v>758</v>
      </c>
      <c r="B10" s="249" t="s">
        <v>742</v>
      </c>
      <c r="C10" s="249">
        <v>3</v>
      </c>
      <c r="D10" s="249" t="s">
        <v>759</v>
      </c>
      <c r="E10" s="250" t="s">
        <v>760</v>
      </c>
      <c r="F10" s="249" t="s">
        <v>761</v>
      </c>
      <c r="G10" s="251" t="s">
        <v>762</v>
      </c>
      <c r="H10" s="251" t="s">
        <v>763</v>
      </c>
      <c r="I10" s="251" t="s">
        <v>748</v>
      </c>
      <c r="J10" s="252">
        <v>871076.43</v>
      </c>
      <c r="K10" s="253">
        <v>453250.01</v>
      </c>
      <c r="L10" s="253"/>
      <c r="M10" s="253"/>
      <c r="N10" s="254"/>
      <c r="O10" s="254">
        <v>1.1990000000000001</v>
      </c>
      <c r="P10" s="254"/>
      <c r="Q10" s="254" t="s">
        <v>749</v>
      </c>
      <c r="R10" s="255">
        <v>26661.78</v>
      </c>
      <c r="S10" s="255">
        <v>26661.78</v>
      </c>
      <c r="T10" s="256">
        <f t="shared" si="3"/>
        <v>53323.56</v>
      </c>
      <c r="U10" s="256">
        <v>53323.56</v>
      </c>
      <c r="V10" s="256">
        <v>53323.56</v>
      </c>
      <c r="W10" s="256">
        <v>53323.56</v>
      </c>
      <c r="X10" s="256">
        <v>53323.56</v>
      </c>
      <c r="Y10" s="256">
        <v>53323.56</v>
      </c>
      <c r="Z10" s="256">
        <v>53323.56</v>
      </c>
      <c r="AA10" s="256">
        <v>53323.56</v>
      </c>
      <c r="AB10" s="256">
        <v>51223.4</v>
      </c>
      <c r="AC10" s="256">
        <v>2099.91</v>
      </c>
      <c r="AD10" s="256">
        <v>0</v>
      </c>
      <c r="AE10" s="256">
        <v>0</v>
      </c>
      <c r="AF10" s="256">
        <v>0</v>
      </c>
      <c r="AG10" s="256">
        <v>0</v>
      </c>
      <c r="AH10" s="256">
        <v>0</v>
      </c>
      <c r="AI10" s="256">
        <v>0</v>
      </c>
      <c r="AJ10" s="256">
        <v>0</v>
      </c>
      <c r="AK10" s="256">
        <v>0</v>
      </c>
      <c r="AL10" s="256">
        <v>0</v>
      </c>
      <c r="AM10" s="256">
        <v>0</v>
      </c>
      <c r="AN10" s="256">
        <v>0</v>
      </c>
      <c r="AO10" s="256">
        <v>0</v>
      </c>
      <c r="AP10" s="256">
        <v>0</v>
      </c>
      <c r="AQ10" s="256">
        <v>0</v>
      </c>
      <c r="AR10" s="256">
        <v>0</v>
      </c>
      <c r="AS10" s="256">
        <v>0</v>
      </c>
      <c r="AT10" s="256">
        <v>0</v>
      </c>
      <c r="AU10" s="256">
        <v>0</v>
      </c>
      <c r="AV10" s="256">
        <v>0</v>
      </c>
      <c r="AW10" s="256"/>
      <c r="AX10" s="256"/>
      <c r="AY10" s="257">
        <f t="shared" si="4"/>
        <v>479911.79</v>
      </c>
      <c r="AZ10" s="232">
        <f t="shared" si="0"/>
        <v>0</v>
      </c>
      <c r="BA10" s="258">
        <f t="shared" si="1"/>
        <v>106646.87</v>
      </c>
      <c r="BB10" s="259">
        <f t="shared" si="5"/>
        <v>479911.79</v>
      </c>
      <c r="BD10" s="248" t="b">
        <f t="shared" si="2"/>
        <v>1</v>
      </c>
      <c r="BE10" s="260">
        <f>BB10-K10-R10</f>
        <v>-2.9103830456733704E-11</v>
      </c>
    </row>
    <row r="11" spans="1:57" hidden="1" outlineLevel="1" x14ac:dyDescent="0.25">
      <c r="A11" s="248" t="s">
        <v>758</v>
      </c>
      <c r="B11" s="261" t="s">
        <v>742</v>
      </c>
      <c r="C11" s="261"/>
      <c r="D11" s="272" t="s">
        <v>708</v>
      </c>
      <c r="E11" s="262"/>
      <c r="F11" s="261"/>
      <c r="G11" s="261"/>
      <c r="H11" s="261"/>
      <c r="I11" s="261"/>
      <c r="J11" s="263"/>
      <c r="K11" s="263"/>
      <c r="L11" s="263" t="s">
        <v>764</v>
      </c>
      <c r="M11" s="263"/>
      <c r="N11" s="264">
        <f t="shared" si="6"/>
        <v>4.1500000000000004</v>
      </c>
      <c r="O11" s="271">
        <v>4.1500000000000004</v>
      </c>
      <c r="P11" s="264">
        <f>$P$4</f>
        <v>0</v>
      </c>
      <c r="Q11" s="264" t="s">
        <v>751</v>
      </c>
      <c r="R11" s="265">
        <v>4357.3500000000004</v>
      </c>
      <c r="S11" s="265">
        <v>4578.09</v>
      </c>
      <c r="T11" s="266">
        <f t="shared" si="3"/>
        <v>8935.44</v>
      </c>
      <c r="U11" s="266">
        <f>SUM(U10:$AV10)*$N11/100</f>
        <v>17703.411545000003</v>
      </c>
      <c r="V11" s="266">
        <v>15376.41</v>
      </c>
      <c r="W11" s="266">
        <v>13137.43</v>
      </c>
      <c r="X11" s="266">
        <v>10896.919999999998</v>
      </c>
      <c r="Y11" s="266">
        <v>8679.44</v>
      </c>
      <c r="Z11" s="266">
        <v>6409.7699999999995</v>
      </c>
      <c r="AA11" s="266">
        <v>4166.21</v>
      </c>
      <c r="AB11" s="266">
        <v>1941.92</v>
      </c>
      <c r="AC11" s="266">
        <v>173.87</v>
      </c>
      <c r="AD11" s="266">
        <v>0</v>
      </c>
      <c r="AE11" s="266">
        <v>0</v>
      </c>
      <c r="AF11" s="266">
        <v>0</v>
      </c>
      <c r="AG11" s="266">
        <v>0</v>
      </c>
      <c r="AH11" s="266">
        <v>0</v>
      </c>
      <c r="AI11" s="266">
        <v>0</v>
      </c>
      <c r="AJ11" s="266">
        <v>0</v>
      </c>
      <c r="AK11" s="266">
        <v>0</v>
      </c>
      <c r="AL11" s="266">
        <v>0</v>
      </c>
      <c r="AM11" s="266">
        <v>0</v>
      </c>
      <c r="AN11" s="266">
        <v>0</v>
      </c>
      <c r="AO11" s="266">
        <v>0</v>
      </c>
      <c r="AP11" s="266">
        <v>0</v>
      </c>
      <c r="AQ11" s="266">
        <v>0</v>
      </c>
      <c r="AR11" s="266">
        <v>0</v>
      </c>
      <c r="AS11" s="266">
        <v>0</v>
      </c>
      <c r="AT11" s="266">
        <v>0</v>
      </c>
      <c r="AU11" s="266">
        <v>0</v>
      </c>
      <c r="AV11" s="266">
        <v>0</v>
      </c>
      <c r="AW11" s="266"/>
      <c r="AX11" s="266"/>
      <c r="AY11" s="267">
        <f t="shared" si="4"/>
        <v>87420.821544999999</v>
      </c>
      <c r="AZ11" s="232">
        <f t="shared" si="0"/>
        <v>0</v>
      </c>
      <c r="BA11" s="268">
        <f t="shared" si="1"/>
        <v>6282</v>
      </c>
      <c r="BB11" s="269">
        <f t="shared" si="5"/>
        <v>87420.821544999999</v>
      </c>
      <c r="BD11" s="248" t="b">
        <f t="shared" si="2"/>
        <v>1</v>
      </c>
    </row>
    <row r="12" spans="1:57" s="248" customFormat="1" hidden="1" outlineLevel="1" x14ac:dyDescent="0.25">
      <c r="A12" s="248" t="s">
        <v>758</v>
      </c>
      <c r="B12" s="249" t="s">
        <v>742</v>
      </c>
      <c r="C12" s="249">
        <v>4</v>
      </c>
      <c r="D12" s="249" t="s">
        <v>765</v>
      </c>
      <c r="E12" s="250" t="s">
        <v>766</v>
      </c>
      <c r="F12" s="249" t="s">
        <v>767</v>
      </c>
      <c r="G12" s="251" t="s">
        <v>768</v>
      </c>
      <c r="H12" s="251" t="s">
        <v>769</v>
      </c>
      <c r="I12" s="251" t="s">
        <v>748</v>
      </c>
      <c r="J12" s="252">
        <v>520921.91</v>
      </c>
      <c r="K12" s="253">
        <v>28941.09</v>
      </c>
      <c r="L12" s="253"/>
      <c r="M12" s="253"/>
      <c r="N12" s="254"/>
      <c r="O12" s="254"/>
      <c r="P12" s="254"/>
      <c r="Q12" s="254" t="s">
        <v>749</v>
      </c>
      <c r="R12" s="255">
        <v>28941.22</v>
      </c>
      <c r="S12" s="255">
        <v>28941.09</v>
      </c>
      <c r="T12" s="256">
        <f t="shared" si="3"/>
        <v>57882.31</v>
      </c>
      <c r="U12" s="256">
        <v>0</v>
      </c>
      <c r="V12" s="256">
        <v>0</v>
      </c>
      <c r="W12" s="256">
        <v>0</v>
      </c>
      <c r="X12" s="256">
        <v>0</v>
      </c>
      <c r="Y12" s="256">
        <v>0</v>
      </c>
      <c r="Z12" s="256">
        <v>0</v>
      </c>
      <c r="AA12" s="256">
        <v>0</v>
      </c>
      <c r="AB12" s="256">
        <v>0</v>
      </c>
      <c r="AC12" s="256">
        <v>0</v>
      </c>
      <c r="AD12" s="256">
        <v>0</v>
      </c>
      <c r="AE12" s="256">
        <v>0</v>
      </c>
      <c r="AF12" s="256">
        <v>0</v>
      </c>
      <c r="AG12" s="256">
        <v>0</v>
      </c>
      <c r="AH12" s="256">
        <v>0</v>
      </c>
      <c r="AI12" s="256">
        <v>0</v>
      </c>
      <c r="AJ12" s="256">
        <v>0</v>
      </c>
      <c r="AK12" s="256">
        <v>0</v>
      </c>
      <c r="AL12" s="256">
        <v>0</v>
      </c>
      <c r="AM12" s="256">
        <v>0</v>
      </c>
      <c r="AN12" s="256">
        <v>0</v>
      </c>
      <c r="AO12" s="256">
        <v>0</v>
      </c>
      <c r="AP12" s="256">
        <v>0</v>
      </c>
      <c r="AQ12" s="256">
        <v>0</v>
      </c>
      <c r="AR12" s="256">
        <v>0</v>
      </c>
      <c r="AS12" s="256">
        <v>0</v>
      </c>
      <c r="AT12" s="256">
        <v>0</v>
      </c>
      <c r="AU12" s="256">
        <v>0</v>
      </c>
      <c r="AV12" s="256">
        <v>0</v>
      </c>
      <c r="AW12" s="256"/>
      <c r="AX12" s="256"/>
      <c r="AY12" s="257">
        <f t="shared" si="4"/>
        <v>57882.31</v>
      </c>
      <c r="AZ12" s="232">
        <f t="shared" si="0"/>
        <v>0</v>
      </c>
      <c r="BA12" s="258">
        <f t="shared" si="1"/>
        <v>0</v>
      </c>
      <c r="BB12" s="259">
        <f t="shared" si="5"/>
        <v>57882.31</v>
      </c>
      <c r="BD12" s="248" t="b">
        <f t="shared" si="2"/>
        <v>1</v>
      </c>
      <c r="BE12" s="260">
        <f>BB12-K12-R12</f>
        <v>0</v>
      </c>
    </row>
    <row r="13" spans="1:57" hidden="1" outlineLevel="1" x14ac:dyDescent="0.25">
      <c r="A13" s="248" t="s">
        <v>758</v>
      </c>
      <c r="B13" s="261" t="s">
        <v>742</v>
      </c>
      <c r="C13" s="261"/>
      <c r="D13" s="261"/>
      <c r="E13" s="262"/>
      <c r="F13" s="261"/>
      <c r="G13" s="261"/>
      <c r="H13" s="261"/>
      <c r="I13" s="261"/>
      <c r="J13" s="263"/>
      <c r="K13" s="263"/>
      <c r="L13" s="263" t="s">
        <v>770</v>
      </c>
      <c r="M13" s="263"/>
      <c r="N13" s="264">
        <f t="shared" si="6"/>
        <v>3.0870000000000002</v>
      </c>
      <c r="O13" s="264">
        <v>3.0870000000000002</v>
      </c>
      <c r="P13" s="264">
        <f>$P$4</f>
        <v>0</v>
      </c>
      <c r="Q13" s="264" t="s">
        <v>751</v>
      </c>
      <c r="R13" s="265">
        <v>932.81</v>
      </c>
      <c r="S13" s="265">
        <v>202.98</v>
      </c>
      <c r="T13" s="266">
        <f t="shared" si="3"/>
        <v>1135.79</v>
      </c>
      <c r="U13" s="266">
        <v>0</v>
      </c>
      <c r="V13" s="266">
        <v>0</v>
      </c>
      <c r="W13" s="266">
        <v>0</v>
      </c>
      <c r="X13" s="266">
        <v>0</v>
      </c>
      <c r="Y13" s="266">
        <v>0</v>
      </c>
      <c r="Z13" s="266">
        <v>0</v>
      </c>
      <c r="AA13" s="266">
        <v>0</v>
      </c>
      <c r="AB13" s="266">
        <v>0</v>
      </c>
      <c r="AC13" s="266">
        <v>0</v>
      </c>
      <c r="AD13" s="266">
        <v>0</v>
      </c>
      <c r="AE13" s="266">
        <v>0</v>
      </c>
      <c r="AF13" s="266">
        <v>0</v>
      </c>
      <c r="AG13" s="266">
        <v>0</v>
      </c>
      <c r="AH13" s="266">
        <v>0</v>
      </c>
      <c r="AI13" s="266">
        <v>0</v>
      </c>
      <c r="AJ13" s="266">
        <v>0</v>
      </c>
      <c r="AK13" s="266">
        <v>0</v>
      </c>
      <c r="AL13" s="266">
        <v>0</v>
      </c>
      <c r="AM13" s="266">
        <v>0</v>
      </c>
      <c r="AN13" s="266">
        <v>0</v>
      </c>
      <c r="AO13" s="266">
        <v>0</v>
      </c>
      <c r="AP13" s="266">
        <v>0</v>
      </c>
      <c r="AQ13" s="266">
        <v>0</v>
      </c>
      <c r="AR13" s="266">
        <v>0</v>
      </c>
      <c r="AS13" s="266">
        <v>0</v>
      </c>
      <c r="AT13" s="266">
        <v>0</v>
      </c>
      <c r="AU13" s="266">
        <v>0</v>
      </c>
      <c r="AV13" s="266">
        <v>0</v>
      </c>
      <c r="AW13" s="266"/>
      <c r="AX13" s="266"/>
      <c r="AY13" s="267">
        <f t="shared" si="4"/>
        <v>1135.79</v>
      </c>
      <c r="AZ13" s="232">
        <f t="shared" si="0"/>
        <v>0</v>
      </c>
      <c r="BA13" s="268">
        <f t="shared" si="1"/>
        <v>0</v>
      </c>
      <c r="BB13" s="269">
        <f t="shared" si="5"/>
        <v>1135.79</v>
      </c>
      <c r="BD13" s="248" t="b">
        <f t="shared" si="2"/>
        <v>1</v>
      </c>
    </row>
    <row r="14" spans="1:57" s="248" customFormat="1" hidden="1" outlineLevel="1" x14ac:dyDescent="0.25">
      <c r="B14" s="249" t="s">
        <v>742</v>
      </c>
      <c r="C14" s="249">
        <v>5</v>
      </c>
      <c r="D14" s="249" t="s">
        <v>771</v>
      </c>
      <c r="E14" s="250" t="s">
        <v>772</v>
      </c>
      <c r="F14" s="249" t="s">
        <v>773</v>
      </c>
      <c r="G14" s="251" t="s">
        <v>774</v>
      </c>
      <c r="H14" s="251" t="s">
        <v>775</v>
      </c>
      <c r="I14" s="251" t="s">
        <v>748</v>
      </c>
      <c r="J14" s="252">
        <v>1925611</v>
      </c>
      <c r="K14" s="253">
        <v>1195236</v>
      </c>
      <c r="L14" s="253"/>
      <c r="M14" s="253"/>
      <c r="N14" s="254"/>
      <c r="O14" s="254"/>
      <c r="P14" s="254"/>
      <c r="Q14" s="254" t="s">
        <v>749</v>
      </c>
      <c r="R14" s="255">
        <v>66402</v>
      </c>
      <c r="S14" s="255">
        <v>66402</v>
      </c>
      <c r="T14" s="256">
        <f t="shared" si="3"/>
        <v>132804</v>
      </c>
      <c r="U14" s="256">
        <v>132804</v>
      </c>
      <c r="V14" s="256">
        <v>132804</v>
      </c>
      <c r="W14" s="256">
        <v>132804</v>
      </c>
      <c r="X14" s="256">
        <v>132804</v>
      </c>
      <c r="Y14" s="256">
        <v>132804</v>
      </c>
      <c r="Z14" s="256">
        <v>132804</v>
      </c>
      <c r="AA14" s="256">
        <v>132804</v>
      </c>
      <c r="AB14" s="256">
        <v>132804</v>
      </c>
      <c r="AC14" s="256">
        <v>66402</v>
      </c>
      <c r="AD14" s="256">
        <v>0</v>
      </c>
      <c r="AE14" s="256">
        <v>0</v>
      </c>
      <c r="AF14" s="256">
        <v>0</v>
      </c>
      <c r="AG14" s="256">
        <v>0</v>
      </c>
      <c r="AH14" s="256">
        <v>0</v>
      </c>
      <c r="AI14" s="256">
        <v>0</v>
      </c>
      <c r="AJ14" s="256">
        <v>0</v>
      </c>
      <c r="AK14" s="256">
        <v>0</v>
      </c>
      <c r="AL14" s="256">
        <v>0</v>
      </c>
      <c r="AM14" s="256">
        <v>0</v>
      </c>
      <c r="AN14" s="256">
        <v>0</v>
      </c>
      <c r="AO14" s="256">
        <v>0</v>
      </c>
      <c r="AP14" s="256">
        <v>0</v>
      </c>
      <c r="AQ14" s="256">
        <v>0</v>
      </c>
      <c r="AR14" s="256">
        <v>0</v>
      </c>
      <c r="AS14" s="256">
        <v>0</v>
      </c>
      <c r="AT14" s="256">
        <v>0</v>
      </c>
      <c r="AU14" s="256">
        <v>0</v>
      </c>
      <c r="AV14" s="256">
        <v>0</v>
      </c>
      <c r="AW14" s="256"/>
      <c r="AX14" s="256"/>
      <c r="AY14" s="257">
        <f t="shared" si="4"/>
        <v>1261638</v>
      </c>
      <c r="AZ14" s="232">
        <f t="shared" si="0"/>
        <v>0</v>
      </c>
      <c r="BA14" s="258">
        <f t="shared" si="1"/>
        <v>332010</v>
      </c>
      <c r="BB14" s="259">
        <f t="shared" si="5"/>
        <v>1261638</v>
      </c>
      <c r="BD14" s="248" t="b">
        <f t="shared" si="2"/>
        <v>1</v>
      </c>
      <c r="BE14" s="260">
        <f>BB14-K14-R14</f>
        <v>0</v>
      </c>
    </row>
    <row r="15" spans="1:57" hidden="1" outlineLevel="1" x14ac:dyDescent="0.25">
      <c r="B15" s="261" t="s">
        <v>742</v>
      </c>
      <c r="C15" s="261"/>
      <c r="D15" s="261"/>
      <c r="E15" s="262"/>
      <c r="F15" s="261"/>
      <c r="G15" s="261"/>
      <c r="H15" s="261"/>
      <c r="I15" s="261"/>
      <c r="J15" s="263"/>
      <c r="K15" s="263"/>
      <c r="L15" s="263" t="s">
        <v>776</v>
      </c>
      <c r="M15" s="263"/>
      <c r="N15" s="264">
        <f t="shared" si="6"/>
        <v>4.0579999999999998</v>
      </c>
      <c r="O15" s="264">
        <v>4.0579999999999998</v>
      </c>
      <c r="P15" s="264">
        <f>$P$4</f>
        <v>0</v>
      </c>
      <c r="Q15" s="264" t="s">
        <v>751</v>
      </c>
      <c r="R15" s="265">
        <v>7392.3300000000008</v>
      </c>
      <c r="S15" s="265">
        <v>11592.87</v>
      </c>
      <c r="T15" s="266">
        <f t="shared" si="3"/>
        <v>18985.2</v>
      </c>
      <c r="U15" s="266">
        <f>SUM(U14:$AV14)*$N15/100</f>
        <v>45808.083719999995</v>
      </c>
      <c r="V15" s="266">
        <f>SUM(V14:$AV14)*$N15/100</f>
        <v>40418.897399999994</v>
      </c>
      <c r="W15" s="266">
        <f>SUM(W14:$AV14)*$N15/100</f>
        <v>35029.711080000001</v>
      </c>
      <c r="X15" s="266">
        <f>SUM(X14:$AV14)*$N15/100</f>
        <v>29640.524759999997</v>
      </c>
      <c r="Y15" s="266">
        <f>SUM(Y14:$AV14)*$N15/100</f>
        <v>24251.33844</v>
      </c>
      <c r="Z15" s="266">
        <f>SUM(Z14:$AV14)*$N15/100</f>
        <v>18862.152119999999</v>
      </c>
      <c r="AA15" s="266">
        <f>SUM(AA14:$AV14)*$N15/100</f>
        <v>13472.965799999998</v>
      </c>
      <c r="AB15" s="266">
        <f>SUM(AB14:$AV14)*$N15/100</f>
        <v>8083.7794800000001</v>
      </c>
      <c r="AC15" s="266">
        <f>SUM(AC14:$AV14)*$N15/100</f>
        <v>2694.5931599999999</v>
      </c>
      <c r="AD15" s="266">
        <v>0</v>
      </c>
      <c r="AE15" s="266">
        <v>0</v>
      </c>
      <c r="AF15" s="266">
        <v>0</v>
      </c>
      <c r="AG15" s="266">
        <v>0</v>
      </c>
      <c r="AH15" s="266">
        <v>0</v>
      </c>
      <c r="AI15" s="266">
        <v>0</v>
      </c>
      <c r="AJ15" s="266">
        <v>0</v>
      </c>
      <c r="AK15" s="266">
        <v>0</v>
      </c>
      <c r="AL15" s="266">
        <v>0</v>
      </c>
      <c r="AM15" s="266">
        <v>0</v>
      </c>
      <c r="AN15" s="266">
        <v>0</v>
      </c>
      <c r="AO15" s="266">
        <v>0</v>
      </c>
      <c r="AP15" s="266">
        <v>0</v>
      </c>
      <c r="AQ15" s="266">
        <v>0</v>
      </c>
      <c r="AR15" s="266">
        <v>0</v>
      </c>
      <c r="AS15" s="266">
        <v>0</v>
      </c>
      <c r="AT15" s="266">
        <v>0</v>
      </c>
      <c r="AU15" s="266">
        <v>0</v>
      </c>
      <c r="AV15" s="266">
        <v>0</v>
      </c>
      <c r="AW15" s="266"/>
      <c r="AX15" s="266"/>
      <c r="AY15" s="267">
        <f t="shared" si="4"/>
        <v>237247.24596</v>
      </c>
      <c r="AZ15" s="232">
        <f t="shared" si="0"/>
        <v>0</v>
      </c>
      <c r="BA15" s="268">
        <f t="shared" si="1"/>
        <v>24251.33844</v>
      </c>
      <c r="BB15" s="269">
        <f t="shared" si="5"/>
        <v>237247.24596</v>
      </c>
      <c r="BD15" s="248" t="b">
        <f t="shared" si="2"/>
        <v>1</v>
      </c>
    </row>
    <row r="16" spans="1:57" s="248" customFormat="1" hidden="1" outlineLevel="1" x14ac:dyDescent="0.25">
      <c r="B16" s="249" t="s">
        <v>742</v>
      </c>
      <c r="C16" s="249">
        <v>6</v>
      </c>
      <c r="D16" s="249" t="s">
        <v>777</v>
      </c>
      <c r="E16" s="250" t="s">
        <v>778</v>
      </c>
      <c r="F16" s="249" t="s">
        <v>779</v>
      </c>
      <c r="G16" s="251" t="s">
        <v>780</v>
      </c>
      <c r="H16" s="251" t="s">
        <v>781</v>
      </c>
      <c r="I16" s="251" t="s">
        <v>748</v>
      </c>
      <c r="J16" s="252">
        <v>154450.12</v>
      </c>
      <c r="K16" s="253">
        <v>96866</v>
      </c>
      <c r="L16" s="253"/>
      <c r="M16" s="253"/>
      <c r="N16" s="254"/>
      <c r="O16" s="254"/>
      <c r="P16" s="254"/>
      <c r="Q16" s="254" t="s">
        <v>749</v>
      </c>
      <c r="R16" s="255">
        <v>5236</v>
      </c>
      <c r="S16" s="255">
        <v>5236</v>
      </c>
      <c r="T16" s="256">
        <f t="shared" si="3"/>
        <v>10472</v>
      </c>
      <c r="U16" s="256">
        <v>10472</v>
      </c>
      <c r="V16" s="256">
        <v>10472</v>
      </c>
      <c r="W16" s="256">
        <v>10472</v>
      </c>
      <c r="X16" s="256">
        <v>10472</v>
      </c>
      <c r="Y16" s="256">
        <v>10472</v>
      </c>
      <c r="Z16" s="256">
        <v>10472</v>
      </c>
      <c r="AA16" s="256">
        <v>10472</v>
      </c>
      <c r="AB16" s="256">
        <v>10472</v>
      </c>
      <c r="AC16" s="256">
        <v>7854</v>
      </c>
      <c r="AD16" s="256">
        <v>0</v>
      </c>
      <c r="AE16" s="256">
        <v>0</v>
      </c>
      <c r="AF16" s="256">
        <v>0</v>
      </c>
      <c r="AG16" s="256">
        <v>0</v>
      </c>
      <c r="AH16" s="256">
        <v>0</v>
      </c>
      <c r="AI16" s="256">
        <v>0</v>
      </c>
      <c r="AJ16" s="256">
        <v>0</v>
      </c>
      <c r="AK16" s="256">
        <v>0</v>
      </c>
      <c r="AL16" s="256">
        <v>0</v>
      </c>
      <c r="AM16" s="256">
        <v>0</v>
      </c>
      <c r="AN16" s="256">
        <v>0</v>
      </c>
      <c r="AO16" s="256">
        <v>0</v>
      </c>
      <c r="AP16" s="256">
        <v>0</v>
      </c>
      <c r="AQ16" s="256">
        <v>0</v>
      </c>
      <c r="AR16" s="256">
        <v>0</v>
      </c>
      <c r="AS16" s="256">
        <v>0</v>
      </c>
      <c r="AT16" s="256">
        <v>0</v>
      </c>
      <c r="AU16" s="256">
        <v>0</v>
      </c>
      <c r="AV16" s="256">
        <v>0</v>
      </c>
      <c r="AW16" s="256"/>
      <c r="AX16" s="256"/>
      <c r="AY16" s="257">
        <f t="shared" si="4"/>
        <v>102102</v>
      </c>
      <c r="AZ16" s="232">
        <f t="shared" si="0"/>
        <v>0</v>
      </c>
      <c r="BA16" s="258">
        <f t="shared" si="1"/>
        <v>28798</v>
      </c>
      <c r="BB16" s="259">
        <f t="shared" si="5"/>
        <v>102102</v>
      </c>
      <c r="BD16" s="248" t="b">
        <f t="shared" si="2"/>
        <v>1</v>
      </c>
      <c r="BE16" s="260">
        <f>BB16-K16-R16</f>
        <v>0</v>
      </c>
    </row>
    <row r="17" spans="2:57" hidden="1" outlineLevel="1" x14ac:dyDescent="0.25">
      <c r="B17" s="261" t="s">
        <v>742</v>
      </c>
      <c r="C17" s="261"/>
      <c r="D17" s="261"/>
      <c r="E17" s="262"/>
      <c r="F17" s="261"/>
      <c r="G17" s="261"/>
      <c r="H17" s="261"/>
      <c r="I17" s="261"/>
      <c r="J17" s="263"/>
      <c r="K17" s="263"/>
      <c r="L17" s="263" t="s">
        <v>782</v>
      </c>
      <c r="M17" s="263"/>
      <c r="N17" s="264">
        <f t="shared" si="6"/>
        <v>4.3659999999999997</v>
      </c>
      <c r="O17" s="264">
        <v>4.3659999999999997</v>
      </c>
      <c r="P17" s="264">
        <f>$P$4</f>
        <v>0</v>
      </c>
      <c r="Q17" s="264" t="s">
        <v>751</v>
      </c>
      <c r="R17" s="265">
        <v>887.57999999999993</v>
      </c>
      <c r="S17" s="265">
        <v>632.54</v>
      </c>
      <c r="T17" s="266">
        <f t="shared" si="3"/>
        <v>1520.12</v>
      </c>
      <c r="U17" s="266">
        <f>SUM(U16:$AV16)*$N17/100</f>
        <v>4000.5657999999994</v>
      </c>
      <c r="V17" s="266">
        <f>SUM(V16:$AV16)*$N17/100</f>
        <v>3543.3582799999999</v>
      </c>
      <c r="W17" s="266">
        <f>SUM(W16:$AV16)*$N17/100</f>
        <v>3086.15076</v>
      </c>
      <c r="X17" s="266">
        <f>SUM(X16:$AV16)*$N17/100</f>
        <v>2628.9432399999996</v>
      </c>
      <c r="Y17" s="266">
        <f>SUM(Y16:$AV16)*$N17/100</f>
        <v>2171.7357199999997</v>
      </c>
      <c r="Z17" s="266">
        <f>SUM(Z16:$AV16)*$N17/100</f>
        <v>1714.5281999999997</v>
      </c>
      <c r="AA17" s="266">
        <f>SUM(AA16:$AV16)*$N17/100</f>
        <v>1257.3206799999998</v>
      </c>
      <c r="AB17" s="266">
        <f>SUM(AB16:$AV16)*$N17/100</f>
        <v>800.11315999999988</v>
      </c>
      <c r="AC17" s="266">
        <f>SUM(AC16:$AV16)*$N17/100</f>
        <v>342.90564000000001</v>
      </c>
      <c r="AD17" s="266">
        <v>0</v>
      </c>
      <c r="AE17" s="266">
        <v>0</v>
      </c>
      <c r="AF17" s="266">
        <v>0</v>
      </c>
      <c r="AG17" s="266">
        <v>0</v>
      </c>
      <c r="AH17" s="266">
        <v>0</v>
      </c>
      <c r="AI17" s="266">
        <v>0</v>
      </c>
      <c r="AJ17" s="266">
        <v>0</v>
      </c>
      <c r="AK17" s="266">
        <v>0</v>
      </c>
      <c r="AL17" s="266">
        <v>0</v>
      </c>
      <c r="AM17" s="266">
        <v>0</v>
      </c>
      <c r="AN17" s="266">
        <v>0</v>
      </c>
      <c r="AO17" s="266">
        <v>0</v>
      </c>
      <c r="AP17" s="266">
        <v>0</v>
      </c>
      <c r="AQ17" s="266">
        <v>0</v>
      </c>
      <c r="AR17" s="266">
        <v>0</v>
      </c>
      <c r="AS17" s="266">
        <v>0</v>
      </c>
      <c r="AT17" s="266">
        <v>0</v>
      </c>
      <c r="AU17" s="266">
        <v>0</v>
      </c>
      <c r="AV17" s="266">
        <v>0</v>
      </c>
      <c r="AW17" s="266"/>
      <c r="AX17" s="266"/>
      <c r="AY17" s="267">
        <f t="shared" si="4"/>
        <v>21065.741480000004</v>
      </c>
      <c r="AZ17" s="232">
        <f t="shared" si="0"/>
        <v>0</v>
      </c>
      <c r="BA17" s="268">
        <f t="shared" si="1"/>
        <v>2400.3394799999996</v>
      </c>
      <c r="BB17" s="269">
        <f t="shared" si="5"/>
        <v>21065.741480000001</v>
      </c>
      <c r="BD17" s="248" t="b">
        <f t="shared" si="2"/>
        <v>1</v>
      </c>
    </row>
    <row r="18" spans="2:57" s="248" customFormat="1" hidden="1" outlineLevel="1" x14ac:dyDescent="0.25">
      <c r="B18" s="249" t="s">
        <v>742</v>
      </c>
      <c r="C18" s="249">
        <v>7</v>
      </c>
      <c r="D18" s="249" t="s">
        <v>783</v>
      </c>
      <c r="E18" s="250" t="s">
        <v>784</v>
      </c>
      <c r="F18" s="249" t="s">
        <v>785</v>
      </c>
      <c r="G18" s="251" t="s">
        <v>786</v>
      </c>
      <c r="H18" s="251" t="s">
        <v>787</v>
      </c>
      <c r="I18" s="251" t="s">
        <v>748</v>
      </c>
      <c r="J18" s="252">
        <v>11123368</v>
      </c>
      <c r="K18" s="253">
        <v>9499600</v>
      </c>
      <c r="L18" s="253"/>
      <c r="M18" s="253"/>
      <c r="N18" s="254"/>
      <c r="O18" s="254"/>
      <c r="P18" s="254"/>
      <c r="Q18" s="254" t="s">
        <v>749</v>
      </c>
      <c r="R18" s="255">
        <v>189992</v>
      </c>
      <c r="S18" s="255">
        <v>189992</v>
      </c>
      <c r="T18" s="256">
        <f t="shared" si="3"/>
        <v>379984</v>
      </c>
      <c r="U18" s="256">
        <v>379984</v>
      </c>
      <c r="V18" s="256">
        <v>379984</v>
      </c>
      <c r="W18" s="256">
        <v>379984</v>
      </c>
      <c r="X18" s="256">
        <v>379984</v>
      </c>
      <c r="Y18" s="256">
        <v>379984</v>
      </c>
      <c r="Z18" s="256">
        <v>379984</v>
      </c>
      <c r="AA18" s="256">
        <v>379984</v>
      </c>
      <c r="AB18" s="256">
        <v>379984</v>
      </c>
      <c r="AC18" s="256">
        <v>379984</v>
      </c>
      <c r="AD18" s="256">
        <v>379984</v>
      </c>
      <c r="AE18" s="256">
        <v>379984</v>
      </c>
      <c r="AF18" s="256">
        <v>379984</v>
      </c>
      <c r="AG18" s="256">
        <v>379984</v>
      </c>
      <c r="AH18" s="256">
        <v>379984</v>
      </c>
      <c r="AI18" s="256">
        <v>379984</v>
      </c>
      <c r="AJ18" s="256">
        <v>379984</v>
      </c>
      <c r="AK18" s="256">
        <v>379984</v>
      </c>
      <c r="AL18" s="256">
        <v>379984</v>
      </c>
      <c r="AM18" s="256">
        <v>379984</v>
      </c>
      <c r="AN18" s="256">
        <v>379984</v>
      </c>
      <c r="AO18" s="256">
        <v>379984</v>
      </c>
      <c r="AP18" s="256">
        <v>379984</v>
      </c>
      <c r="AQ18" s="256">
        <v>379984</v>
      </c>
      <c r="AR18" s="256">
        <v>379984</v>
      </c>
      <c r="AS18" s="256">
        <v>189992</v>
      </c>
      <c r="AT18" s="256">
        <v>0</v>
      </c>
      <c r="AU18" s="256">
        <v>0</v>
      </c>
      <c r="AV18" s="256">
        <v>0</v>
      </c>
      <c r="AW18" s="256"/>
      <c r="AX18" s="256"/>
      <c r="AY18" s="259">
        <f t="shared" si="4"/>
        <v>9689592</v>
      </c>
      <c r="AZ18" s="232">
        <f t="shared" si="0"/>
        <v>0</v>
      </c>
      <c r="BA18" s="258">
        <f t="shared" si="1"/>
        <v>7029704</v>
      </c>
      <c r="BB18" s="259">
        <f t="shared" si="5"/>
        <v>9689592</v>
      </c>
      <c r="BD18" s="248" t="b">
        <f t="shared" si="2"/>
        <v>1</v>
      </c>
      <c r="BE18" s="260">
        <f>BB18-K18-R18</f>
        <v>0</v>
      </c>
    </row>
    <row r="19" spans="2:57" hidden="1" outlineLevel="1" x14ac:dyDescent="0.25">
      <c r="B19" s="261" t="s">
        <v>742</v>
      </c>
      <c r="C19" s="261"/>
      <c r="D19" s="261"/>
      <c r="E19" s="262"/>
      <c r="F19" s="261"/>
      <c r="G19" s="261"/>
      <c r="H19" s="261"/>
      <c r="I19" s="261"/>
      <c r="J19" s="263"/>
      <c r="K19" s="263"/>
      <c r="L19" s="263" t="s">
        <v>788</v>
      </c>
      <c r="M19" s="263"/>
      <c r="N19" s="264">
        <f t="shared" si="6"/>
        <v>3.8719999999999999</v>
      </c>
      <c r="O19" s="264">
        <v>3.8719999999999999</v>
      </c>
      <c r="P19" s="264">
        <f>$P$4</f>
        <v>0</v>
      </c>
      <c r="Q19" s="264" t="s">
        <v>751</v>
      </c>
      <c r="R19" s="265">
        <v>93779.03</v>
      </c>
      <c r="S19" s="265">
        <v>87825.27</v>
      </c>
      <c r="T19" s="266">
        <f t="shared" si="3"/>
        <v>181604.3</v>
      </c>
      <c r="U19" s="266">
        <f>SUM(U18:$AV18)*$N19/100</f>
        <v>360468.02175999997</v>
      </c>
      <c r="V19" s="266">
        <f>SUM(V18:$AV18)*$N19/100</f>
        <v>345755.04128</v>
      </c>
      <c r="W19" s="266">
        <f>SUM(W18:$AV18)*$N19/100</f>
        <v>331042.06079999998</v>
      </c>
      <c r="X19" s="266">
        <f>SUM(X18:$AV18)*$N19/100</f>
        <v>316329.08031999995</v>
      </c>
      <c r="Y19" s="266">
        <f>SUM(Y18:$AV18)*$N19/100</f>
        <v>301616.09983999998</v>
      </c>
      <c r="Z19" s="266">
        <f>SUM(Z18:$AV18)*$N19/100</f>
        <v>286903.11936000001</v>
      </c>
      <c r="AA19" s="266">
        <f>SUM(AA18:$AV18)*$N19/100</f>
        <v>272190.13887999998</v>
      </c>
      <c r="AB19" s="266">
        <f>SUM(AB18:$AV18)*$N19/100</f>
        <v>257477.15839999999</v>
      </c>
      <c r="AC19" s="266">
        <f>SUM(AC18:$AV18)*$N19/100</f>
        <v>242764.17791999999</v>
      </c>
      <c r="AD19" s="266">
        <f>SUM(AD18:$AV18)*$N19/100</f>
        <v>228051.19743999999</v>
      </c>
      <c r="AE19" s="266">
        <f>SUM(AE18:$AV18)*$N19/100</f>
        <v>213338.21695999999</v>
      </c>
      <c r="AF19" s="266">
        <f>SUM(AF18:$AV18)*$N19/100</f>
        <v>198625.23647999999</v>
      </c>
      <c r="AG19" s="266">
        <f>SUM(AG18:$AV18)*$N19/100</f>
        <v>183912.25599999996</v>
      </c>
      <c r="AH19" s="266">
        <f>SUM(AH18:$AV18)*$N19/100</f>
        <v>169199.27552000002</v>
      </c>
      <c r="AI19" s="266">
        <f>SUM(AI18:$AV18)*$N19/100</f>
        <v>154486.29504</v>
      </c>
      <c r="AJ19" s="266">
        <f>SUM(AJ18:$AV18)*$N19/100</f>
        <v>139773.31456</v>
      </c>
      <c r="AK19" s="266">
        <f>SUM(AK18:$AV18)*$N19/100</f>
        <v>125060.33408</v>
      </c>
      <c r="AL19" s="266">
        <f>SUM(AL18:$AV18)*$N19/100</f>
        <v>110347.35359999999</v>
      </c>
      <c r="AM19" s="266">
        <f>SUM(AM18:$AV18)*$N19/100</f>
        <v>95634.373119999989</v>
      </c>
      <c r="AN19" s="266">
        <f>SUM(AN18:$AV18)*$N19/100</f>
        <v>80921.392639999991</v>
      </c>
      <c r="AO19" s="266">
        <f>SUM(AO18:$AV18)*$N19/100</f>
        <v>66208.412160000007</v>
      </c>
      <c r="AP19" s="266">
        <f>SUM(AP18:$AV18)*$N19/100</f>
        <v>51495.431679999994</v>
      </c>
      <c r="AQ19" s="266">
        <f>SUM(AQ18:$AV18)*$N19/100</f>
        <v>36782.451200000003</v>
      </c>
      <c r="AR19" s="266">
        <f>SUM(AR18:$AV18)*$N19/100</f>
        <v>22069.470720000001</v>
      </c>
      <c r="AS19" s="266">
        <f>SUM(AS18:$AV18)*$N19/100</f>
        <v>7356.4902400000001</v>
      </c>
      <c r="AT19" s="266">
        <v>0</v>
      </c>
      <c r="AU19" s="266">
        <v>0</v>
      </c>
      <c r="AV19" s="266">
        <v>0</v>
      </c>
      <c r="AW19" s="266"/>
      <c r="AX19" s="266"/>
      <c r="AY19" s="269">
        <f t="shared" si="4"/>
        <v>4779410.7</v>
      </c>
      <c r="AZ19" s="232">
        <f t="shared" si="0"/>
        <v>0</v>
      </c>
      <c r="BA19" s="268">
        <f t="shared" si="1"/>
        <v>2655692.9766400005</v>
      </c>
      <c r="BB19" s="269">
        <f t="shared" si="5"/>
        <v>4779410.7</v>
      </c>
      <c r="BD19" s="248" t="b">
        <f t="shared" si="2"/>
        <v>1</v>
      </c>
    </row>
    <row r="20" spans="2:57" s="248" customFormat="1" hidden="1" outlineLevel="1" x14ac:dyDescent="0.25">
      <c r="B20" s="249" t="s">
        <v>789</v>
      </c>
      <c r="C20" s="249">
        <v>8</v>
      </c>
      <c r="D20" s="249" t="s">
        <v>790</v>
      </c>
      <c r="E20" s="250" t="s">
        <v>791</v>
      </c>
      <c r="F20" s="249" t="s">
        <v>792</v>
      </c>
      <c r="G20" s="251" t="s">
        <v>793</v>
      </c>
      <c r="H20" s="251" t="s">
        <v>794</v>
      </c>
      <c r="I20" s="251" t="s">
        <v>748</v>
      </c>
      <c r="J20" s="252">
        <v>484935.32</v>
      </c>
      <c r="K20" s="253">
        <v>299602</v>
      </c>
      <c r="L20" s="253"/>
      <c r="M20" s="253"/>
      <c r="N20" s="254"/>
      <c r="O20" s="254"/>
      <c r="P20" s="254"/>
      <c r="Q20" s="254" t="s">
        <v>749</v>
      </c>
      <c r="R20" s="255">
        <v>10156</v>
      </c>
      <c r="S20" s="255">
        <v>10156</v>
      </c>
      <c r="T20" s="256">
        <f t="shared" si="3"/>
        <v>20312</v>
      </c>
      <c r="U20" s="256">
        <v>20312</v>
      </c>
      <c r="V20" s="256">
        <v>20312</v>
      </c>
      <c r="W20" s="256">
        <v>20312</v>
      </c>
      <c r="X20" s="256">
        <v>20312</v>
      </c>
      <c r="Y20" s="256">
        <v>20312</v>
      </c>
      <c r="Z20" s="256">
        <v>20312</v>
      </c>
      <c r="AA20" s="256">
        <v>20312</v>
      </c>
      <c r="AB20" s="256">
        <v>20312</v>
      </c>
      <c r="AC20" s="256">
        <v>20312</v>
      </c>
      <c r="AD20" s="256">
        <v>20312</v>
      </c>
      <c r="AE20" s="256">
        <v>20312</v>
      </c>
      <c r="AF20" s="256">
        <v>20312</v>
      </c>
      <c r="AG20" s="256">
        <v>20312</v>
      </c>
      <c r="AH20" s="256">
        <v>20312</v>
      </c>
      <c r="AI20" s="256">
        <v>5078</v>
      </c>
      <c r="AJ20" s="256">
        <v>0</v>
      </c>
      <c r="AK20" s="256">
        <v>0</v>
      </c>
      <c r="AL20" s="256">
        <v>0</v>
      </c>
      <c r="AM20" s="256">
        <v>0</v>
      </c>
      <c r="AN20" s="256">
        <v>0</v>
      </c>
      <c r="AO20" s="256">
        <v>0</v>
      </c>
      <c r="AP20" s="256">
        <v>0</v>
      </c>
      <c r="AQ20" s="256">
        <v>0</v>
      </c>
      <c r="AR20" s="256">
        <v>0</v>
      </c>
      <c r="AS20" s="256">
        <v>0</v>
      </c>
      <c r="AT20" s="256">
        <v>0</v>
      </c>
      <c r="AU20" s="256">
        <v>0</v>
      </c>
      <c r="AV20" s="256">
        <v>0</v>
      </c>
      <c r="AW20" s="256"/>
      <c r="AX20" s="256"/>
      <c r="AY20" s="259">
        <f t="shared" si="4"/>
        <v>309758</v>
      </c>
      <c r="AZ20" s="232">
        <f t="shared" si="0"/>
        <v>0</v>
      </c>
      <c r="BA20" s="258">
        <f t="shared" si="1"/>
        <v>167574</v>
      </c>
      <c r="BB20" s="259">
        <f t="shared" si="5"/>
        <v>309758</v>
      </c>
      <c r="BD20" s="248" t="b">
        <f t="shared" si="2"/>
        <v>1</v>
      </c>
      <c r="BE20" s="260">
        <f>BB20-K20-R20</f>
        <v>0</v>
      </c>
    </row>
    <row r="21" spans="2:57" hidden="1" outlineLevel="1" x14ac:dyDescent="0.25">
      <c r="B21" s="261" t="s">
        <v>789</v>
      </c>
      <c r="C21" s="261"/>
      <c r="D21" s="272" t="s">
        <v>795</v>
      </c>
      <c r="E21" s="262"/>
      <c r="F21" s="261"/>
      <c r="G21" s="261"/>
      <c r="H21" s="261"/>
      <c r="I21" s="261"/>
      <c r="J21" s="263"/>
      <c r="K21" s="263"/>
      <c r="L21" s="263" t="s">
        <v>796</v>
      </c>
      <c r="M21" s="263"/>
      <c r="N21" s="264">
        <f t="shared" si="6"/>
        <v>3.613</v>
      </c>
      <c r="O21" s="264">
        <v>3.613</v>
      </c>
      <c r="P21" s="264">
        <f>$P$4</f>
        <v>0</v>
      </c>
      <c r="Q21" s="264" t="s">
        <v>751</v>
      </c>
      <c r="R21" s="265">
        <v>4344.29</v>
      </c>
      <c r="S21" s="265">
        <v>2569.66</v>
      </c>
      <c r="T21" s="266">
        <f t="shared" si="3"/>
        <v>6913.95</v>
      </c>
      <c r="U21" s="266">
        <f>SUM(U20:$AV20)*$N21/100</f>
        <v>10457.68398</v>
      </c>
      <c r="V21" s="266">
        <f>SUM(V20:$AV20)*$N21/100</f>
        <v>9723.81142</v>
      </c>
      <c r="W21" s="266">
        <f>SUM(W20:$AV20)*$N21/100</f>
        <v>8989.9388600000002</v>
      </c>
      <c r="X21" s="266">
        <f>SUM(X20:$AV20)*$N21/100</f>
        <v>8256.0663000000004</v>
      </c>
      <c r="Y21" s="266">
        <f>SUM(Y20:$AV20)*$N21/100</f>
        <v>7522.1937399999997</v>
      </c>
      <c r="Z21" s="266">
        <f>SUM(Z20:$AV20)*$N21/100</f>
        <v>6788.3211799999999</v>
      </c>
      <c r="AA21" s="266">
        <f>SUM(AA20:$AV20)*$N21/100</f>
        <v>6054.4486199999992</v>
      </c>
      <c r="AB21" s="266">
        <f>SUM(AB20:$AV20)*$N21/100</f>
        <v>5320.5760600000003</v>
      </c>
      <c r="AC21" s="266">
        <f>SUM(AC20:$AV20)*$N21/100</f>
        <v>4586.7034999999996</v>
      </c>
      <c r="AD21" s="266">
        <f>SUM(AD20:$AV20)*$N21/100</f>
        <v>3852.8309399999998</v>
      </c>
      <c r="AE21" s="266">
        <f>SUM(AE20:$AV20)*$N21/100</f>
        <v>3118.95838</v>
      </c>
      <c r="AF21" s="266">
        <f>SUM(AF20:$AV20)*$N21/100</f>
        <v>2385.0858199999998</v>
      </c>
      <c r="AG21" s="266">
        <f>SUM(AG20:$AV20)*$N21/100</f>
        <v>1651.21326</v>
      </c>
      <c r="AH21" s="266">
        <f>SUM(AH20:$AV20)*$N21/100</f>
        <v>917.34070000000008</v>
      </c>
      <c r="AI21" s="266">
        <f>SUM(AI20:$AV20)*$N21/100</f>
        <v>183.46813999999998</v>
      </c>
      <c r="AJ21" s="266">
        <v>0</v>
      </c>
      <c r="AK21" s="266">
        <v>0</v>
      </c>
      <c r="AL21" s="266">
        <v>0</v>
      </c>
      <c r="AM21" s="266">
        <v>0</v>
      </c>
      <c r="AN21" s="266">
        <v>0</v>
      </c>
      <c r="AO21" s="266">
        <v>0</v>
      </c>
      <c r="AP21" s="266">
        <v>0</v>
      </c>
      <c r="AQ21" s="266">
        <v>0</v>
      </c>
      <c r="AR21" s="266">
        <v>0</v>
      </c>
      <c r="AS21" s="266">
        <v>0</v>
      </c>
      <c r="AT21" s="266">
        <v>0</v>
      </c>
      <c r="AU21" s="266">
        <v>0</v>
      </c>
      <c r="AV21" s="266">
        <v>0</v>
      </c>
      <c r="AW21" s="266"/>
      <c r="AX21" s="266"/>
      <c r="AY21" s="269">
        <f t="shared" si="4"/>
        <v>86722.590899999996</v>
      </c>
      <c r="AZ21" s="232">
        <f t="shared" si="0"/>
        <v>0</v>
      </c>
      <c r="BA21" s="268">
        <f t="shared" si="1"/>
        <v>28070.62542</v>
      </c>
      <c r="BB21" s="269">
        <f t="shared" si="5"/>
        <v>86722.590899999996</v>
      </c>
      <c r="BD21" s="248" t="b">
        <f t="shared" si="2"/>
        <v>1</v>
      </c>
    </row>
    <row r="22" spans="2:57" s="248" customFormat="1" hidden="1" outlineLevel="1" x14ac:dyDescent="0.25">
      <c r="B22" s="249" t="s">
        <v>789</v>
      </c>
      <c r="C22" s="249">
        <v>9</v>
      </c>
      <c r="D22" s="249" t="s">
        <v>797</v>
      </c>
      <c r="E22" s="250" t="s">
        <v>798</v>
      </c>
      <c r="F22" s="249" t="s">
        <v>799</v>
      </c>
      <c r="G22" s="251" t="s">
        <v>800</v>
      </c>
      <c r="H22" s="251" t="s">
        <v>801</v>
      </c>
      <c r="I22" s="251" t="s">
        <v>748</v>
      </c>
      <c r="J22" s="252">
        <v>278611.39</v>
      </c>
      <c r="K22" s="253">
        <v>217140</v>
      </c>
      <c r="L22" s="253"/>
      <c r="M22" s="253"/>
      <c r="N22" s="254"/>
      <c r="O22" s="254"/>
      <c r="P22" s="254"/>
      <c r="Q22" s="254" t="s">
        <v>749</v>
      </c>
      <c r="R22" s="255">
        <v>7238</v>
      </c>
      <c r="S22" s="255">
        <v>7238</v>
      </c>
      <c r="T22" s="256">
        <f t="shared" si="3"/>
        <v>14476</v>
      </c>
      <c r="U22" s="256">
        <v>14476</v>
      </c>
      <c r="V22" s="256">
        <v>14476</v>
      </c>
      <c r="W22" s="256">
        <v>14476</v>
      </c>
      <c r="X22" s="256">
        <v>14476</v>
      </c>
      <c r="Y22" s="256">
        <v>14476</v>
      </c>
      <c r="Z22" s="256">
        <v>14476</v>
      </c>
      <c r="AA22" s="256">
        <v>14476</v>
      </c>
      <c r="AB22" s="256">
        <v>14476</v>
      </c>
      <c r="AC22" s="256">
        <v>14476</v>
      </c>
      <c r="AD22" s="256">
        <v>14476</v>
      </c>
      <c r="AE22" s="256">
        <v>14476</v>
      </c>
      <c r="AF22" s="256">
        <v>14476</v>
      </c>
      <c r="AG22" s="256">
        <v>14476</v>
      </c>
      <c r="AH22" s="256">
        <v>14476</v>
      </c>
      <c r="AI22" s="256">
        <v>7238</v>
      </c>
      <c r="AJ22" s="256">
        <v>0</v>
      </c>
      <c r="AK22" s="256">
        <v>0</v>
      </c>
      <c r="AL22" s="256">
        <v>0</v>
      </c>
      <c r="AM22" s="256">
        <v>0</v>
      </c>
      <c r="AN22" s="256">
        <v>0</v>
      </c>
      <c r="AO22" s="256">
        <v>0</v>
      </c>
      <c r="AP22" s="256">
        <v>0</v>
      </c>
      <c r="AQ22" s="256">
        <v>0</v>
      </c>
      <c r="AR22" s="256">
        <v>0</v>
      </c>
      <c r="AS22" s="256">
        <v>0</v>
      </c>
      <c r="AT22" s="256">
        <v>0</v>
      </c>
      <c r="AU22" s="256">
        <v>0</v>
      </c>
      <c r="AV22" s="256">
        <v>0</v>
      </c>
      <c r="AW22" s="256"/>
      <c r="AX22" s="256"/>
      <c r="AY22" s="259">
        <f t="shared" si="4"/>
        <v>224378</v>
      </c>
      <c r="AZ22" s="232">
        <f t="shared" si="0"/>
        <v>0</v>
      </c>
      <c r="BA22" s="258">
        <f t="shared" si="1"/>
        <v>123046</v>
      </c>
      <c r="BB22" s="259">
        <f t="shared" si="5"/>
        <v>224378</v>
      </c>
      <c r="BD22" s="248" t="b">
        <f t="shared" si="2"/>
        <v>1</v>
      </c>
      <c r="BE22" s="260">
        <f>BB22-K22-R22</f>
        <v>0</v>
      </c>
    </row>
    <row r="23" spans="2:57" hidden="1" outlineLevel="1" x14ac:dyDescent="0.25">
      <c r="B23" s="261" t="s">
        <v>789</v>
      </c>
      <c r="C23" s="261"/>
      <c r="D23" s="272" t="s">
        <v>802</v>
      </c>
      <c r="E23" s="262"/>
      <c r="F23" s="261"/>
      <c r="G23" s="261"/>
      <c r="H23" s="261"/>
      <c r="I23" s="261"/>
      <c r="J23" s="263"/>
      <c r="K23" s="263"/>
      <c r="L23" s="263" t="s">
        <v>803</v>
      </c>
      <c r="M23" s="263"/>
      <c r="N23" s="264">
        <f t="shared" si="6"/>
        <v>4.0570000000000004</v>
      </c>
      <c r="O23" s="264">
        <v>4.0570000000000004</v>
      </c>
      <c r="P23" s="264">
        <f>$P$4</f>
        <v>0</v>
      </c>
      <c r="Q23" s="264" t="s">
        <v>751</v>
      </c>
      <c r="R23" s="265">
        <v>1758.2300000000002</v>
      </c>
      <c r="S23" s="265">
        <v>2108.35</v>
      </c>
      <c r="T23" s="266">
        <f t="shared" si="3"/>
        <v>3866.58</v>
      </c>
      <c r="U23" s="266">
        <f>SUM(U22:$AV22)*$N23/100</f>
        <v>8515.7241400000003</v>
      </c>
      <c r="V23" s="266">
        <f>SUM(V22:$AV22)*$N23/100</f>
        <v>7928.4328200000009</v>
      </c>
      <c r="W23" s="266">
        <f>SUM(W22:$AV22)*$N23/100</f>
        <v>7341.1415000000006</v>
      </c>
      <c r="X23" s="266">
        <f>SUM(X22:$AV22)*$N23/100</f>
        <v>6753.8501800000004</v>
      </c>
      <c r="Y23" s="266">
        <f>SUM(Y22:$AV22)*$N23/100</f>
        <v>6166.558860000001</v>
      </c>
      <c r="Z23" s="266">
        <f>SUM(Z22:$AV22)*$N23/100</f>
        <v>5579.2675400000007</v>
      </c>
      <c r="AA23" s="266">
        <f>SUM(AA22:$AV22)*$N23/100</f>
        <v>4991.9762200000005</v>
      </c>
      <c r="AB23" s="266">
        <f>SUM(AB22:$AV22)*$N23/100</f>
        <v>4404.6849000000002</v>
      </c>
      <c r="AC23" s="266">
        <f>SUM(AC22:$AV22)*$N23/100</f>
        <v>3817.3935799999999</v>
      </c>
      <c r="AD23" s="266">
        <f>SUM(AD22:$AV22)*$N23/100</f>
        <v>3230.1022600000001</v>
      </c>
      <c r="AE23" s="266">
        <f>SUM(AE22:$AV22)*$N23/100</f>
        <v>2642.8109400000003</v>
      </c>
      <c r="AF23" s="266">
        <f>SUM(AF22:$AV22)*$N23/100</f>
        <v>2055.5196200000005</v>
      </c>
      <c r="AG23" s="266">
        <f>SUM(AG22:$AV22)*$N23/100</f>
        <v>1468.2283000000002</v>
      </c>
      <c r="AH23" s="266">
        <f>SUM(AH22:$AV22)*$N23/100</f>
        <v>880.93698000000006</v>
      </c>
      <c r="AI23" s="266">
        <f>SUM(AI22:$AV22)*$N23/100</f>
        <v>293.64566000000002</v>
      </c>
      <c r="AJ23" s="266">
        <v>0</v>
      </c>
      <c r="AK23" s="266">
        <v>0</v>
      </c>
      <c r="AL23" s="266">
        <v>0</v>
      </c>
      <c r="AM23" s="266">
        <v>0</v>
      </c>
      <c r="AN23" s="266">
        <v>0</v>
      </c>
      <c r="AO23" s="266">
        <v>0</v>
      </c>
      <c r="AP23" s="266">
        <v>0</v>
      </c>
      <c r="AQ23" s="266">
        <v>0</v>
      </c>
      <c r="AR23" s="266">
        <v>0</v>
      </c>
      <c r="AS23" s="266">
        <v>0</v>
      </c>
      <c r="AT23" s="266">
        <v>0</v>
      </c>
      <c r="AU23" s="266">
        <v>0</v>
      </c>
      <c r="AV23" s="266">
        <v>0</v>
      </c>
      <c r="AW23" s="266"/>
      <c r="AX23" s="266"/>
      <c r="AY23" s="269">
        <f t="shared" si="4"/>
        <v>69936.853499999997</v>
      </c>
      <c r="AZ23" s="232">
        <f t="shared" si="0"/>
        <v>0</v>
      </c>
      <c r="BA23" s="268">
        <f t="shared" si="1"/>
        <v>23785.298459999995</v>
      </c>
      <c r="BB23" s="269">
        <f t="shared" si="5"/>
        <v>69936.853499999997</v>
      </c>
      <c r="BD23" s="248" t="b">
        <f t="shared" si="2"/>
        <v>1</v>
      </c>
    </row>
    <row r="24" spans="2:57" s="248" customFormat="1" hidden="1" outlineLevel="1" x14ac:dyDescent="0.25">
      <c r="B24" s="249" t="s">
        <v>789</v>
      </c>
      <c r="C24" s="249">
        <v>10</v>
      </c>
      <c r="D24" s="249" t="s">
        <v>804</v>
      </c>
      <c r="E24" s="250" t="s">
        <v>805</v>
      </c>
      <c r="F24" s="249" t="s">
        <v>806</v>
      </c>
      <c r="G24" s="251" t="s">
        <v>800</v>
      </c>
      <c r="H24" s="251" t="s">
        <v>807</v>
      </c>
      <c r="I24" s="251" t="s">
        <v>748</v>
      </c>
      <c r="J24" s="252">
        <v>55899</v>
      </c>
      <c r="K24" s="253">
        <v>17888</v>
      </c>
      <c r="L24" s="253"/>
      <c r="M24" s="253"/>
      <c r="N24" s="254"/>
      <c r="O24" s="254"/>
      <c r="P24" s="254"/>
      <c r="Q24" s="254" t="s">
        <v>749</v>
      </c>
      <c r="R24" s="255">
        <v>4472</v>
      </c>
      <c r="S24" s="255">
        <v>4472</v>
      </c>
      <c r="T24" s="256">
        <f t="shared" si="3"/>
        <v>8944</v>
      </c>
      <c r="U24" s="256">
        <v>8944</v>
      </c>
      <c r="V24" s="256">
        <v>4472</v>
      </c>
      <c r="W24" s="256">
        <v>0</v>
      </c>
      <c r="X24" s="256">
        <v>0</v>
      </c>
      <c r="Y24" s="256">
        <v>0</v>
      </c>
      <c r="Z24" s="256">
        <v>0</v>
      </c>
      <c r="AA24" s="256">
        <v>0</v>
      </c>
      <c r="AB24" s="256">
        <v>0</v>
      </c>
      <c r="AC24" s="256">
        <v>0</v>
      </c>
      <c r="AD24" s="256">
        <v>0</v>
      </c>
      <c r="AE24" s="256">
        <v>0</v>
      </c>
      <c r="AF24" s="256">
        <v>0</v>
      </c>
      <c r="AG24" s="256">
        <v>0</v>
      </c>
      <c r="AH24" s="256">
        <v>0</v>
      </c>
      <c r="AI24" s="256">
        <v>0</v>
      </c>
      <c r="AJ24" s="256">
        <v>0</v>
      </c>
      <c r="AK24" s="256">
        <v>0</v>
      </c>
      <c r="AL24" s="256">
        <v>0</v>
      </c>
      <c r="AM24" s="256">
        <v>0</v>
      </c>
      <c r="AN24" s="256">
        <v>0</v>
      </c>
      <c r="AO24" s="256">
        <v>0</v>
      </c>
      <c r="AP24" s="256">
        <v>0</v>
      </c>
      <c r="AQ24" s="256">
        <v>0</v>
      </c>
      <c r="AR24" s="256">
        <v>0</v>
      </c>
      <c r="AS24" s="256">
        <v>0</v>
      </c>
      <c r="AT24" s="256">
        <v>0</v>
      </c>
      <c r="AU24" s="256">
        <v>0</v>
      </c>
      <c r="AV24" s="256">
        <v>0</v>
      </c>
      <c r="AW24" s="256"/>
      <c r="AX24" s="256"/>
      <c r="AY24" s="259">
        <f t="shared" si="4"/>
        <v>22360</v>
      </c>
      <c r="AZ24" s="232">
        <f t="shared" si="0"/>
        <v>0</v>
      </c>
      <c r="BA24" s="258">
        <f t="shared" si="1"/>
        <v>0</v>
      </c>
      <c r="BB24" s="259">
        <f t="shared" si="5"/>
        <v>22360</v>
      </c>
      <c r="BD24" s="248" t="b">
        <f t="shared" si="2"/>
        <v>1</v>
      </c>
      <c r="BE24" s="260">
        <f>BB24-K24-R24</f>
        <v>0</v>
      </c>
    </row>
    <row r="25" spans="2:57" hidden="1" outlineLevel="1" x14ac:dyDescent="0.25">
      <c r="B25" s="261" t="s">
        <v>789</v>
      </c>
      <c r="C25" s="261"/>
      <c r="D25" s="272" t="s">
        <v>808</v>
      </c>
      <c r="E25" s="262"/>
      <c r="F25" s="261"/>
      <c r="G25" s="261"/>
      <c r="H25" s="261"/>
      <c r="I25" s="261"/>
      <c r="J25" s="263"/>
      <c r="K25" s="263"/>
      <c r="L25" s="263" t="s">
        <v>803</v>
      </c>
      <c r="M25" s="263"/>
      <c r="N25" s="264">
        <f t="shared" si="6"/>
        <v>4.0570000000000004</v>
      </c>
      <c r="O25" s="264">
        <v>4.0570000000000004</v>
      </c>
      <c r="P25" s="264">
        <f>$P$4</f>
        <v>0</v>
      </c>
      <c r="Q25" s="264" t="s">
        <v>751</v>
      </c>
      <c r="R25" s="265">
        <v>165.95999999999998</v>
      </c>
      <c r="S25" s="265">
        <v>171.43</v>
      </c>
      <c r="T25" s="266">
        <f t="shared" si="3"/>
        <v>337.39</v>
      </c>
      <c r="U25" s="266">
        <f>SUM(U24:$AV24)*$N25/100</f>
        <v>544.28712000000007</v>
      </c>
      <c r="V25" s="266">
        <f>SUM(V24:$AV24)*$N25/100</f>
        <v>181.42904000000001</v>
      </c>
      <c r="W25" s="266">
        <v>0</v>
      </c>
      <c r="X25" s="266">
        <v>0</v>
      </c>
      <c r="Y25" s="266">
        <v>0</v>
      </c>
      <c r="Z25" s="266">
        <v>0</v>
      </c>
      <c r="AA25" s="266">
        <v>0</v>
      </c>
      <c r="AB25" s="266">
        <v>0</v>
      </c>
      <c r="AC25" s="266">
        <v>0</v>
      </c>
      <c r="AD25" s="266">
        <v>0</v>
      </c>
      <c r="AE25" s="266">
        <v>0</v>
      </c>
      <c r="AF25" s="266">
        <v>0</v>
      </c>
      <c r="AG25" s="266">
        <v>0</v>
      </c>
      <c r="AH25" s="266">
        <v>0</v>
      </c>
      <c r="AI25" s="266">
        <v>0</v>
      </c>
      <c r="AJ25" s="266">
        <v>0</v>
      </c>
      <c r="AK25" s="266">
        <v>0</v>
      </c>
      <c r="AL25" s="266">
        <v>0</v>
      </c>
      <c r="AM25" s="266">
        <v>0</v>
      </c>
      <c r="AN25" s="266">
        <v>0</v>
      </c>
      <c r="AO25" s="266">
        <v>0</v>
      </c>
      <c r="AP25" s="266">
        <v>0</v>
      </c>
      <c r="AQ25" s="266">
        <v>0</v>
      </c>
      <c r="AR25" s="266">
        <v>0</v>
      </c>
      <c r="AS25" s="266">
        <v>0</v>
      </c>
      <c r="AT25" s="266">
        <v>0</v>
      </c>
      <c r="AU25" s="266">
        <v>0</v>
      </c>
      <c r="AV25" s="266">
        <v>0</v>
      </c>
      <c r="AW25" s="266"/>
      <c r="AX25" s="266"/>
      <c r="AY25" s="269">
        <f t="shared" si="4"/>
        <v>1063.10616</v>
      </c>
      <c r="AZ25" s="232">
        <f t="shared" si="0"/>
        <v>0</v>
      </c>
      <c r="BA25" s="268">
        <f t="shared" si="1"/>
        <v>0</v>
      </c>
      <c r="BB25" s="269">
        <f t="shared" si="5"/>
        <v>1063.10616</v>
      </c>
      <c r="BD25" s="248" t="b">
        <f t="shared" si="2"/>
        <v>1</v>
      </c>
    </row>
    <row r="26" spans="2:57" s="248" customFormat="1" hidden="1" outlineLevel="1" x14ac:dyDescent="0.25">
      <c r="B26" s="249" t="s">
        <v>789</v>
      </c>
      <c r="C26" s="249">
        <v>11</v>
      </c>
      <c r="D26" s="249" t="s">
        <v>809</v>
      </c>
      <c r="E26" s="250" t="s">
        <v>810</v>
      </c>
      <c r="F26" s="249" t="s">
        <v>811</v>
      </c>
      <c r="G26" s="251" t="s">
        <v>800</v>
      </c>
      <c r="H26" s="251" t="s">
        <v>812</v>
      </c>
      <c r="I26" s="251" t="s">
        <v>748</v>
      </c>
      <c r="J26" s="252">
        <v>49472</v>
      </c>
      <c r="K26" s="253">
        <v>14800</v>
      </c>
      <c r="L26" s="253"/>
      <c r="M26" s="253"/>
      <c r="N26" s="254"/>
      <c r="O26" s="254"/>
      <c r="P26" s="254"/>
      <c r="Q26" s="254" t="s">
        <v>749</v>
      </c>
      <c r="R26" s="255">
        <v>740</v>
      </c>
      <c r="S26" s="255">
        <v>740</v>
      </c>
      <c r="T26" s="256">
        <f t="shared" si="3"/>
        <v>1480</v>
      </c>
      <c r="U26" s="256">
        <v>1480</v>
      </c>
      <c r="V26" s="256">
        <v>1480</v>
      </c>
      <c r="W26" s="256">
        <v>1480</v>
      </c>
      <c r="X26" s="256">
        <v>1480</v>
      </c>
      <c r="Y26" s="256">
        <v>1480</v>
      </c>
      <c r="Z26" s="256">
        <v>1480</v>
      </c>
      <c r="AA26" s="256">
        <v>1480</v>
      </c>
      <c r="AB26" s="256">
        <v>1480</v>
      </c>
      <c r="AC26" s="256">
        <v>1480</v>
      </c>
      <c r="AD26" s="256">
        <v>740</v>
      </c>
      <c r="AE26" s="256">
        <v>0</v>
      </c>
      <c r="AF26" s="256">
        <v>0</v>
      </c>
      <c r="AG26" s="256">
        <v>0</v>
      </c>
      <c r="AH26" s="256">
        <v>0</v>
      </c>
      <c r="AI26" s="256">
        <v>0</v>
      </c>
      <c r="AJ26" s="256">
        <v>0</v>
      </c>
      <c r="AK26" s="256">
        <v>0</v>
      </c>
      <c r="AL26" s="256">
        <v>0</v>
      </c>
      <c r="AM26" s="256">
        <v>0</v>
      </c>
      <c r="AN26" s="256">
        <v>0</v>
      </c>
      <c r="AO26" s="256">
        <v>0</v>
      </c>
      <c r="AP26" s="256">
        <v>0</v>
      </c>
      <c r="AQ26" s="256">
        <v>0</v>
      </c>
      <c r="AR26" s="256">
        <v>0</v>
      </c>
      <c r="AS26" s="256">
        <v>0</v>
      </c>
      <c r="AT26" s="256">
        <v>0</v>
      </c>
      <c r="AU26" s="256">
        <v>0</v>
      </c>
      <c r="AV26" s="256">
        <v>0</v>
      </c>
      <c r="AW26" s="256"/>
      <c r="AX26" s="256"/>
      <c r="AY26" s="259">
        <f t="shared" si="4"/>
        <v>15540</v>
      </c>
      <c r="AZ26" s="232">
        <f t="shared" si="0"/>
        <v>0</v>
      </c>
      <c r="BA26" s="258">
        <f t="shared" si="1"/>
        <v>5180</v>
      </c>
      <c r="BB26" s="259">
        <f t="shared" si="5"/>
        <v>15540</v>
      </c>
      <c r="BD26" s="248" t="b">
        <f t="shared" si="2"/>
        <v>1</v>
      </c>
      <c r="BE26" s="260">
        <f>BB26-K26-R26</f>
        <v>0</v>
      </c>
    </row>
    <row r="27" spans="2:57" hidden="1" outlineLevel="1" x14ac:dyDescent="0.25">
      <c r="B27" s="261" t="s">
        <v>789</v>
      </c>
      <c r="C27" s="261"/>
      <c r="D27" s="272" t="s">
        <v>813</v>
      </c>
      <c r="E27" s="262"/>
      <c r="F27" s="261"/>
      <c r="G27" s="261"/>
      <c r="H27" s="261"/>
      <c r="I27" s="261"/>
      <c r="J27" s="263"/>
      <c r="K27" s="263"/>
      <c r="L27" s="263" t="s">
        <v>803</v>
      </c>
      <c r="M27" s="263"/>
      <c r="N27" s="264">
        <f t="shared" si="6"/>
        <v>4.0570000000000004</v>
      </c>
      <c r="O27" s="264">
        <v>4.0570000000000004</v>
      </c>
      <c r="P27" s="264">
        <f>$P$4</f>
        <v>0</v>
      </c>
      <c r="Q27" s="264" t="s">
        <v>751</v>
      </c>
      <c r="R27" s="265">
        <v>121.18</v>
      </c>
      <c r="S27" s="265">
        <v>143.56</v>
      </c>
      <c r="T27" s="266">
        <f t="shared" si="3"/>
        <v>264.74</v>
      </c>
      <c r="U27" s="266">
        <f>SUM(U26:$AV26)*$N27/100</f>
        <v>570.41420000000005</v>
      </c>
      <c r="V27" s="266">
        <f>SUM(V26:$AV26)*$N27/100</f>
        <v>510.37060000000002</v>
      </c>
      <c r="W27" s="266">
        <f>SUM(W26:$AV26)*$N27/100</f>
        <v>450.32700000000006</v>
      </c>
      <c r="X27" s="266">
        <f>SUM(X26:$AV26)*$N27/100</f>
        <v>390.28340000000003</v>
      </c>
      <c r="Y27" s="266">
        <f>SUM(Y26:$AV26)*$N27/100</f>
        <v>330.23980000000006</v>
      </c>
      <c r="Z27" s="266">
        <f>SUM(Z26:$AV26)*$N27/100</f>
        <v>270.19620000000003</v>
      </c>
      <c r="AA27" s="266">
        <f>SUM(AA26:$AV26)*$N27/100</f>
        <v>210.15260000000001</v>
      </c>
      <c r="AB27" s="266">
        <f>SUM(AB26:$AV26)*$N27/100</f>
        <v>150.10900000000001</v>
      </c>
      <c r="AC27" s="266">
        <f>SUM(AC26:$AV26)*$N27/100</f>
        <v>90.065400000000011</v>
      </c>
      <c r="AD27" s="266">
        <f>SUM(AD26:$AV26)*$N27/100</f>
        <v>30.021800000000002</v>
      </c>
      <c r="AE27" s="266">
        <v>0</v>
      </c>
      <c r="AF27" s="266">
        <v>0</v>
      </c>
      <c r="AG27" s="266">
        <v>0</v>
      </c>
      <c r="AH27" s="266">
        <v>0</v>
      </c>
      <c r="AI27" s="266">
        <v>0</v>
      </c>
      <c r="AJ27" s="266">
        <v>0</v>
      </c>
      <c r="AK27" s="266">
        <v>0</v>
      </c>
      <c r="AL27" s="266">
        <v>0</v>
      </c>
      <c r="AM27" s="266">
        <v>0</v>
      </c>
      <c r="AN27" s="266">
        <v>0</v>
      </c>
      <c r="AO27" s="266">
        <v>0</v>
      </c>
      <c r="AP27" s="266">
        <v>0</v>
      </c>
      <c r="AQ27" s="266">
        <v>0</v>
      </c>
      <c r="AR27" s="266">
        <v>0</v>
      </c>
      <c r="AS27" s="266">
        <v>0</v>
      </c>
      <c r="AT27" s="266">
        <v>0</v>
      </c>
      <c r="AU27" s="266">
        <v>0</v>
      </c>
      <c r="AV27" s="266">
        <v>0</v>
      </c>
      <c r="AW27" s="266"/>
      <c r="AX27" s="266"/>
      <c r="AY27" s="269">
        <f t="shared" si="4"/>
        <v>3266.9199999999996</v>
      </c>
      <c r="AZ27" s="232">
        <f t="shared" si="0"/>
        <v>0</v>
      </c>
      <c r="BA27" s="268">
        <f t="shared" si="1"/>
        <v>480.34880000000004</v>
      </c>
      <c r="BB27" s="269">
        <f t="shared" si="5"/>
        <v>3266.92</v>
      </c>
      <c r="BD27" s="248" t="b">
        <f t="shared" si="2"/>
        <v>1</v>
      </c>
    </row>
    <row r="28" spans="2:57" s="248" customFormat="1" hidden="1" outlineLevel="1" x14ac:dyDescent="0.25">
      <c r="B28" s="249" t="s">
        <v>789</v>
      </c>
      <c r="C28" s="249">
        <v>12</v>
      </c>
      <c r="D28" s="249" t="s">
        <v>814</v>
      </c>
      <c r="E28" s="250" t="s">
        <v>815</v>
      </c>
      <c r="F28" s="249" t="s">
        <v>816</v>
      </c>
      <c r="G28" s="251" t="s">
        <v>800</v>
      </c>
      <c r="H28" s="251" t="s">
        <v>801</v>
      </c>
      <c r="I28" s="251" t="s">
        <v>748</v>
      </c>
      <c r="J28" s="252">
        <v>238897.15</v>
      </c>
      <c r="K28" s="253">
        <v>159000</v>
      </c>
      <c r="L28" s="253"/>
      <c r="M28" s="253"/>
      <c r="N28" s="254"/>
      <c r="O28" s="254"/>
      <c r="P28" s="254"/>
      <c r="Q28" s="254" t="s">
        <v>749</v>
      </c>
      <c r="R28" s="255">
        <v>5300</v>
      </c>
      <c r="S28" s="255">
        <v>5300</v>
      </c>
      <c r="T28" s="256">
        <f t="shared" si="3"/>
        <v>10600</v>
      </c>
      <c r="U28" s="256">
        <v>10600</v>
      </c>
      <c r="V28" s="256">
        <v>10600</v>
      </c>
      <c r="W28" s="256">
        <v>10600</v>
      </c>
      <c r="X28" s="256">
        <v>10600</v>
      </c>
      <c r="Y28" s="256">
        <v>10600</v>
      </c>
      <c r="Z28" s="256">
        <v>10600</v>
      </c>
      <c r="AA28" s="256">
        <v>10600</v>
      </c>
      <c r="AB28" s="256">
        <v>10600</v>
      </c>
      <c r="AC28" s="256">
        <v>10600</v>
      </c>
      <c r="AD28" s="256">
        <v>10600</v>
      </c>
      <c r="AE28" s="256">
        <v>10600</v>
      </c>
      <c r="AF28" s="256">
        <v>10600</v>
      </c>
      <c r="AG28" s="256">
        <v>10600</v>
      </c>
      <c r="AH28" s="256">
        <v>10600</v>
      </c>
      <c r="AI28" s="256">
        <v>5300</v>
      </c>
      <c r="AJ28" s="256">
        <v>0</v>
      </c>
      <c r="AK28" s="256">
        <v>0</v>
      </c>
      <c r="AL28" s="256">
        <v>0</v>
      </c>
      <c r="AM28" s="256">
        <v>0</v>
      </c>
      <c r="AN28" s="256">
        <v>0</v>
      </c>
      <c r="AO28" s="256">
        <v>0</v>
      </c>
      <c r="AP28" s="256">
        <v>0</v>
      </c>
      <c r="AQ28" s="256">
        <v>0</v>
      </c>
      <c r="AR28" s="256">
        <v>0</v>
      </c>
      <c r="AS28" s="256">
        <v>0</v>
      </c>
      <c r="AT28" s="256">
        <v>0</v>
      </c>
      <c r="AU28" s="256">
        <v>0</v>
      </c>
      <c r="AV28" s="256">
        <v>0</v>
      </c>
      <c r="AW28" s="256"/>
      <c r="AX28" s="256"/>
      <c r="AY28" s="259">
        <f t="shared" si="4"/>
        <v>164300</v>
      </c>
      <c r="AZ28" s="232">
        <f t="shared" si="0"/>
        <v>0</v>
      </c>
      <c r="BA28" s="258">
        <f t="shared" si="1"/>
        <v>90100</v>
      </c>
      <c r="BB28" s="259">
        <f t="shared" si="5"/>
        <v>164300</v>
      </c>
      <c r="BD28" s="248" t="b">
        <f t="shared" si="2"/>
        <v>1</v>
      </c>
      <c r="BE28" s="260">
        <f>BB28-K28-R28</f>
        <v>0</v>
      </c>
    </row>
    <row r="29" spans="2:57" hidden="1" outlineLevel="1" x14ac:dyDescent="0.25">
      <c r="B29" s="261" t="s">
        <v>789</v>
      </c>
      <c r="C29" s="261"/>
      <c r="D29" s="272" t="s">
        <v>817</v>
      </c>
      <c r="E29" s="262"/>
      <c r="F29" s="261"/>
      <c r="G29" s="261"/>
      <c r="H29" s="261"/>
      <c r="I29" s="261"/>
      <c r="J29" s="263"/>
      <c r="K29" s="263"/>
      <c r="L29" s="263" t="s">
        <v>803</v>
      </c>
      <c r="M29" s="263"/>
      <c r="N29" s="264">
        <f t="shared" si="6"/>
        <v>4.0570000000000004</v>
      </c>
      <c r="O29" s="264">
        <v>4.0570000000000004</v>
      </c>
      <c r="P29" s="264">
        <f>$P$4</f>
        <v>0</v>
      </c>
      <c r="Q29" s="264" t="s">
        <v>751</v>
      </c>
      <c r="R29" s="265">
        <v>1287.47</v>
      </c>
      <c r="S29" s="265">
        <v>1543.82</v>
      </c>
      <c r="T29" s="266">
        <f t="shared" si="3"/>
        <v>2831.29</v>
      </c>
      <c r="U29" s="266">
        <f>SUM(U28:$AV28)*$N29/100</f>
        <v>6235.6090000000004</v>
      </c>
      <c r="V29" s="266">
        <f>SUM(V28:$AV28)*$N29/100</f>
        <v>5805.5670000000009</v>
      </c>
      <c r="W29" s="266">
        <f>SUM(W28:$AV28)*$N29/100</f>
        <v>5375.5249999999996</v>
      </c>
      <c r="X29" s="266">
        <f>SUM(X28:$AV28)*$N29/100</f>
        <v>4945.4830000000002</v>
      </c>
      <c r="Y29" s="266">
        <f>SUM(Y28:$AV28)*$N29/100</f>
        <v>4515.4410000000007</v>
      </c>
      <c r="Z29" s="266">
        <f>SUM(Z28:$AV28)*$N29/100</f>
        <v>4085.3990000000003</v>
      </c>
      <c r="AA29" s="266">
        <f>SUM(AA28:$AV28)*$N29/100</f>
        <v>3655.357</v>
      </c>
      <c r="AB29" s="266">
        <f>SUM(AB28:$AV28)*$N29/100</f>
        <v>3225.3150000000005</v>
      </c>
      <c r="AC29" s="266">
        <f>SUM(AC28:$AV28)*$N29/100</f>
        <v>2795.2730000000006</v>
      </c>
      <c r="AD29" s="266">
        <f>SUM(AD28:$AV28)*$N29/100</f>
        <v>2365.2310000000002</v>
      </c>
      <c r="AE29" s="266">
        <f>SUM(AE28:$AV28)*$N29/100</f>
        <v>1935.1890000000003</v>
      </c>
      <c r="AF29" s="266">
        <f>SUM(AF28:$AV28)*$N29/100</f>
        <v>1505.1470000000002</v>
      </c>
      <c r="AG29" s="266">
        <f>SUM(AG28:$AV28)*$N29/100</f>
        <v>1075.1050000000002</v>
      </c>
      <c r="AH29" s="266">
        <f>SUM(AH28:$AV28)*$N29/100</f>
        <v>645.06299999999999</v>
      </c>
      <c r="AI29" s="266">
        <f>SUM(AI28:$AV28)*$N29/100</f>
        <v>215.02100000000002</v>
      </c>
      <c r="AJ29" s="266">
        <v>0</v>
      </c>
      <c r="AK29" s="266">
        <v>0</v>
      </c>
      <c r="AL29" s="266">
        <v>0</v>
      </c>
      <c r="AM29" s="266">
        <v>0</v>
      </c>
      <c r="AN29" s="266">
        <v>0</v>
      </c>
      <c r="AO29" s="266">
        <v>0</v>
      </c>
      <c r="AP29" s="266">
        <v>0</v>
      </c>
      <c r="AQ29" s="266">
        <v>0</v>
      </c>
      <c r="AR29" s="266">
        <v>0</v>
      </c>
      <c r="AS29" s="266">
        <v>0</v>
      </c>
      <c r="AT29" s="266">
        <v>0</v>
      </c>
      <c r="AU29" s="266">
        <v>0</v>
      </c>
      <c r="AV29" s="266">
        <v>0</v>
      </c>
      <c r="AW29" s="266"/>
      <c r="AX29" s="266"/>
      <c r="AY29" s="269">
        <f t="shared" si="4"/>
        <v>51211.015000000007</v>
      </c>
      <c r="AZ29" s="232">
        <f t="shared" si="0"/>
        <v>0</v>
      </c>
      <c r="BA29" s="268">
        <f t="shared" si="1"/>
        <v>17416.701000000001</v>
      </c>
      <c r="BB29" s="269">
        <f t="shared" si="5"/>
        <v>51211.014999999999</v>
      </c>
      <c r="BD29" s="248" t="b">
        <f t="shared" si="2"/>
        <v>1</v>
      </c>
    </row>
    <row r="30" spans="2:57" s="248" customFormat="1" hidden="1" outlineLevel="1" x14ac:dyDescent="0.25">
      <c r="B30" s="249" t="s">
        <v>789</v>
      </c>
      <c r="C30" s="249">
        <v>13</v>
      </c>
      <c r="D30" s="249" t="s">
        <v>818</v>
      </c>
      <c r="E30" s="250" t="s">
        <v>819</v>
      </c>
      <c r="F30" s="249" t="s">
        <v>820</v>
      </c>
      <c r="G30" s="251" t="s">
        <v>821</v>
      </c>
      <c r="H30" s="251" t="s">
        <v>822</v>
      </c>
      <c r="I30" s="251" t="s">
        <v>748</v>
      </c>
      <c r="J30" s="252">
        <v>34291</v>
      </c>
      <c r="K30" s="253">
        <v>17740</v>
      </c>
      <c r="L30" s="253"/>
      <c r="M30" s="253"/>
      <c r="N30" s="254"/>
      <c r="O30" s="254"/>
      <c r="P30" s="254"/>
      <c r="Q30" s="254" t="s">
        <v>749</v>
      </c>
      <c r="R30" s="255">
        <v>1842</v>
      </c>
      <c r="S30" s="255">
        <v>1774</v>
      </c>
      <c r="T30" s="256">
        <f t="shared" si="3"/>
        <v>3616</v>
      </c>
      <c r="U30" s="256">
        <v>3548</v>
      </c>
      <c r="V30" s="256">
        <v>3548</v>
      </c>
      <c r="W30" s="256">
        <v>3548</v>
      </c>
      <c r="X30" s="256">
        <v>3548</v>
      </c>
      <c r="Y30" s="256">
        <v>1774</v>
      </c>
      <c r="Z30" s="256">
        <v>0</v>
      </c>
      <c r="AA30" s="256">
        <v>0</v>
      </c>
      <c r="AB30" s="256">
        <v>0</v>
      </c>
      <c r="AC30" s="256">
        <v>0</v>
      </c>
      <c r="AD30" s="256">
        <v>0</v>
      </c>
      <c r="AE30" s="256">
        <v>0</v>
      </c>
      <c r="AF30" s="256">
        <v>0</v>
      </c>
      <c r="AG30" s="256">
        <v>0</v>
      </c>
      <c r="AH30" s="256">
        <v>0</v>
      </c>
      <c r="AI30" s="256">
        <v>0</v>
      </c>
      <c r="AJ30" s="256">
        <v>0</v>
      </c>
      <c r="AK30" s="256">
        <v>0</v>
      </c>
      <c r="AL30" s="256">
        <v>0</v>
      </c>
      <c r="AM30" s="256">
        <v>0</v>
      </c>
      <c r="AN30" s="256">
        <v>0</v>
      </c>
      <c r="AO30" s="256">
        <v>0</v>
      </c>
      <c r="AP30" s="256">
        <v>0</v>
      </c>
      <c r="AQ30" s="256">
        <v>0</v>
      </c>
      <c r="AR30" s="256">
        <v>0</v>
      </c>
      <c r="AS30" s="256">
        <v>0</v>
      </c>
      <c r="AT30" s="256">
        <v>0</v>
      </c>
      <c r="AU30" s="256">
        <v>0</v>
      </c>
      <c r="AV30" s="256">
        <v>0</v>
      </c>
      <c r="AW30" s="256"/>
      <c r="AX30" s="256"/>
      <c r="AY30" s="259">
        <f t="shared" si="4"/>
        <v>19582</v>
      </c>
      <c r="AZ30" s="232">
        <f t="shared" si="0"/>
        <v>0</v>
      </c>
      <c r="BA30" s="258">
        <f t="shared" si="1"/>
        <v>0</v>
      </c>
      <c r="BB30" s="259">
        <f t="shared" si="5"/>
        <v>19582</v>
      </c>
      <c r="BD30" s="248" t="b">
        <f t="shared" si="2"/>
        <v>1</v>
      </c>
      <c r="BE30" s="260">
        <f>BB30-K30-R30</f>
        <v>0</v>
      </c>
    </row>
    <row r="31" spans="2:57" hidden="1" outlineLevel="1" x14ac:dyDescent="0.25">
      <c r="B31" s="261" t="s">
        <v>789</v>
      </c>
      <c r="C31" s="261"/>
      <c r="D31" s="272" t="s">
        <v>823</v>
      </c>
      <c r="E31" s="262"/>
      <c r="F31" s="261"/>
      <c r="G31" s="261"/>
      <c r="H31" s="261"/>
      <c r="I31" s="261"/>
      <c r="J31" s="263"/>
      <c r="K31" s="263"/>
      <c r="L31" s="263" t="s">
        <v>824</v>
      </c>
      <c r="M31" s="263"/>
      <c r="N31" s="264">
        <f t="shared" si="6"/>
        <v>4.415</v>
      </c>
      <c r="O31" s="264">
        <v>4.415</v>
      </c>
      <c r="P31" s="264">
        <f>$P$4</f>
        <v>0</v>
      </c>
      <c r="Q31" s="264" t="s">
        <v>751</v>
      </c>
      <c r="R31" s="265">
        <v>163.44</v>
      </c>
      <c r="S31" s="265">
        <v>172.63</v>
      </c>
      <c r="T31" s="266">
        <f t="shared" si="3"/>
        <v>336.07</v>
      </c>
      <c r="U31" s="266">
        <f>SUM(U30:$AV30)*$N31/100</f>
        <v>704.89890000000003</v>
      </c>
      <c r="V31" s="266">
        <f>SUM(V30:$AV30)*$N31/100</f>
        <v>548.25469999999996</v>
      </c>
      <c r="W31" s="266">
        <f>SUM(W30:$AV30)*$N31/100</f>
        <v>391.6105</v>
      </c>
      <c r="X31" s="266">
        <f>SUM(X30:$AV30)*$N31/100</f>
        <v>234.96630000000002</v>
      </c>
      <c r="Y31" s="266">
        <f>SUM(Y30:$AV30)*$N31/100</f>
        <v>78.322100000000006</v>
      </c>
      <c r="Z31" s="266">
        <v>0</v>
      </c>
      <c r="AA31" s="266">
        <v>0</v>
      </c>
      <c r="AB31" s="266">
        <v>0</v>
      </c>
      <c r="AC31" s="266">
        <v>0</v>
      </c>
      <c r="AD31" s="266">
        <v>0</v>
      </c>
      <c r="AE31" s="266">
        <v>0</v>
      </c>
      <c r="AF31" s="266">
        <v>0</v>
      </c>
      <c r="AG31" s="266">
        <v>0</v>
      </c>
      <c r="AH31" s="266">
        <v>0</v>
      </c>
      <c r="AI31" s="266">
        <v>0</v>
      </c>
      <c r="AJ31" s="266">
        <v>0</v>
      </c>
      <c r="AK31" s="266">
        <v>0</v>
      </c>
      <c r="AL31" s="266">
        <v>0</v>
      </c>
      <c r="AM31" s="266">
        <v>0</v>
      </c>
      <c r="AN31" s="266">
        <v>0</v>
      </c>
      <c r="AO31" s="266">
        <v>0</v>
      </c>
      <c r="AP31" s="266">
        <v>0</v>
      </c>
      <c r="AQ31" s="266">
        <v>0</v>
      </c>
      <c r="AR31" s="266">
        <v>0</v>
      </c>
      <c r="AS31" s="266">
        <v>0</v>
      </c>
      <c r="AT31" s="266">
        <v>0</v>
      </c>
      <c r="AU31" s="266">
        <v>0</v>
      </c>
      <c r="AV31" s="266">
        <v>0</v>
      </c>
      <c r="AW31" s="266"/>
      <c r="AX31" s="266"/>
      <c r="AY31" s="269">
        <f t="shared" si="4"/>
        <v>2294.1224999999999</v>
      </c>
      <c r="AZ31" s="232">
        <f t="shared" si="0"/>
        <v>0</v>
      </c>
      <c r="BA31" s="268">
        <f t="shared" si="1"/>
        <v>0</v>
      </c>
      <c r="BB31" s="269">
        <f t="shared" si="5"/>
        <v>2294.1224999999999</v>
      </c>
      <c r="BD31" s="248" t="b">
        <f t="shared" si="2"/>
        <v>1</v>
      </c>
    </row>
    <row r="32" spans="2:57" s="248" customFormat="1" hidden="1" outlineLevel="1" x14ac:dyDescent="0.25">
      <c r="B32" s="249" t="s">
        <v>789</v>
      </c>
      <c r="C32" s="249">
        <v>14</v>
      </c>
      <c r="D32" s="249" t="s">
        <v>825</v>
      </c>
      <c r="E32" s="250" t="s">
        <v>826</v>
      </c>
      <c r="F32" s="249" t="s">
        <v>827</v>
      </c>
      <c r="G32" s="251" t="s">
        <v>828</v>
      </c>
      <c r="H32" s="251" t="s">
        <v>829</v>
      </c>
      <c r="I32" s="251" t="s">
        <v>748</v>
      </c>
      <c r="J32" s="252">
        <v>2609698.31</v>
      </c>
      <c r="K32" s="253">
        <v>2374239.31</v>
      </c>
      <c r="L32" s="253"/>
      <c r="M32" s="253"/>
      <c r="N32" s="254"/>
      <c r="O32" s="254"/>
      <c r="P32" s="254"/>
      <c r="Q32" s="254" t="s">
        <v>749</v>
      </c>
      <c r="R32" s="255">
        <v>47100</v>
      </c>
      <c r="S32" s="255">
        <v>47100</v>
      </c>
      <c r="T32" s="256">
        <f t="shared" si="3"/>
        <v>94200</v>
      </c>
      <c r="U32" s="256">
        <v>94200</v>
      </c>
      <c r="V32" s="256">
        <v>94200</v>
      </c>
      <c r="W32" s="256">
        <v>94200</v>
      </c>
      <c r="X32" s="256">
        <v>94200</v>
      </c>
      <c r="Y32" s="256">
        <v>94200</v>
      </c>
      <c r="Z32" s="256">
        <v>94200</v>
      </c>
      <c r="AA32" s="256">
        <v>94200</v>
      </c>
      <c r="AB32" s="256">
        <v>94200</v>
      </c>
      <c r="AC32" s="256">
        <v>94200</v>
      </c>
      <c r="AD32" s="256">
        <v>94200</v>
      </c>
      <c r="AE32" s="256">
        <v>94200</v>
      </c>
      <c r="AF32" s="256">
        <v>94200</v>
      </c>
      <c r="AG32" s="256">
        <v>94200</v>
      </c>
      <c r="AH32" s="256">
        <v>94200</v>
      </c>
      <c r="AI32" s="256">
        <v>94200</v>
      </c>
      <c r="AJ32" s="256">
        <v>94200</v>
      </c>
      <c r="AK32" s="256">
        <v>94200</v>
      </c>
      <c r="AL32" s="256">
        <v>94200</v>
      </c>
      <c r="AM32" s="256">
        <v>94200</v>
      </c>
      <c r="AN32" s="256">
        <v>94200</v>
      </c>
      <c r="AO32" s="256">
        <v>94200</v>
      </c>
      <c r="AP32" s="256">
        <v>94200</v>
      </c>
      <c r="AQ32" s="256">
        <v>94200</v>
      </c>
      <c r="AR32" s="256">
        <v>94200</v>
      </c>
      <c r="AS32" s="256">
        <v>66339.31</v>
      </c>
      <c r="AT32" s="256">
        <v>0</v>
      </c>
      <c r="AU32" s="256">
        <v>0</v>
      </c>
      <c r="AV32" s="256">
        <v>0</v>
      </c>
      <c r="AW32" s="256"/>
      <c r="AX32" s="256"/>
      <c r="AY32" s="259">
        <f t="shared" si="4"/>
        <v>2421339.31</v>
      </c>
      <c r="AZ32" s="232">
        <f t="shared" si="0"/>
        <v>0</v>
      </c>
      <c r="BA32" s="258">
        <f t="shared" si="1"/>
        <v>1761939.31</v>
      </c>
      <c r="BB32" s="259">
        <f t="shared" si="5"/>
        <v>2421339.31</v>
      </c>
      <c r="BD32" s="248" t="b">
        <f t="shared" si="2"/>
        <v>1</v>
      </c>
      <c r="BE32" s="260">
        <f>BB32-K32-R32</f>
        <v>0</v>
      </c>
    </row>
    <row r="33" spans="2:57" hidden="1" outlineLevel="1" x14ac:dyDescent="0.25">
      <c r="B33" s="261" t="s">
        <v>789</v>
      </c>
      <c r="C33" s="261"/>
      <c r="D33" s="272" t="s">
        <v>830</v>
      </c>
      <c r="E33" s="262"/>
      <c r="F33" s="261"/>
      <c r="G33" s="261"/>
      <c r="H33" s="261"/>
      <c r="I33" s="261"/>
      <c r="J33" s="263"/>
      <c r="K33" s="263"/>
      <c r="L33" s="263" t="s">
        <v>831</v>
      </c>
      <c r="M33" s="263"/>
      <c r="N33" s="264">
        <f t="shared" si="6"/>
        <v>4.3639999999999999</v>
      </c>
      <c r="O33" s="264">
        <v>4.3639999999999999</v>
      </c>
      <c r="P33" s="264">
        <f>$P$4</f>
        <v>0</v>
      </c>
      <c r="Q33" s="264" t="s">
        <v>751</v>
      </c>
      <c r="R33" s="265">
        <v>22429.32</v>
      </c>
      <c r="S33" s="265">
        <v>19021.490000000002</v>
      </c>
      <c r="T33" s="266">
        <f t="shared" si="3"/>
        <v>41450.81</v>
      </c>
      <c r="U33" s="266">
        <f>SUM(U32:$AV32)*$N33/100</f>
        <v>101556.35948839999</v>
      </c>
      <c r="V33" s="266">
        <f>SUM(V32:$AV32)*$N33/100</f>
        <v>97445.471488400013</v>
      </c>
      <c r="W33" s="266">
        <f>SUM(W32:$AV32)*$N33/100</f>
        <v>93334.583488400007</v>
      </c>
      <c r="X33" s="266">
        <f>SUM(X32:$AV32)*$N33/100</f>
        <v>89223.695488400001</v>
      </c>
      <c r="Y33" s="266">
        <f>SUM(Y32:$AV32)*$N33/100</f>
        <v>85112.807488400009</v>
      </c>
      <c r="Z33" s="266">
        <f>SUM(Z32:$AV32)*$N33/100</f>
        <v>81001.919488400003</v>
      </c>
      <c r="AA33" s="266">
        <f>SUM(AA32:$AV32)*$N33/100</f>
        <v>76891.031488399996</v>
      </c>
      <c r="AB33" s="266">
        <f>SUM(AB32:$AV32)*$N33/100</f>
        <v>72780.143488400005</v>
      </c>
      <c r="AC33" s="266">
        <f>SUM(AC32:$AV32)*$N33/100</f>
        <v>68669.255488399998</v>
      </c>
      <c r="AD33" s="266">
        <f>SUM(AD32:$AV32)*$N33/100</f>
        <v>64558.367488400007</v>
      </c>
      <c r="AE33" s="266">
        <f>SUM(AE32:$AV32)*$N33/100</f>
        <v>60447.4794884</v>
      </c>
      <c r="AF33" s="266">
        <f>SUM(AF32:$AV32)*$N33/100</f>
        <v>56336.591488400001</v>
      </c>
      <c r="AG33" s="266">
        <f>SUM(AG32:$AV32)*$N33/100</f>
        <v>52225.703488400002</v>
      </c>
      <c r="AH33" s="266">
        <f>SUM(AH32:$AV32)*$N33/100</f>
        <v>48114.815488400003</v>
      </c>
      <c r="AI33" s="266">
        <f>SUM(AI32:$AV32)*$N33/100</f>
        <v>44003.927488400004</v>
      </c>
      <c r="AJ33" s="266">
        <f>SUM(AJ32:$AV32)*$N33/100</f>
        <v>39893.039488400005</v>
      </c>
      <c r="AK33" s="266">
        <f>SUM(AK32:$AV32)*$N33/100</f>
        <v>35782.151488399999</v>
      </c>
      <c r="AL33" s="266">
        <f>SUM(AL32:$AV32)*$N33/100</f>
        <v>31671.2634884</v>
      </c>
      <c r="AM33" s="266">
        <f>SUM(AM32:$AV32)*$N33/100</f>
        <v>27560.375488400005</v>
      </c>
      <c r="AN33" s="266">
        <f>SUM(AN32:$AV32)*$N33/100</f>
        <v>23449.487488400002</v>
      </c>
      <c r="AO33" s="266">
        <f>SUM(AO32:$AV32)*$N33/100</f>
        <v>19338.599488399999</v>
      </c>
      <c r="AP33" s="266">
        <f>SUM(AP32:$AV32)*$N33/100</f>
        <v>15227.711488399998</v>
      </c>
      <c r="AQ33" s="266">
        <f>SUM(AQ32:$AV32)*$N33/100</f>
        <v>11116.823488399999</v>
      </c>
      <c r="AR33" s="266">
        <f>SUM(AR32:$AV32)*$N33/100</f>
        <v>7005.9354883999995</v>
      </c>
      <c r="AS33" s="266">
        <f>SUM(AS32:$AV32)*$N33/100</f>
        <v>2895.0474883999996</v>
      </c>
      <c r="AT33" s="266">
        <v>0</v>
      </c>
      <c r="AU33" s="266">
        <v>0</v>
      </c>
      <c r="AV33" s="266">
        <v>0</v>
      </c>
      <c r="AW33" s="266"/>
      <c r="AX33" s="266"/>
      <c r="AY33" s="269">
        <f t="shared" si="4"/>
        <v>1347093.3972100001</v>
      </c>
      <c r="AZ33" s="232">
        <f t="shared" si="0"/>
        <v>0</v>
      </c>
      <c r="BA33" s="268">
        <f t="shared" si="1"/>
        <v>757967.75027959992</v>
      </c>
      <c r="BB33" s="269">
        <f t="shared" si="5"/>
        <v>1347093.3972100001</v>
      </c>
      <c r="BD33" s="248" t="b">
        <f t="shared" si="2"/>
        <v>1</v>
      </c>
    </row>
    <row r="34" spans="2:57" s="248" customFormat="1" hidden="1" outlineLevel="1" x14ac:dyDescent="0.25">
      <c r="B34" s="249" t="s">
        <v>789</v>
      </c>
      <c r="C34" s="249">
        <v>15</v>
      </c>
      <c r="D34" s="249" t="s">
        <v>832</v>
      </c>
      <c r="E34" s="250" t="s">
        <v>833</v>
      </c>
      <c r="F34" s="249" t="s">
        <v>834</v>
      </c>
      <c r="G34" s="251" t="s">
        <v>828</v>
      </c>
      <c r="H34" s="251" t="s">
        <v>829</v>
      </c>
      <c r="I34" s="251" t="s">
        <v>748</v>
      </c>
      <c r="J34" s="252">
        <v>3496295</v>
      </c>
      <c r="K34" s="253">
        <v>3181399</v>
      </c>
      <c r="L34" s="253"/>
      <c r="M34" s="253"/>
      <c r="N34" s="254"/>
      <c r="O34" s="254"/>
      <c r="P34" s="254"/>
      <c r="Q34" s="254" t="s">
        <v>749</v>
      </c>
      <c r="R34" s="255">
        <v>62998</v>
      </c>
      <c r="S34" s="255">
        <v>62998</v>
      </c>
      <c r="T34" s="256">
        <f t="shared" si="3"/>
        <v>125996</v>
      </c>
      <c r="U34" s="256">
        <v>125996</v>
      </c>
      <c r="V34" s="256">
        <v>125996</v>
      </c>
      <c r="W34" s="256">
        <v>125996</v>
      </c>
      <c r="X34" s="256">
        <v>125996</v>
      </c>
      <c r="Y34" s="256">
        <v>125996</v>
      </c>
      <c r="Z34" s="256">
        <v>125996</v>
      </c>
      <c r="AA34" s="256">
        <v>125996</v>
      </c>
      <c r="AB34" s="256">
        <v>125996</v>
      </c>
      <c r="AC34" s="256">
        <v>125996</v>
      </c>
      <c r="AD34" s="256">
        <v>125996</v>
      </c>
      <c r="AE34" s="256">
        <v>125996</v>
      </c>
      <c r="AF34" s="256">
        <v>125996</v>
      </c>
      <c r="AG34" s="256">
        <v>125996</v>
      </c>
      <c r="AH34" s="256">
        <v>125996</v>
      </c>
      <c r="AI34" s="256">
        <v>125996</v>
      </c>
      <c r="AJ34" s="256">
        <v>125996</v>
      </c>
      <c r="AK34" s="256">
        <v>125996</v>
      </c>
      <c r="AL34" s="256">
        <v>125996</v>
      </c>
      <c r="AM34" s="256">
        <v>125996</v>
      </c>
      <c r="AN34" s="256">
        <v>125996</v>
      </c>
      <c r="AO34" s="256">
        <v>125996</v>
      </c>
      <c r="AP34" s="256">
        <v>125996</v>
      </c>
      <c r="AQ34" s="256">
        <v>125996</v>
      </c>
      <c r="AR34" s="256">
        <v>125996</v>
      </c>
      <c r="AS34" s="256">
        <v>94497</v>
      </c>
      <c r="AT34" s="256">
        <v>0</v>
      </c>
      <c r="AU34" s="256">
        <v>0</v>
      </c>
      <c r="AV34" s="256">
        <v>0</v>
      </c>
      <c r="AW34" s="256"/>
      <c r="AX34" s="256"/>
      <c r="AY34" s="259">
        <f t="shared" si="4"/>
        <v>3244397</v>
      </c>
      <c r="AZ34" s="232">
        <f t="shared" si="0"/>
        <v>0</v>
      </c>
      <c r="BA34" s="258">
        <f t="shared" si="1"/>
        <v>2362425</v>
      </c>
      <c r="BB34" s="259">
        <f t="shared" si="5"/>
        <v>3244397</v>
      </c>
      <c r="BD34" s="248" t="b">
        <f t="shared" si="2"/>
        <v>1</v>
      </c>
      <c r="BE34" s="260">
        <f>BB34-K34-R34</f>
        <v>0</v>
      </c>
    </row>
    <row r="35" spans="2:57" hidden="1" outlineLevel="1" x14ac:dyDescent="0.25">
      <c r="B35" s="261" t="s">
        <v>789</v>
      </c>
      <c r="C35" s="261"/>
      <c r="D35" s="272" t="s">
        <v>835</v>
      </c>
      <c r="E35" s="262"/>
      <c r="F35" s="261"/>
      <c r="G35" s="261"/>
      <c r="H35" s="261"/>
      <c r="I35" s="261"/>
      <c r="J35" s="263"/>
      <c r="K35" s="263"/>
      <c r="L35" s="263" t="s">
        <v>831</v>
      </c>
      <c r="M35" s="263"/>
      <c r="N35" s="264">
        <f t="shared" si="6"/>
        <v>4.3639999999999999</v>
      </c>
      <c r="O35" s="264">
        <v>4.3639999999999999</v>
      </c>
      <c r="P35" s="264">
        <f>$P$4</f>
        <v>0</v>
      </c>
      <c r="Q35" s="264" t="s">
        <v>751</v>
      </c>
      <c r="R35" s="265">
        <v>30053.5</v>
      </c>
      <c r="S35" s="265">
        <v>25488.22</v>
      </c>
      <c r="T35" s="266">
        <f t="shared" si="3"/>
        <v>55541.72</v>
      </c>
      <c r="U35" s="266">
        <f>SUM(U34:$AV34)*$N35/100</f>
        <v>136087.01963999998</v>
      </c>
      <c r="V35" s="266">
        <f>SUM(V34:$AV34)*$N35/100</f>
        <v>130588.5542</v>
      </c>
      <c r="W35" s="266">
        <f>SUM(W34:$AV34)*$N35/100</f>
        <v>125090.08876</v>
      </c>
      <c r="X35" s="266">
        <f>SUM(X34:$AV34)*$N35/100</f>
        <v>119591.62332</v>
      </c>
      <c r="Y35" s="266">
        <f>SUM(Y34:$AV34)*$N35/100</f>
        <v>114093.15787999998</v>
      </c>
      <c r="Z35" s="266">
        <f>SUM(Z34:$AV34)*$N35/100</f>
        <v>108594.69243999998</v>
      </c>
      <c r="AA35" s="266">
        <f>SUM(AA34:$AV34)*$N35/100</f>
        <v>103096.227</v>
      </c>
      <c r="AB35" s="266">
        <f>SUM(AB34:$AV34)*$N35/100</f>
        <v>97597.761559999999</v>
      </c>
      <c r="AC35" s="266">
        <f>SUM(AC34:$AV34)*$N35/100</f>
        <v>92099.296119999999</v>
      </c>
      <c r="AD35" s="266">
        <f>SUM(AD34:$AV34)*$N35/100</f>
        <v>86600.830679999999</v>
      </c>
      <c r="AE35" s="266">
        <f>SUM(AE34:$AV34)*$N35/100</f>
        <v>81102.365239999999</v>
      </c>
      <c r="AF35" s="266">
        <f>SUM(AF34:$AV34)*$N35/100</f>
        <v>75603.899799999999</v>
      </c>
      <c r="AG35" s="266">
        <f>SUM(AG34:$AV34)*$N35/100</f>
        <v>70105.434359999999</v>
      </c>
      <c r="AH35" s="266">
        <f>SUM(AH34:$AV34)*$N35/100</f>
        <v>64606.968919999999</v>
      </c>
      <c r="AI35" s="266">
        <f>SUM(AI34:$AV34)*$N35/100</f>
        <v>59108.503479999999</v>
      </c>
      <c r="AJ35" s="266">
        <f>SUM(AJ34:$AV34)*$N35/100</f>
        <v>53610.038039999992</v>
      </c>
      <c r="AK35" s="266">
        <f>SUM(AK34:$AV34)*$N35/100</f>
        <v>48111.5726</v>
      </c>
      <c r="AL35" s="266">
        <f>SUM(AL34:$AV34)*$N35/100</f>
        <v>42613.10716</v>
      </c>
      <c r="AM35" s="266">
        <f>SUM(AM34:$AV34)*$N35/100</f>
        <v>37114.64172</v>
      </c>
      <c r="AN35" s="266">
        <f>SUM(AN34:$AV34)*$N35/100</f>
        <v>31616.17628</v>
      </c>
      <c r="AO35" s="266">
        <f>SUM(AO34:$AV34)*$N35/100</f>
        <v>26117.71084</v>
      </c>
      <c r="AP35" s="266">
        <f>SUM(AP34:$AV34)*$N35/100</f>
        <v>20619.2454</v>
      </c>
      <c r="AQ35" s="266">
        <f>SUM(AQ34:$AV34)*$N35/100</f>
        <v>15120.77996</v>
      </c>
      <c r="AR35" s="266">
        <f>SUM(AR34:$AV34)*$N35/100</f>
        <v>9622.3145199999999</v>
      </c>
      <c r="AS35" s="266">
        <f>SUM(AS34:$AV34)*$N35/100</f>
        <v>4123.84908</v>
      </c>
      <c r="AT35" s="266">
        <v>0</v>
      </c>
      <c r="AU35" s="266">
        <v>0</v>
      </c>
      <c r="AV35" s="266">
        <v>0</v>
      </c>
      <c r="AW35" s="266"/>
      <c r="AX35" s="266"/>
      <c r="AY35" s="269">
        <f t="shared" si="4"/>
        <v>1808177.5789999997</v>
      </c>
      <c r="AZ35" s="232">
        <f t="shared" si="0"/>
        <v>0</v>
      </c>
      <c r="BA35" s="268">
        <f t="shared" si="1"/>
        <v>1018590.7227599998</v>
      </c>
      <c r="BB35" s="269">
        <f t="shared" si="5"/>
        <v>1808177.5789999999</v>
      </c>
      <c r="BD35" s="248" t="b">
        <f t="shared" si="2"/>
        <v>1</v>
      </c>
    </row>
    <row r="36" spans="2:57" s="248" customFormat="1" hidden="1" outlineLevel="1" collapsed="1" x14ac:dyDescent="0.25">
      <c r="B36" s="249" t="s">
        <v>789</v>
      </c>
      <c r="C36" s="249">
        <v>16</v>
      </c>
      <c r="D36" s="249" t="s">
        <v>797</v>
      </c>
      <c r="E36" s="250" t="s">
        <v>836</v>
      </c>
      <c r="F36" s="249" t="s">
        <v>837</v>
      </c>
      <c r="G36" s="251" t="s">
        <v>838</v>
      </c>
      <c r="H36" s="251" t="s">
        <v>839</v>
      </c>
      <c r="I36" s="251" t="s">
        <v>748</v>
      </c>
      <c r="J36" s="252">
        <v>190122</v>
      </c>
      <c r="K36" s="253">
        <v>148712</v>
      </c>
      <c r="L36" s="253"/>
      <c r="M36" s="253"/>
      <c r="N36" s="254"/>
      <c r="O36" s="254">
        <v>1.482</v>
      </c>
      <c r="P36" s="254"/>
      <c r="Q36" s="254" t="s">
        <v>749</v>
      </c>
      <c r="R36" s="255">
        <v>4876</v>
      </c>
      <c r="S36" s="255">
        <v>4876</v>
      </c>
      <c r="T36" s="256">
        <f t="shared" si="3"/>
        <v>9752</v>
      </c>
      <c r="U36" s="256">
        <v>9752</v>
      </c>
      <c r="V36" s="256">
        <v>9752</v>
      </c>
      <c r="W36" s="256">
        <v>9752</v>
      </c>
      <c r="X36" s="256">
        <v>9752</v>
      </c>
      <c r="Y36" s="256">
        <v>9752</v>
      </c>
      <c r="Z36" s="256">
        <v>9752</v>
      </c>
      <c r="AA36" s="256">
        <v>9752</v>
      </c>
      <c r="AB36" s="256">
        <v>9752</v>
      </c>
      <c r="AC36" s="256">
        <v>9752</v>
      </c>
      <c r="AD36" s="256">
        <v>9752</v>
      </c>
      <c r="AE36" s="256">
        <v>9752</v>
      </c>
      <c r="AF36" s="256">
        <v>9752</v>
      </c>
      <c r="AG36" s="256">
        <v>9752</v>
      </c>
      <c r="AH36" s="256">
        <v>9752</v>
      </c>
      <c r="AI36" s="256">
        <v>7308</v>
      </c>
      <c r="AJ36" s="256">
        <v>0</v>
      </c>
      <c r="AK36" s="256">
        <v>0</v>
      </c>
      <c r="AL36" s="256">
        <v>0</v>
      </c>
      <c r="AM36" s="256">
        <v>0</v>
      </c>
      <c r="AN36" s="256">
        <v>0</v>
      </c>
      <c r="AO36" s="256">
        <v>0</v>
      </c>
      <c r="AP36" s="256">
        <v>0</v>
      </c>
      <c r="AQ36" s="256">
        <v>0</v>
      </c>
      <c r="AR36" s="256">
        <v>0</v>
      </c>
      <c r="AS36" s="256">
        <v>0</v>
      </c>
      <c r="AT36" s="256">
        <v>0</v>
      </c>
      <c r="AU36" s="256">
        <v>0</v>
      </c>
      <c r="AV36" s="256">
        <v>0</v>
      </c>
      <c r="AW36" s="256"/>
      <c r="AX36" s="256"/>
      <c r="AY36" s="259">
        <f t="shared" si="4"/>
        <v>153588</v>
      </c>
      <c r="AZ36" s="232">
        <f t="shared" si="0"/>
        <v>0</v>
      </c>
      <c r="BA36" s="258">
        <f t="shared" si="1"/>
        <v>85324</v>
      </c>
      <c r="BB36" s="259">
        <f t="shared" si="5"/>
        <v>153588</v>
      </c>
      <c r="BD36" s="248" t="b">
        <f t="shared" si="2"/>
        <v>1</v>
      </c>
      <c r="BE36" s="260">
        <f>BB36-K36-R36</f>
        <v>0</v>
      </c>
    </row>
    <row r="37" spans="2:57" hidden="1" outlineLevel="1" x14ac:dyDescent="0.25">
      <c r="B37" s="261" t="s">
        <v>789</v>
      </c>
      <c r="C37" s="261"/>
      <c r="D37" s="272" t="s">
        <v>840</v>
      </c>
      <c r="E37" s="262"/>
      <c r="F37" s="261"/>
      <c r="G37" s="261"/>
      <c r="H37" s="261"/>
      <c r="I37" s="261"/>
      <c r="J37" s="263"/>
      <c r="K37" s="263"/>
      <c r="L37" s="263" t="s">
        <v>841</v>
      </c>
      <c r="M37" s="263"/>
      <c r="N37" s="264">
        <f t="shared" si="6"/>
        <v>4.1500000000000004</v>
      </c>
      <c r="O37" s="271">
        <v>4.1500000000000004</v>
      </c>
      <c r="P37" s="264">
        <f>$P$4</f>
        <v>0</v>
      </c>
      <c r="Q37" s="264" t="s">
        <v>751</v>
      </c>
      <c r="R37" s="265">
        <v>1722.69</v>
      </c>
      <c r="S37" s="265">
        <v>908.74</v>
      </c>
      <c r="T37" s="266">
        <f t="shared" si="3"/>
        <v>2631.4300000000003</v>
      </c>
      <c r="U37" s="266">
        <f>SUM(U36:$AV36)*$N37/100</f>
        <v>5969.1940000000004</v>
      </c>
      <c r="V37" s="266">
        <f>SUM(V36:$AV36)*$N37/100</f>
        <v>5564.4860000000008</v>
      </c>
      <c r="W37" s="266">
        <f>SUM(W36:$AV36)*$N37/100</f>
        <v>5159.7780000000002</v>
      </c>
      <c r="X37" s="266">
        <f>SUM(X36:$AV36)*$N37/100</f>
        <v>4755.0700000000006</v>
      </c>
      <c r="Y37" s="266">
        <f>SUM(Y36:$AV36)*$N37/100</f>
        <v>4350.3620000000001</v>
      </c>
      <c r="Z37" s="266">
        <f>SUM(Z36:$AV36)*$N37/100</f>
        <v>3945.6540000000005</v>
      </c>
      <c r="AA37" s="266">
        <f>SUM(AA36:$AV36)*$N37/100</f>
        <v>3540.9460000000004</v>
      </c>
      <c r="AB37" s="266">
        <f>SUM(AB36:$AV36)*$N37/100</f>
        <v>3136.2380000000003</v>
      </c>
      <c r="AC37" s="266">
        <f>SUM(AC36:$AV36)*$N37/100</f>
        <v>2731.53</v>
      </c>
      <c r="AD37" s="266">
        <f>SUM(AD36:$AV36)*$N37/100</f>
        <v>2326.8220000000001</v>
      </c>
      <c r="AE37" s="266">
        <f>SUM(AE36:$AV36)*$N37/100</f>
        <v>1922.1140000000003</v>
      </c>
      <c r="AF37" s="266">
        <f>SUM(AF36:$AV36)*$N37/100</f>
        <v>1517.4059999999999</v>
      </c>
      <c r="AG37" s="266">
        <f>SUM(AG36:$AV36)*$N37/100</f>
        <v>1112.6980000000001</v>
      </c>
      <c r="AH37" s="266">
        <f>SUM(AH36:$AV36)*$N37/100</f>
        <v>707.99</v>
      </c>
      <c r="AI37" s="266">
        <f>SUM(AI36:$AV36)*$N37/100</f>
        <v>303.28200000000004</v>
      </c>
      <c r="AJ37" s="266">
        <v>0</v>
      </c>
      <c r="AK37" s="266">
        <v>0</v>
      </c>
      <c r="AL37" s="266">
        <v>0</v>
      </c>
      <c r="AM37" s="266">
        <v>0</v>
      </c>
      <c r="AN37" s="266">
        <v>0</v>
      </c>
      <c r="AO37" s="266">
        <v>0</v>
      </c>
      <c r="AP37" s="266">
        <v>0</v>
      </c>
      <c r="AQ37" s="266">
        <v>0</v>
      </c>
      <c r="AR37" s="266">
        <v>0</v>
      </c>
      <c r="AS37" s="266">
        <v>0</v>
      </c>
      <c r="AT37" s="266">
        <v>0</v>
      </c>
      <c r="AU37" s="266">
        <v>0</v>
      </c>
      <c r="AV37" s="266">
        <v>0</v>
      </c>
      <c r="AW37" s="266"/>
      <c r="AX37" s="266"/>
      <c r="AY37" s="269">
        <f t="shared" si="4"/>
        <v>49675</v>
      </c>
      <c r="AZ37" s="232">
        <f t="shared" si="0"/>
        <v>0</v>
      </c>
      <c r="BA37" s="268">
        <f t="shared" si="1"/>
        <v>17299.026000000002</v>
      </c>
      <c r="BB37" s="269">
        <f t="shared" si="5"/>
        <v>49675</v>
      </c>
      <c r="BD37" s="248" t="b">
        <f t="shared" si="2"/>
        <v>1</v>
      </c>
    </row>
    <row r="38" spans="2:57" s="248" customFormat="1" hidden="1" outlineLevel="1" x14ac:dyDescent="0.25">
      <c r="B38" s="249" t="s">
        <v>789</v>
      </c>
      <c r="C38" s="249">
        <v>17</v>
      </c>
      <c r="D38" s="249" t="s">
        <v>842</v>
      </c>
      <c r="E38" s="250" t="s">
        <v>843</v>
      </c>
      <c r="F38" s="249" t="s">
        <v>844</v>
      </c>
      <c r="G38" s="251" t="s">
        <v>845</v>
      </c>
      <c r="H38" s="251" t="s">
        <v>839</v>
      </c>
      <c r="I38" s="251" t="s">
        <v>748</v>
      </c>
      <c r="J38" s="252">
        <v>177076.43</v>
      </c>
      <c r="K38" s="253">
        <v>140300</v>
      </c>
      <c r="L38" s="253"/>
      <c r="M38" s="253"/>
      <c r="N38" s="254"/>
      <c r="O38" s="254">
        <v>1.903</v>
      </c>
      <c r="P38" s="254"/>
      <c r="Q38" s="254" t="s">
        <v>749</v>
      </c>
      <c r="R38" s="255">
        <v>4600</v>
      </c>
      <c r="S38" s="255">
        <v>4600</v>
      </c>
      <c r="T38" s="256">
        <f t="shared" si="3"/>
        <v>9200</v>
      </c>
      <c r="U38" s="256">
        <v>9200</v>
      </c>
      <c r="V38" s="256">
        <v>9200</v>
      </c>
      <c r="W38" s="256">
        <v>9200</v>
      </c>
      <c r="X38" s="256">
        <v>9200</v>
      </c>
      <c r="Y38" s="256">
        <v>9200</v>
      </c>
      <c r="Z38" s="256">
        <v>9200</v>
      </c>
      <c r="AA38" s="256">
        <v>9200</v>
      </c>
      <c r="AB38" s="256">
        <v>9200</v>
      </c>
      <c r="AC38" s="256">
        <v>9200</v>
      </c>
      <c r="AD38" s="256">
        <v>9200</v>
      </c>
      <c r="AE38" s="256">
        <v>9200</v>
      </c>
      <c r="AF38" s="256">
        <v>9200</v>
      </c>
      <c r="AG38" s="256">
        <v>9200</v>
      </c>
      <c r="AH38" s="256">
        <v>9200</v>
      </c>
      <c r="AI38" s="256">
        <v>6900</v>
      </c>
      <c r="AJ38" s="256">
        <v>0</v>
      </c>
      <c r="AK38" s="256">
        <v>0</v>
      </c>
      <c r="AL38" s="256">
        <v>0</v>
      </c>
      <c r="AM38" s="256">
        <v>0</v>
      </c>
      <c r="AN38" s="256">
        <v>0</v>
      </c>
      <c r="AO38" s="256">
        <v>0</v>
      </c>
      <c r="AP38" s="256">
        <v>0</v>
      </c>
      <c r="AQ38" s="256">
        <v>0</v>
      </c>
      <c r="AR38" s="256">
        <v>0</v>
      </c>
      <c r="AS38" s="256">
        <v>0</v>
      </c>
      <c r="AT38" s="256">
        <v>0</v>
      </c>
      <c r="AU38" s="256">
        <v>0</v>
      </c>
      <c r="AV38" s="256">
        <v>0</v>
      </c>
      <c r="AW38" s="256"/>
      <c r="AX38" s="256"/>
      <c r="AY38" s="259">
        <f t="shared" si="4"/>
        <v>144900</v>
      </c>
      <c r="AZ38" s="232">
        <f t="shared" si="0"/>
        <v>0</v>
      </c>
      <c r="BA38" s="258">
        <f t="shared" si="1"/>
        <v>80500</v>
      </c>
      <c r="BB38" s="259">
        <f t="shared" si="5"/>
        <v>144900</v>
      </c>
      <c r="BD38" s="248" t="b">
        <f t="shared" si="2"/>
        <v>1</v>
      </c>
      <c r="BE38" s="260">
        <f>BB38-K38-R38</f>
        <v>0</v>
      </c>
    </row>
    <row r="39" spans="2:57" hidden="1" outlineLevel="1" x14ac:dyDescent="0.25">
      <c r="B39" s="261" t="s">
        <v>789</v>
      </c>
      <c r="C39" s="261"/>
      <c r="D39" s="272" t="s">
        <v>846</v>
      </c>
      <c r="E39" s="262"/>
      <c r="F39" s="261"/>
      <c r="G39" s="261"/>
      <c r="H39" s="261"/>
      <c r="I39" s="261"/>
      <c r="J39" s="263"/>
      <c r="K39" s="263"/>
      <c r="L39" s="263" t="s">
        <v>847</v>
      </c>
      <c r="M39" s="263"/>
      <c r="N39" s="264">
        <f t="shared" si="6"/>
        <v>4.1500000000000004</v>
      </c>
      <c r="O39" s="271">
        <v>4.1500000000000004</v>
      </c>
      <c r="P39" s="264">
        <f>$P$4</f>
        <v>0</v>
      </c>
      <c r="Q39" s="264" t="s">
        <v>751</v>
      </c>
      <c r="R39" s="265">
        <v>2086.9299999999998</v>
      </c>
      <c r="S39" s="265">
        <v>851.29</v>
      </c>
      <c r="T39" s="266">
        <f t="shared" si="3"/>
        <v>2938.22</v>
      </c>
      <c r="U39" s="266">
        <f>SUM(U38:$AV38)*$N39/100</f>
        <v>5631.55</v>
      </c>
      <c r="V39" s="266">
        <f>SUM(V38:$AV38)*$N39/100</f>
        <v>5249.75</v>
      </c>
      <c r="W39" s="266">
        <f>SUM(W38:$AV38)*$N39/100</f>
        <v>4867.9500000000007</v>
      </c>
      <c r="X39" s="266">
        <f>SUM(X38:$AV38)*$N39/100</f>
        <v>4486.1500000000005</v>
      </c>
      <c r="Y39" s="266">
        <f>SUM(Y38:$AV38)*$N39/100</f>
        <v>4104.3500000000004</v>
      </c>
      <c r="Z39" s="266">
        <f>SUM(Z38:$AV38)*$N39/100</f>
        <v>3722.5500000000006</v>
      </c>
      <c r="AA39" s="266">
        <f>SUM(AA38:$AV38)*$N39/100</f>
        <v>3340.75</v>
      </c>
      <c r="AB39" s="266">
        <f>SUM(AB38:$AV38)*$N39/100</f>
        <v>2958.95</v>
      </c>
      <c r="AC39" s="266">
        <f>SUM(AC38:$AV38)*$N39/100</f>
        <v>2577.15</v>
      </c>
      <c r="AD39" s="266">
        <f>SUM(AD38:$AV38)*$N39/100</f>
        <v>2195.3500000000004</v>
      </c>
      <c r="AE39" s="266">
        <f>SUM(AE38:$AV38)*$N39/100</f>
        <v>1813.5500000000002</v>
      </c>
      <c r="AF39" s="266">
        <f>SUM(AF38:$AV38)*$N39/100</f>
        <v>1431.75</v>
      </c>
      <c r="AG39" s="266">
        <f>SUM(AG38:$AV38)*$N39/100</f>
        <v>1049.95</v>
      </c>
      <c r="AH39" s="266">
        <f>SUM(AH38:$AV38)*$N39/100</f>
        <v>668.15</v>
      </c>
      <c r="AI39" s="266">
        <f>SUM(AI38:$AV38)*$N39/100</f>
        <v>286.35000000000002</v>
      </c>
      <c r="AJ39" s="266">
        <v>0</v>
      </c>
      <c r="AK39" s="266">
        <v>0</v>
      </c>
      <c r="AL39" s="266">
        <v>0</v>
      </c>
      <c r="AM39" s="266">
        <v>0</v>
      </c>
      <c r="AN39" s="266">
        <v>0</v>
      </c>
      <c r="AO39" s="266">
        <v>0</v>
      </c>
      <c r="AP39" s="266">
        <v>0</v>
      </c>
      <c r="AQ39" s="266">
        <v>0</v>
      </c>
      <c r="AR39" s="266">
        <v>0</v>
      </c>
      <c r="AS39" s="266">
        <v>0</v>
      </c>
      <c r="AT39" s="266">
        <v>0</v>
      </c>
      <c r="AU39" s="266">
        <v>0</v>
      </c>
      <c r="AV39" s="266">
        <v>0</v>
      </c>
      <c r="AW39" s="266"/>
      <c r="AX39" s="266"/>
      <c r="AY39" s="269">
        <f t="shared" si="4"/>
        <v>47322.47</v>
      </c>
      <c r="AZ39" s="232">
        <f t="shared" si="0"/>
        <v>0</v>
      </c>
      <c r="BA39" s="268">
        <f t="shared" si="1"/>
        <v>16321.95</v>
      </c>
      <c r="BB39" s="269">
        <f t="shared" si="5"/>
        <v>47322.47</v>
      </c>
      <c r="BD39" s="248" t="b">
        <f t="shared" si="2"/>
        <v>1</v>
      </c>
    </row>
    <row r="40" spans="2:57" s="248" customFormat="1" hidden="1" outlineLevel="1" x14ac:dyDescent="0.25">
      <c r="B40" s="249" t="s">
        <v>742</v>
      </c>
      <c r="C40" s="249">
        <v>18</v>
      </c>
      <c r="D40" s="249" t="s">
        <v>848</v>
      </c>
      <c r="E40" s="250" t="s">
        <v>849</v>
      </c>
      <c r="F40" s="249" t="s">
        <v>850</v>
      </c>
      <c r="G40" s="251" t="s">
        <v>845</v>
      </c>
      <c r="H40" s="251" t="s">
        <v>851</v>
      </c>
      <c r="I40" s="251" t="s">
        <v>748</v>
      </c>
      <c r="J40" s="252">
        <v>1174139.99</v>
      </c>
      <c r="K40" s="253">
        <v>830003.99</v>
      </c>
      <c r="L40" s="253"/>
      <c r="M40" s="253"/>
      <c r="N40" s="254"/>
      <c r="O40" s="254">
        <v>1.903</v>
      </c>
      <c r="P40" s="254"/>
      <c r="Q40" s="254" t="s">
        <v>749</v>
      </c>
      <c r="R40" s="255">
        <v>40488</v>
      </c>
      <c r="S40" s="255">
        <v>40488</v>
      </c>
      <c r="T40" s="256">
        <f t="shared" si="3"/>
        <v>80976</v>
      </c>
      <c r="U40" s="256">
        <v>80976</v>
      </c>
      <c r="V40" s="256">
        <v>80976</v>
      </c>
      <c r="W40" s="256">
        <v>80976</v>
      </c>
      <c r="X40" s="256">
        <v>80976</v>
      </c>
      <c r="Y40" s="256">
        <v>80976</v>
      </c>
      <c r="Z40" s="256">
        <v>80976</v>
      </c>
      <c r="AA40" s="256">
        <v>80976</v>
      </c>
      <c r="AB40" s="256">
        <v>80976</v>
      </c>
      <c r="AC40" s="256">
        <v>80976</v>
      </c>
      <c r="AD40" s="256">
        <v>60731.990000000005</v>
      </c>
      <c r="AE40" s="256">
        <v>0</v>
      </c>
      <c r="AF40" s="256">
        <v>0</v>
      </c>
      <c r="AG40" s="256">
        <v>0</v>
      </c>
      <c r="AH40" s="256">
        <v>0</v>
      </c>
      <c r="AI40" s="256">
        <v>0</v>
      </c>
      <c r="AJ40" s="256">
        <v>0</v>
      </c>
      <c r="AK40" s="256">
        <v>0</v>
      </c>
      <c r="AL40" s="256">
        <v>0</v>
      </c>
      <c r="AM40" s="256">
        <v>0</v>
      </c>
      <c r="AN40" s="256">
        <v>0</v>
      </c>
      <c r="AO40" s="256">
        <v>0</v>
      </c>
      <c r="AP40" s="256">
        <v>0</v>
      </c>
      <c r="AQ40" s="256">
        <v>0</v>
      </c>
      <c r="AR40" s="256">
        <v>0</v>
      </c>
      <c r="AS40" s="256">
        <v>0</v>
      </c>
      <c r="AT40" s="256">
        <v>0</v>
      </c>
      <c r="AU40" s="256">
        <v>0</v>
      </c>
      <c r="AV40" s="256">
        <v>0</v>
      </c>
      <c r="AW40" s="256"/>
      <c r="AX40" s="256"/>
      <c r="AY40" s="257">
        <f t="shared" si="4"/>
        <v>870491.99</v>
      </c>
      <c r="AZ40" s="232">
        <f t="shared" si="0"/>
        <v>0</v>
      </c>
      <c r="BA40" s="258">
        <f t="shared" si="1"/>
        <v>303659.99</v>
      </c>
      <c r="BB40" s="259">
        <f t="shared" si="5"/>
        <v>870491.99</v>
      </c>
      <c r="BD40" s="248" t="b">
        <f t="shared" si="2"/>
        <v>1</v>
      </c>
      <c r="BE40" s="260">
        <f>BB40-K40-R40</f>
        <v>0</v>
      </c>
    </row>
    <row r="41" spans="2:57" hidden="1" outlineLevel="1" x14ac:dyDescent="0.25">
      <c r="B41" s="261" t="s">
        <v>742</v>
      </c>
      <c r="C41" s="261"/>
      <c r="D41" s="261"/>
      <c r="E41" s="262"/>
      <c r="F41" s="261"/>
      <c r="G41" s="261"/>
      <c r="H41" s="261"/>
      <c r="I41" s="261"/>
      <c r="J41" s="263"/>
      <c r="K41" s="263"/>
      <c r="L41" s="263" t="s">
        <v>852</v>
      </c>
      <c r="M41" s="263"/>
      <c r="N41" s="264">
        <f t="shared" si="6"/>
        <v>4.1500000000000004</v>
      </c>
      <c r="O41" s="271">
        <v>4.1500000000000004</v>
      </c>
      <c r="P41" s="264">
        <f>$P$4</f>
        <v>0</v>
      </c>
      <c r="Q41" s="264" t="s">
        <v>751</v>
      </c>
      <c r="R41" s="265">
        <v>12525.74</v>
      </c>
      <c r="S41" s="265">
        <v>4977</v>
      </c>
      <c r="T41" s="266">
        <f t="shared" si="3"/>
        <v>17502.739999999998</v>
      </c>
      <c r="U41" s="266">
        <f>SUM(U40:$AV40)*$N41/100</f>
        <v>32764.913585000002</v>
      </c>
      <c r="V41" s="266">
        <f>SUM(V40:$AV40)*$N41/100</f>
        <v>29404.409585000001</v>
      </c>
      <c r="W41" s="266">
        <f>SUM(W40:$AV40)*$N41/100</f>
        <v>26043.905585000004</v>
      </c>
      <c r="X41" s="266">
        <f>SUM(X40:$AV40)*$N41/100</f>
        <v>22683.401585000003</v>
      </c>
      <c r="Y41" s="266">
        <f>SUM(Y40:$AV40)*$N41/100</f>
        <v>19322.897585000002</v>
      </c>
      <c r="Z41" s="266">
        <f>SUM(Z40:$AV40)*$N41/100</f>
        <v>15962.393585000002</v>
      </c>
      <c r="AA41" s="266">
        <f>SUM(AA40:$AV40)*$N41/100</f>
        <v>12601.889585000003</v>
      </c>
      <c r="AB41" s="266">
        <f>SUM(AB40:$AV40)*$N41/100</f>
        <v>9241.385585</v>
      </c>
      <c r="AC41" s="266">
        <f>SUM(AC40:$AV40)*$N41/100</f>
        <v>5880.8815850000001</v>
      </c>
      <c r="AD41" s="266">
        <f>SUM(AD40:$AV40)*$N41/100</f>
        <v>2520.3775850000006</v>
      </c>
      <c r="AE41" s="266">
        <v>0</v>
      </c>
      <c r="AF41" s="266">
        <v>0</v>
      </c>
      <c r="AG41" s="266">
        <v>0</v>
      </c>
      <c r="AH41" s="266">
        <v>0</v>
      </c>
      <c r="AI41" s="266">
        <v>0</v>
      </c>
      <c r="AJ41" s="266">
        <v>0</v>
      </c>
      <c r="AK41" s="266">
        <v>0</v>
      </c>
      <c r="AL41" s="266">
        <v>0</v>
      </c>
      <c r="AM41" s="266">
        <v>0</v>
      </c>
      <c r="AN41" s="266">
        <v>0</v>
      </c>
      <c r="AO41" s="266">
        <v>0</v>
      </c>
      <c r="AP41" s="266">
        <v>0</v>
      </c>
      <c r="AQ41" s="266">
        <v>0</v>
      </c>
      <c r="AR41" s="266">
        <v>0</v>
      </c>
      <c r="AS41" s="266">
        <v>0</v>
      </c>
      <c r="AT41" s="266">
        <v>0</v>
      </c>
      <c r="AU41" s="266">
        <v>0</v>
      </c>
      <c r="AV41" s="266">
        <v>0</v>
      </c>
      <c r="AW41" s="266"/>
      <c r="AX41" s="266"/>
      <c r="AY41" s="267">
        <f t="shared" si="4"/>
        <v>193929.19585000005</v>
      </c>
      <c r="AZ41" s="232">
        <f t="shared" si="0"/>
        <v>0</v>
      </c>
      <c r="BA41" s="268">
        <f t="shared" si="1"/>
        <v>30244.534340000002</v>
      </c>
      <c r="BB41" s="269">
        <f t="shared" si="5"/>
        <v>193929.19585000005</v>
      </c>
      <c r="BD41" s="248" t="b">
        <f t="shared" si="2"/>
        <v>1</v>
      </c>
    </row>
    <row r="42" spans="2:57" s="248" customFormat="1" hidden="1" outlineLevel="1" x14ac:dyDescent="0.25">
      <c r="B42" s="249" t="s">
        <v>742</v>
      </c>
      <c r="C42" s="249">
        <v>19</v>
      </c>
      <c r="D42" s="249" t="s">
        <v>853</v>
      </c>
      <c r="E42" s="250" t="s">
        <v>854</v>
      </c>
      <c r="F42" s="249" t="s">
        <v>855</v>
      </c>
      <c r="G42" s="251" t="s">
        <v>856</v>
      </c>
      <c r="H42" s="251" t="s">
        <v>857</v>
      </c>
      <c r="I42" s="251" t="s">
        <v>748</v>
      </c>
      <c r="J42" s="252">
        <v>388132.51</v>
      </c>
      <c r="K42" s="253">
        <v>204582</v>
      </c>
      <c r="L42" s="253"/>
      <c r="M42" s="253"/>
      <c r="N42" s="254"/>
      <c r="O42" s="254">
        <v>2.621</v>
      </c>
      <c r="P42" s="254"/>
      <c r="Q42" s="254" t="s">
        <v>749</v>
      </c>
      <c r="R42" s="255">
        <v>19484</v>
      </c>
      <c r="S42" s="255">
        <v>19484</v>
      </c>
      <c r="T42" s="256">
        <f t="shared" si="3"/>
        <v>38968</v>
      </c>
      <c r="U42" s="256">
        <v>38968</v>
      </c>
      <c r="V42" s="256">
        <v>38968</v>
      </c>
      <c r="W42" s="256">
        <v>38968</v>
      </c>
      <c r="X42" s="256">
        <v>38968</v>
      </c>
      <c r="Y42" s="256">
        <v>29226</v>
      </c>
      <c r="Z42" s="256">
        <v>0</v>
      </c>
      <c r="AA42" s="256">
        <v>0</v>
      </c>
      <c r="AB42" s="256">
        <v>0</v>
      </c>
      <c r="AC42" s="256">
        <v>0</v>
      </c>
      <c r="AD42" s="256">
        <v>0</v>
      </c>
      <c r="AE42" s="256">
        <v>0</v>
      </c>
      <c r="AF42" s="256">
        <v>0</v>
      </c>
      <c r="AG42" s="256">
        <v>0</v>
      </c>
      <c r="AH42" s="256">
        <v>0</v>
      </c>
      <c r="AI42" s="256">
        <v>0</v>
      </c>
      <c r="AJ42" s="256">
        <v>0</v>
      </c>
      <c r="AK42" s="256">
        <v>0</v>
      </c>
      <c r="AL42" s="256">
        <v>0</v>
      </c>
      <c r="AM42" s="256">
        <v>0</v>
      </c>
      <c r="AN42" s="256">
        <v>0</v>
      </c>
      <c r="AO42" s="256">
        <v>0</v>
      </c>
      <c r="AP42" s="256">
        <v>0</v>
      </c>
      <c r="AQ42" s="256">
        <v>0</v>
      </c>
      <c r="AR42" s="256">
        <v>0</v>
      </c>
      <c r="AS42" s="256">
        <v>0</v>
      </c>
      <c r="AT42" s="256">
        <v>0</v>
      </c>
      <c r="AU42" s="256">
        <v>0</v>
      </c>
      <c r="AV42" s="256">
        <v>0</v>
      </c>
      <c r="AW42" s="256"/>
      <c r="AX42" s="256"/>
      <c r="AY42" s="257">
        <f t="shared" si="4"/>
        <v>224066</v>
      </c>
      <c r="AZ42" s="232">
        <f t="shared" si="0"/>
        <v>0</v>
      </c>
      <c r="BA42" s="258">
        <f t="shared" si="1"/>
        <v>0</v>
      </c>
      <c r="BB42" s="259">
        <f t="shared" si="5"/>
        <v>224066</v>
      </c>
      <c r="BD42" s="248" t="b">
        <f t="shared" si="2"/>
        <v>1</v>
      </c>
      <c r="BE42" s="260">
        <f>BB42-K42-R42</f>
        <v>0</v>
      </c>
    </row>
    <row r="43" spans="2:57" hidden="1" outlineLevel="1" x14ac:dyDescent="0.25">
      <c r="B43" s="261" t="s">
        <v>742</v>
      </c>
      <c r="C43" s="261"/>
      <c r="D43" s="261"/>
      <c r="E43" s="262"/>
      <c r="F43" s="261"/>
      <c r="G43" s="261"/>
      <c r="H43" s="261"/>
      <c r="I43" s="261"/>
      <c r="J43" s="263"/>
      <c r="K43" s="263"/>
      <c r="L43" s="263" t="s">
        <v>858</v>
      </c>
      <c r="M43" s="263"/>
      <c r="N43" s="264">
        <f t="shared" si="6"/>
        <v>4.1500000000000004</v>
      </c>
      <c r="O43" s="271">
        <v>4.1500000000000004</v>
      </c>
      <c r="P43" s="264">
        <f>$P$4</f>
        <v>0</v>
      </c>
      <c r="Q43" s="264" t="s">
        <v>751</v>
      </c>
      <c r="R43" s="265">
        <v>4395.3599999999997</v>
      </c>
      <c r="S43" s="265">
        <v>1362.51</v>
      </c>
      <c r="T43" s="266">
        <f t="shared" si="3"/>
        <v>5757.87</v>
      </c>
      <c r="U43" s="266">
        <f>SUM(U42:$AV42)*$N43/100</f>
        <v>7681.5670000000009</v>
      </c>
      <c r="V43" s="266">
        <f>SUM(V42:$AV42)*$N43/100</f>
        <v>6064.3950000000004</v>
      </c>
      <c r="W43" s="266">
        <f>SUM(W42:$AV42)*$N43/100</f>
        <v>4447.2230000000009</v>
      </c>
      <c r="X43" s="266">
        <f>SUM(X42:$AV42)*$N43/100</f>
        <v>2830.0510000000004</v>
      </c>
      <c r="Y43" s="266">
        <f>SUM(Y42:$AV42)*$N43/100</f>
        <v>1212.8790000000001</v>
      </c>
      <c r="Z43" s="266">
        <v>0</v>
      </c>
      <c r="AA43" s="266">
        <v>0</v>
      </c>
      <c r="AB43" s="266">
        <v>0</v>
      </c>
      <c r="AC43" s="266">
        <v>0</v>
      </c>
      <c r="AD43" s="266">
        <v>0</v>
      </c>
      <c r="AE43" s="266">
        <v>0</v>
      </c>
      <c r="AF43" s="266">
        <v>0</v>
      </c>
      <c r="AG43" s="266">
        <v>0</v>
      </c>
      <c r="AH43" s="266">
        <v>0</v>
      </c>
      <c r="AI43" s="266">
        <v>0</v>
      </c>
      <c r="AJ43" s="266">
        <v>0</v>
      </c>
      <c r="AK43" s="266">
        <v>0</v>
      </c>
      <c r="AL43" s="266">
        <v>0</v>
      </c>
      <c r="AM43" s="266">
        <v>0</v>
      </c>
      <c r="AN43" s="266">
        <v>0</v>
      </c>
      <c r="AO43" s="266">
        <v>0</v>
      </c>
      <c r="AP43" s="266">
        <v>0</v>
      </c>
      <c r="AQ43" s="266">
        <v>0</v>
      </c>
      <c r="AR43" s="266">
        <v>0</v>
      </c>
      <c r="AS43" s="266">
        <v>0</v>
      </c>
      <c r="AT43" s="266">
        <v>0</v>
      </c>
      <c r="AU43" s="266">
        <v>0</v>
      </c>
      <c r="AV43" s="266">
        <v>0</v>
      </c>
      <c r="AW43" s="266"/>
      <c r="AX43" s="266"/>
      <c r="AY43" s="267">
        <f t="shared" si="4"/>
        <v>27993.985000000004</v>
      </c>
      <c r="AZ43" s="232">
        <f t="shared" si="0"/>
        <v>0</v>
      </c>
      <c r="BA43" s="268">
        <f t="shared" si="1"/>
        <v>0</v>
      </c>
      <c r="BB43" s="269">
        <f t="shared" si="5"/>
        <v>27993.985000000004</v>
      </c>
      <c r="BD43" s="248" t="b">
        <f t="shared" si="2"/>
        <v>1</v>
      </c>
    </row>
    <row r="44" spans="2:57" s="248" customFormat="1" hidden="1" outlineLevel="1" x14ac:dyDescent="0.25">
      <c r="B44" s="249" t="s">
        <v>789</v>
      </c>
      <c r="C44" s="249">
        <v>20</v>
      </c>
      <c r="D44" s="249" t="s">
        <v>797</v>
      </c>
      <c r="E44" s="250" t="s">
        <v>859</v>
      </c>
      <c r="F44" s="249" t="s">
        <v>860</v>
      </c>
      <c r="G44" s="251" t="s">
        <v>861</v>
      </c>
      <c r="H44" s="251" t="s">
        <v>862</v>
      </c>
      <c r="I44" s="251" t="s">
        <v>748</v>
      </c>
      <c r="J44" s="252">
        <v>160577.24</v>
      </c>
      <c r="K44" s="253">
        <v>127658</v>
      </c>
      <c r="L44" s="253"/>
      <c r="M44" s="253"/>
      <c r="N44" s="254"/>
      <c r="O44" s="254">
        <v>2.964</v>
      </c>
      <c r="P44" s="254"/>
      <c r="Q44" s="254" t="s">
        <v>749</v>
      </c>
      <c r="R44" s="255">
        <v>4118</v>
      </c>
      <c r="S44" s="255">
        <v>4118</v>
      </c>
      <c r="T44" s="256">
        <f t="shared" si="3"/>
        <v>8236</v>
      </c>
      <c r="U44" s="256">
        <v>8236</v>
      </c>
      <c r="V44" s="256">
        <v>8236</v>
      </c>
      <c r="W44" s="256">
        <v>8236</v>
      </c>
      <c r="X44" s="256">
        <v>8236</v>
      </c>
      <c r="Y44" s="256">
        <v>8236</v>
      </c>
      <c r="Z44" s="256">
        <v>8236</v>
      </c>
      <c r="AA44" s="256">
        <v>8236</v>
      </c>
      <c r="AB44" s="256">
        <v>8236</v>
      </c>
      <c r="AC44" s="256">
        <v>8236</v>
      </c>
      <c r="AD44" s="256">
        <v>8236</v>
      </c>
      <c r="AE44" s="256">
        <v>8236</v>
      </c>
      <c r="AF44" s="256">
        <v>8236</v>
      </c>
      <c r="AG44" s="256">
        <v>8236</v>
      </c>
      <c r="AH44" s="256">
        <v>8236</v>
      </c>
      <c r="AI44" s="256">
        <v>8236</v>
      </c>
      <c r="AJ44" s="256">
        <v>0</v>
      </c>
      <c r="AK44" s="256">
        <v>0</v>
      </c>
      <c r="AL44" s="256">
        <v>0</v>
      </c>
      <c r="AM44" s="256">
        <v>0</v>
      </c>
      <c r="AN44" s="256">
        <v>0</v>
      </c>
      <c r="AO44" s="256">
        <v>0</v>
      </c>
      <c r="AP44" s="256">
        <v>0</v>
      </c>
      <c r="AQ44" s="256">
        <v>0</v>
      </c>
      <c r="AR44" s="256">
        <v>0</v>
      </c>
      <c r="AS44" s="256">
        <v>0</v>
      </c>
      <c r="AT44" s="256">
        <v>0</v>
      </c>
      <c r="AU44" s="256">
        <v>0</v>
      </c>
      <c r="AV44" s="256">
        <v>0</v>
      </c>
      <c r="AW44" s="256"/>
      <c r="AX44" s="256"/>
      <c r="AY44" s="259">
        <f t="shared" si="4"/>
        <v>131776</v>
      </c>
      <c r="AZ44" s="232">
        <f t="shared" si="0"/>
        <v>0</v>
      </c>
      <c r="BA44" s="258">
        <f t="shared" si="1"/>
        <v>74124</v>
      </c>
      <c r="BB44" s="259">
        <f t="shared" si="5"/>
        <v>131776</v>
      </c>
      <c r="BD44" s="248" t="b">
        <f t="shared" si="2"/>
        <v>1</v>
      </c>
      <c r="BE44" s="260">
        <f>BB44-K44-R44</f>
        <v>0</v>
      </c>
    </row>
    <row r="45" spans="2:57" hidden="1" outlineLevel="1" x14ac:dyDescent="0.25">
      <c r="B45" s="261" t="s">
        <v>789</v>
      </c>
      <c r="C45" s="261"/>
      <c r="D45" s="272" t="s">
        <v>863</v>
      </c>
      <c r="E45" s="262"/>
      <c r="F45" s="261"/>
      <c r="G45" s="261"/>
      <c r="H45" s="261"/>
      <c r="I45" s="261"/>
      <c r="J45" s="263"/>
      <c r="K45" s="263"/>
      <c r="L45" s="263" t="s">
        <v>864</v>
      </c>
      <c r="M45" s="263"/>
      <c r="N45" s="264">
        <f t="shared" si="6"/>
        <v>4.1500000000000004</v>
      </c>
      <c r="O45" s="271">
        <v>4.1500000000000004</v>
      </c>
      <c r="P45" s="264">
        <f>$P$4</f>
        <v>0</v>
      </c>
      <c r="Q45" s="264" t="s">
        <v>751</v>
      </c>
      <c r="R45" s="265">
        <v>2537.44</v>
      </c>
      <c r="S45" s="265">
        <v>965.1</v>
      </c>
      <c r="T45" s="266">
        <f t="shared" si="3"/>
        <v>3502.54</v>
      </c>
      <c r="U45" s="266">
        <f>SUM(U44:$AV44)*$N45/100</f>
        <v>5126.9100000000008</v>
      </c>
      <c r="V45" s="266">
        <f>SUM(V44:$AV44)*$N45/100</f>
        <v>4785.116</v>
      </c>
      <c r="W45" s="266">
        <f>SUM(W44:$AV44)*$N45/100</f>
        <v>4443.3220000000001</v>
      </c>
      <c r="X45" s="266">
        <f>SUM(X44:$AV44)*$N45/100</f>
        <v>4101.5280000000002</v>
      </c>
      <c r="Y45" s="266">
        <f>SUM(Y44:$AV44)*$N45/100</f>
        <v>3759.7340000000004</v>
      </c>
      <c r="Z45" s="266">
        <f>SUM(Z44:$AV44)*$N45/100</f>
        <v>3417.9400000000005</v>
      </c>
      <c r="AA45" s="266">
        <f>SUM(AA44:$AV44)*$N45/100</f>
        <v>3076.1460000000002</v>
      </c>
      <c r="AB45" s="266">
        <f>SUM(AB44:$AV44)*$N45/100</f>
        <v>2734.3520000000003</v>
      </c>
      <c r="AC45" s="266">
        <f>SUM(AC44:$AV44)*$N45/100</f>
        <v>2392.558</v>
      </c>
      <c r="AD45" s="266">
        <f>SUM(AD44:$AV44)*$N45/100</f>
        <v>2050.7640000000001</v>
      </c>
      <c r="AE45" s="266">
        <f>SUM(AE44:$AV44)*$N45/100</f>
        <v>1708.9700000000003</v>
      </c>
      <c r="AF45" s="266">
        <f>SUM(AF44:$AV44)*$N45/100</f>
        <v>1367.1760000000002</v>
      </c>
      <c r="AG45" s="266">
        <f>SUM(AG44:$AV44)*$N45/100</f>
        <v>1025.3820000000001</v>
      </c>
      <c r="AH45" s="266">
        <f>SUM(AH44:$AV44)*$N45/100</f>
        <v>683.58800000000008</v>
      </c>
      <c r="AI45" s="266">
        <f>SUM(AI44:$AV44)*$N45/100</f>
        <v>341.79400000000004</v>
      </c>
      <c r="AJ45" s="266">
        <v>0</v>
      </c>
      <c r="AK45" s="266">
        <v>0</v>
      </c>
      <c r="AL45" s="266">
        <v>0</v>
      </c>
      <c r="AM45" s="266">
        <v>0</v>
      </c>
      <c r="AN45" s="266">
        <v>0</v>
      </c>
      <c r="AO45" s="266">
        <v>0</v>
      </c>
      <c r="AP45" s="266">
        <v>0</v>
      </c>
      <c r="AQ45" s="266">
        <v>0</v>
      </c>
      <c r="AR45" s="266">
        <v>0</v>
      </c>
      <c r="AS45" s="266">
        <v>0</v>
      </c>
      <c r="AT45" s="266">
        <v>0</v>
      </c>
      <c r="AU45" s="266">
        <v>0</v>
      </c>
      <c r="AV45" s="266">
        <v>0</v>
      </c>
      <c r="AW45" s="266"/>
      <c r="AX45" s="266"/>
      <c r="AY45" s="269">
        <f t="shared" si="4"/>
        <v>44517.82</v>
      </c>
      <c r="AZ45" s="232">
        <f t="shared" si="0"/>
        <v>0</v>
      </c>
      <c r="BA45" s="268">
        <f t="shared" si="1"/>
        <v>15380.73</v>
      </c>
      <c r="BB45" s="269">
        <f t="shared" si="5"/>
        <v>44517.819999999992</v>
      </c>
      <c r="BD45" s="248" t="b">
        <f t="shared" si="2"/>
        <v>1</v>
      </c>
    </row>
    <row r="46" spans="2:57" s="248" customFormat="1" hidden="1" outlineLevel="1" x14ac:dyDescent="0.25">
      <c r="B46" s="249" t="s">
        <v>789</v>
      </c>
      <c r="C46" s="249">
        <v>21</v>
      </c>
      <c r="D46" s="249" t="s">
        <v>865</v>
      </c>
      <c r="E46" s="250" t="s">
        <v>866</v>
      </c>
      <c r="F46" s="249" t="s">
        <v>867</v>
      </c>
      <c r="G46" s="251" t="s">
        <v>868</v>
      </c>
      <c r="H46" s="251" t="s">
        <v>869</v>
      </c>
      <c r="I46" s="251" t="s">
        <v>748</v>
      </c>
      <c r="J46" s="252">
        <v>131127</v>
      </c>
      <c r="K46" s="253">
        <v>104284</v>
      </c>
      <c r="L46" s="253"/>
      <c r="M46" s="253"/>
      <c r="N46" s="254"/>
      <c r="O46" s="254">
        <v>2.9870000000000001</v>
      </c>
      <c r="P46" s="254"/>
      <c r="Q46" s="254" t="s">
        <v>749</v>
      </c>
      <c r="R46" s="255">
        <v>3364</v>
      </c>
      <c r="S46" s="255">
        <v>3364</v>
      </c>
      <c r="T46" s="256">
        <f t="shared" si="3"/>
        <v>6728</v>
      </c>
      <c r="U46" s="256">
        <v>6728</v>
      </c>
      <c r="V46" s="256">
        <v>6728</v>
      </c>
      <c r="W46" s="256">
        <v>6728</v>
      </c>
      <c r="X46" s="256">
        <v>6728</v>
      </c>
      <c r="Y46" s="256">
        <v>6728</v>
      </c>
      <c r="Z46" s="256">
        <v>6728</v>
      </c>
      <c r="AA46" s="256">
        <v>6728</v>
      </c>
      <c r="AB46" s="256">
        <v>6728</v>
      </c>
      <c r="AC46" s="256">
        <v>6728</v>
      </c>
      <c r="AD46" s="256">
        <v>6728</v>
      </c>
      <c r="AE46" s="256">
        <v>6728</v>
      </c>
      <c r="AF46" s="256">
        <v>6728</v>
      </c>
      <c r="AG46" s="256">
        <v>6728</v>
      </c>
      <c r="AH46" s="256">
        <v>6728</v>
      </c>
      <c r="AI46" s="256">
        <v>6728</v>
      </c>
      <c r="AJ46" s="256">
        <v>0</v>
      </c>
      <c r="AK46" s="256">
        <v>0</v>
      </c>
      <c r="AL46" s="256">
        <v>0</v>
      </c>
      <c r="AM46" s="256">
        <v>0</v>
      </c>
      <c r="AN46" s="256">
        <v>0</v>
      </c>
      <c r="AO46" s="256">
        <v>0</v>
      </c>
      <c r="AP46" s="256">
        <v>0</v>
      </c>
      <c r="AQ46" s="256">
        <v>0</v>
      </c>
      <c r="AR46" s="256">
        <v>0</v>
      </c>
      <c r="AS46" s="256">
        <v>0</v>
      </c>
      <c r="AT46" s="256">
        <v>0</v>
      </c>
      <c r="AU46" s="256">
        <v>0</v>
      </c>
      <c r="AV46" s="256">
        <v>0</v>
      </c>
      <c r="AW46" s="256"/>
      <c r="AX46" s="256"/>
      <c r="AY46" s="259">
        <f t="shared" si="4"/>
        <v>107648</v>
      </c>
      <c r="AZ46" s="232">
        <f t="shared" si="0"/>
        <v>0</v>
      </c>
      <c r="BA46" s="258">
        <f t="shared" si="1"/>
        <v>60552</v>
      </c>
      <c r="BB46" s="259">
        <f t="shared" si="5"/>
        <v>107648</v>
      </c>
      <c r="BD46" s="248" t="b">
        <f t="shared" si="2"/>
        <v>1</v>
      </c>
      <c r="BE46" s="260">
        <f>BB46-K46-R46</f>
        <v>0</v>
      </c>
    </row>
    <row r="47" spans="2:57" hidden="1" outlineLevel="1" x14ac:dyDescent="0.25">
      <c r="B47" s="261" t="s">
        <v>789</v>
      </c>
      <c r="C47" s="261"/>
      <c r="D47" s="272" t="s">
        <v>870</v>
      </c>
      <c r="E47" s="262"/>
      <c r="F47" s="261"/>
      <c r="G47" s="261"/>
      <c r="H47" s="261"/>
      <c r="I47" s="261"/>
      <c r="J47" s="263"/>
      <c r="K47" s="263"/>
      <c r="L47" s="263" t="s">
        <v>871</v>
      </c>
      <c r="M47" s="263"/>
      <c r="N47" s="264">
        <f t="shared" si="6"/>
        <v>4.1500000000000004</v>
      </c>
      <c r="O47" s="271">
        <v>4.1500000000000004</v>
      </c>
      <c r="P47" s="264">
        <f>$P$4</f>
        <v>0</v>
      </c>
      <c r="Q47" s="264" t="s">
        <v>751</v>
      </c>
      <c r="R47" s="265">
        <v>2034.5</v>
      </c>
      <c r="S47" s="265">
        <v>794.51</v>
      </c>
      <c r="T47" s="266">
        <f t="shared" si="3"/>
        <v>2829.01</v>
      </c>
      <c r="U47" s="266">
        <f>SUM(U46:$AV46)*$N47/100</f>
        <v>4188.18</v>
      </c>
      <c r="V47" s="266">
        <f>SUM(V46:$AV46)*$N47/100</f>
        <v>3908.9680000000003</v>
      </c>
      <c r="W47" s="266">
        <f>SUM(W46:$AV46)*$N47/100</f>
        <v>3629.7560000000003</v>
      </c>
      <c r="X47" s="266">
        <f>SUM(X46:$AV46)*$N47/100</f>
        <v>3350.5440000000003</v>
      </c>
      <c r="Y47" s="266">
        <f>SUM(Y46:$AV46)*$N47/100</f>
        <v>3071.3320000000003</v>
      </c>
      <c r="Z47" s="266">
        <f>SUM(Z46:$AV46)*$N47/100</f>
        <v>2792.12</v>
      </c>
      <c r="AA47" s="266">
        <f>SUM(AA46:$AV46)*$N47/100</f>
        <v>2512.9080000000004</v>
      </c>
      <c r="AB47" s="266">
        <f>SUM(AB46:$AV46)*$N47/100</f>
        <v>2233.6959999999999</v>
      </c>
      <c r="AC47" s="266">
        <f>SUM(AC46:$AV46)*$N47/100</f>
        <v>1954.4840000000002</v>
      </c>
      <c r="AD47" s="266">
        <f>SUM(AD46:$AV46)*$N47/100</f>
        <v>1675.2720000000002</v>
      </c>
      <c r="AE47" s="266">
        <f>SUM(AE46:$AV46)*$N47/100</f>
        <v>1396.06</v>
      </c>
      <c r="AF47" s="266">
        <f>SUM(AF46:$AV46)*$N47/100</f>
        <v>1116.848</v>
      </c>
      <c r="AG47" s="266">
        <f>SUM(AG46:$AV46)*$N47/100</f>
        <v>837.63600000000008</v>
      </c>
      <c r="AH47" s="266">
        <f>SUM(AH46:$AV46)*$N47/100</f>
        <v>558.42399999999998</v>
      </c>
      <c r="AI47" s="266">
        <f>SUM(AI46:$AV46)*$N47/100</f>
        <v>279.21199999999999</v>
      </c>
      <c r="AJ47" s="266">
        <v>0</v>
      </c>
      <c r="AK47" s="266">
        <v>0</v>
      </c>
      <c r="AL47" s="266">
        <v>0</v>
      </c>
      <c r="AM47" s="266">
        <v>0</v>
      </c>
      <c r="AN47" s="266">
        <v>0</v>
      </c>
      <c r="AO47" s="266">
        <v>0</v>
      </c>
      <c r="AP47" s="266">
        <v>0</v>
      </c>
      <c r="AQ47" s="266">
        <v>0</v>
      </c>
      <c r="AR47" s="266">
        <v>0</v>
      </c>
      <c r="AS47" s="266">
        <v>0</v>
      </c>
      <c r="AT47" s="266">
        <v>0</v>
      </c>
      <c r="AU47" s="266">
        <v>0</v>
      </c>
      <c r="AV47" s="266">
        <v>0</v>
      </c>
      <c r="AW47" s="266"/>
      <c r="AX47" s="266"/>
      <c r="AY47" s="269">
        <f t="shared" si="4"/>
        <v>36334.449999999997</v>
      </c>
      <c r="AZ47" s="232">
        <f t="shared" si="0"/>
        <v>0</v>
      </c>
      <c r="BA47" s="268">
        <f t="shared" si="1"/>
        <v>12564.54</v>
      </c>
      <c r="BB47" s="269">
        <f t="shared" si="5"/>
        <v>36334.449999999997</v>
      </c>
      <c r="BD47" s="248" t="b">
        <f t="shared" si="2"/>
        <v>1</v>
      </c>
    </row>
    <row r="48" spans="2:57" s="248" customFormat="1" hidden="1" outlineLevel="1" x14ac:dyDescent="0.25">
      <c r="B48" s="249" t="s">
        <v>789</v>
      </c>
      <c r="C48" s="249">
        <v>22</v>
      </c>
      <c r="D48" s="249" t="s">
        <v>872</v>
      </c>
      <c r="E48" s="250" t="s">
        <v>873</v>
      </c>
      <c r="F48" s="249" t="s">
        <v>874</v>
      </c>
      <c r="G48" s="251" t="s">
        <v>875</v>
      </c>
      <c r="H48" s="251" t="s">
        <v>876</v>
      </c>
      <c r="I48" s="251" t="s">
        <v>748</v>
      </c>
      <c r="J48" s="252">
        <v>5678344.2000000002</v>
      </c>
      <c r="K48" s="253">
        <v>3249664</v>
      </c>
      <c r="L48" s="253"/>
      <c r="M48" s="253"/>
      <c r="N48" s="254"/>
      <c r="O48" s="254"/>
      <c r="P48" s="254"/>
      <c r="Q48" s="254" t="s">
        <v>749</v>
      </c>
      <c r="R48" s="255">
        <v>217480</v>
      </c>
      <c r="S48" s="255">
        <v>217480</v>
      </c>
      <c r="T48" s="256">
        <f t="shared" si="3"/>
        <v>434960</v>
      </c>
      <c r="U48" s="256">
        <v>395316</v>
      </c>
      <c r="V48" s="256">
        <v>363420</v>
      </c>
      <c r="W48" s="256">
        <v>344336</v>
      </c>
      <c r="X48" s="256">
        <v>314856</v>
      </c>
      <c r="Y48" s="256">
        <v>305080</v>
      </c>
      <c r="Z48" s="256">
        <v>279984</v>
      </c>
      <c r="AA48" s="256">
        <v>252100</v>
      </c>
      <c r="AB48" s="256">
        <v>243352</v>
      </c>
      <c r="AC48" s="256">
        <v>243352</v>
      </c>
      <c r="AD48" s="256">
        <v>243352</v>
      </c>
      <c r="AE48" s="256">
        <v>33356</v>
      </c>
      <c r="AF48" s="256">
        <v>13680</v>
      </c>
      <c r="AG48" s="256">
        <v>0</v>
      </c>
      <c r="AH48" s="256">
        <v>0</v>
      </c>
      <c r="AI48" s="256">
        <v>0</v>
      </c>
      <c r="AJ48" s="256">
        <v>0</v>
      </c>
      <c r="AK48" s="256">
        <v>0</v>
      </c>
      <c r="AL48" s="256">
        <v>0</v>
      </c>
      <c r="AM48" s="256">
        <v>0</v>
      </c>
      <c r="AN48" s="256">
        <v>0</v>
      </c>
      <c r="AO48" s="256">
        <v>0</v>
      </c>
      <c r="AP48" s="256">
        <v>0</v>
      </c>
      <c r="AQ48" s="256">
        <v>0</v>
      </c>
      <c r="AR48" s="256">
        <v>0</v>
      </c>
      <c r="AS48" s="256">
        <v>0</v>
      </c>
      <c r="AT48" s="256">
        <v>0</v>
      </c>
      <c r="AU48" s="256">
        <v>0</v>
      </c>
      <c r="AV48" s="256">
        <v>0</v>
      </c>
      <c r="AW48" s="256"/>
      <c r="AX48" s="256"/>
      <c r="AY48" s="259">
        <f t="shared" si="4"/>
        <v>3467144</v>
      </c>
      <c r="AZ48" s="232">
        <f t="shared" si="0"/>
        <v>0</v>
      </c>
      <c r="BA48" s="258">
        <f t="shared" si="1"/>
        <v>1029192</v>
      </c>
      <c r="BB48" s="259">
        <f t="shared" si="5"/>
        <v>3467144</v>
      </c>
      <c r="BD48" s="248" t="b">
        <f t="shared" si="2"/>
        <v>1</v>
      </c>
      <c r="BE48" s="260">
        <f>BB48-K48-R48</f>
        <v>0</v>
      </c>
    </row>
    <row r="49" spans="1:57" hidden="1" outlineLevel="1" x14ac:dyDescent="0.25">
      <c r="B49" s="261" t="s">
        <v>789</v>
      </c>
      <c r="C49" s="261"/>
      <c r="D49" s="272" t="s">
        <v>877</v>
      </c>
      <c r="E49" s="262"/>
      <c r="F49" s="261"/>
      <c r="G49" s="261"/>
      <c r="H49" s="261"/>
      <c r="I49" s="261"/>
      <c r="J49" s="263"/>
      <c r="K49" s="263"/>
      <c r="L49" s="263" t="s">
        <v>878</v>
      </c>
      <c r="M49" s="263"/>
      <c r="N49" s="264">
        <f t="shared" si="6"/>
        <v>3.875</v>
      </c>
      <c r="O49" s="264">
        <v>3.875</v>
      </c>
      <c r="P49" s="264">
        <f>$P$4</f>
        <v>0</v>
      </c>
      <c r="Q49" s="264" t="s">
        <v>751</v>
      </c>
      <c r="R49" s="265">
        <v>42392.02</v>
      </c>
      <c r="S49" s="265">
        <v>29984.080000000002</v>
      </c>
      <c r="T49" s="266">
        <f t="shared" si="3"/>
        <v>72376.100000000006</v>
      </c>
      <c r="U49" s="266">
        <f>SUM(U48:$AV48)*$N49/100</f>
        <v>117497.13</v>
      </c>
      <c r="V49" s="266">
        <f>SUM(V48:$AV48)*$N49/100</f>
        <v>102178.63499999999</v>
      </c>
      <c r="W49" s="266">
        <f>SUM(W48:$AV48)*$N49/100</f>
        <v>88096.11</v>
      </c>
      <c r="X49" s="266">
        <f>SUM(X48:$AV48)*$N49/100</f>
        <v>74753.09</v>
      </c>
      <c r="Y49" s="266">
        <f>SUM(Y48:$AV48)*$N49/100</f>
        <v>62552.42</v>
      </c>
      <c r="Z49" s="266">
        <f>SUM(Z48:$AV48)*$N49/100</f>
        <v>50730.57</v>
      </c>
      <c r="AA49" s="266">
        <f>SUM(AA48:$AV48)*$N49/100</f>
        <v>39881.19</v>
      </c>
      <c r="AB49" s="266">
        <f>SUM(AB48:$AV48)*$N49/100</f>
        <v>30112.314999999999</v>
      </c>
      <c r="AC49" s="266">
        <f>SUM(AC48:$AV48)*$N49/100</f>
        <v>20682.424999999999</v>
      </c>
      <c r="AD49" s="266">
        <f>SUM(AD48:$AV48)*$N49/100</f>
        <v>11252.535</v>
      </c>
      <c r="AE49" s="266">
        <f>SUM(AE48:$AV48)*$N49/100</f>
        <v>1822.645</v>
      </c>
      <c r="AF49" s="266">
        <f>SUM(AF48:$AV48)*$N49/100</f>
        <v>530.1</v>
      </c>
      <c r="AG49" s="266">
        <v>0</v>
      </c>
      <c r="AH49" s="266">
        <v>0</v>
      </c>
      <c r="AI49" s="266">
        <v>0</v>
      </c>
      <c r="AJ49" s="266">
        <v>0</v>
      </c>
      <c r="AK49" s="266">
        <v>0</v>
      </c>
      <c r="AL49" s="266">
        <v>0</v>
      </c>
      <c r="AM49" s="266">
        <v>0</v>
      </c>
      <c r="AN49" s="266">
        <v>0</v>
      </c>
      <c r="AO49" s="266">
        <v>0</v>
      </c>
      <c r="AP49" s="266">
        <v>0</v>
      </c>
      <c r="AQ49" s="266">
        <v>0</v>
      </c>
      <c r="AR49" s="266">
        <v>0</v>
      </c>
      <c r="AS49" s="266">
        <v>0</v>
      </c>
      <c r="AT49" s="266">
        <v>0</v>
      </c>
      <c r="AU49" s="266">
        <v>0</v>
      </c>
      <c r="AV49" s="266">
        <v>0</v>
      </c>
      <c r="AW49" s="266"/>
      <c r="AX49" s="266"/>
      <c r="AY49" s="269">
        <f t="shared" si="4"/>
        <v>672465.2649999999</v>
      </c>
      <c r="AZ49" s="232">
        <f t="shared" si="0"/>
        <v>0</v>
      </c>
      <c r="BA49" s="268">
        <f t="shared" si="1"/>
        <v>104281.21000000002</v>
      </c>
      <c r="BB49" s="269">
        <f t="shared" si="5"/>
        <v>672465.2649999999</v>
      </c>
      <c r="BD49" s="248" t="b">
        <f t="shared" si="2"/>
        <v>1</v>
      </c>
    </row>
    <row r="50" spans="1:57" s="248" customFormat="1" hidden="1" outlineLevel="1" x14ac:dyDescent="0.25">
      <c r="B50" s="249" t="s">
        <v>789</v>
      </c>
      <c r="C50" s="249">
        <v>23</v>
      </c>
      <c r="D50" s="249" t="s">
        <v>879</v>
      </c>
      <c r="E50" s="250" t="s">
        <v>880</v>
      </c>
      <c r="F50" s="249" t="s">
        <v>881</v>
      </c>
      <c r="G50" s="251" t="s">
        <v>882</v>
      </c>
      <c r="H50" s="251" t="s">
        <v>883</v>
      </c>
      <c r="I50" s="251" t="s">
        <v>748</v>
      </c>
      <c r="J50" s="252">
        <v>117517</v>
      </c>
      <c r="K50" s="253">
        <v>11109</v>
      </c>
      <c r="L50" s="253"/>
      <c r="M50" s="253"/>
      <c r="N50" s="254"/>
      <c r="O50" s="254"/>
      <c r="P50" s="254"/>
      <c r="Q50" s="254" t="s">
        <v>749</v>
      </c>
      <c r="R50" s="255">
        <v>966</v>
      </c>
      <c r="S50" s="255">
        <v>966</v>
      </c>
      <c r="T50" s="256">
        <f t="shared" si="3"/>
        <v>1932</v>
      </c>
      <c r="U50" s="256">
        <v>1932</v>
      </c>
      <c r="V50" s="256">
        <v>1932</v>
      </c>
      <c r="W50" s="256">
        <v>1932</v>
      </c>
      <c r="X50" s="256">
        <v>1932</v>
      </c>
      <c r="Y50" s="256">
        <v>1932</v>
      </c>
      <c r="Z50" s="256">
        <v>483</v>
      </c>
      <c r="AA50" s="256">
        <v>0</v>
      </c>
      <c r="AB50" s="256">
        <v>0</v>
      </c>
      <c r="AC50" s="256">
        <v>0</v>
      </c>
      <c r="AD50" s="256">
        <v>0</v>
      </c>
      <c r="AE50" s="256">
        <v>0</v>
      </c>
      <c r="AF50" s="256">
        <v>0</v>
      </c>
      <c r="AG50" s="256">
        <v>0</v>
      </c>
      <c r="AH50" s="256">
        <v>0</v>
      </c>
      <c r="AI50" s="256">
        <v>0</v>
      </c>
      <c r="AJ50" s="256">
        <v>0</v>
      </c>
      <c r="AK50" s="256">
        <v>0</v>
      </c>
      <c r="AL50" s="256">
        <v>0</v>
      </c>
      <c r="AM50" s="256">
        <v>0</v>
      </c>
      <c r="AN50" s="256">
        <v>0</v>
      </c>
      <c r="AO50" s="256">
        <v>0</v>
      </c>
      <c r="AP50" s="256">
        <v>0</v>
      </c>
      <c r="AQ50" s="256">
        <v>0</v>
      </c>
      <c r="AR50" s="256">
        <v>0</v>
      </c>
      <c r="AS50" s="256">
        <v>0</v>
      </c>
      <c r="AT50" s="256">
        <v>0</v>
      </c>
      <c r="AU50" s="256">
        <v>0</v>
      </c>
      <c r="AV50" s="256">
        <v>0</v>
      </c>
      <c r="AW50" s="256"/>
      <c r="AX50" s="256"/>
      <c r="AY50" s="259">
        <f t="shared" si="4"/>
        <v>12075</v>
      </c>
      <c r="AZ50" s="232">
        <f t="shared" si="0"/>
        <v>0</v>
      </c>
      <c r="BA50" s="258">
        <f t="shared" si="1"/>
        <v>0</v>
      </c>
      <c r="BB50" s="259">
        <f t="shared" si="5"/>
        <v>12075</v>
      </c>
      <c r="BD50" s="248" t="b">
        <f t="shared" si="2"/>
        <v>1</v>
      </c>
      <c r="BE50" s="260">
        <f>BB50-K50-R50</f>
        <v>0</v>
      </c>
    </row>
    <row r="51" spans="1:57" hidden="1" outlineLevel="1" x14ac:dyDescent="0.25">
      <c r="B51" s="261" t="s">
        <v>789</v>
      </c>
      <c r="C51" s="261"/>
      <c r="D51" s="272" t="s">
        <v>884</v>
      </c>
      <c r="E51" s="262"/>
      <c r="F51" s="261"/>
      <c r="G51" s="261"/>
      <c r="H51" s="261"/>
      <c r="I51" s="261"/>
      <c r="J51" s="263"/>
      <c r="K51" s="263"/>
      <c r="L51" s="263" t="s">
        <v>885</v>
      </c>
      <c r="M51" s="263"/>
      <c r="N51" s="264">
        <f t="shared" si="6"/>
        <v>4.0709999999999997</v>
      </c>
      <c r="O51" s="264">
        <v>4.0709999999999997</v>
      </c>
      <c r="P51" s="264">
        <f>$P$4</f>
        <v>0</v>
      </c>
      <c r="Q51" s="264" t="s">
        <v>751</v>
      </c>
      <c r="R51" s="265">
        <v>144.10000000000002</v>
      </c>
      <c r="S51" s="265">
        <v>107.92</v>
      </c>
      <c r="T51" s="266">
        <f t="shared" si="3"/>
        <v>252.02000000000004</v>
      </c>
      <c r="U51" s="266">
        <f>SUM(U50:$AV50)*$N51/100</f>
        <v>412.92152999999996</v>
      </c>
      <c r="V51" s="266">
        <f>SUM(V50:$AV50)*$N51/100</f>
        <v>334.26981000000001</v>
      </c>
      <c r="W51" s="266">
        <f>SUM(W50:$AV50)*$N51/100</f>
        <v>255.61808999999997</v>
      </c>
      <c r="X51" s="266">
        <f>SUM(X50:$AV50)*$N51/100</f>
        <v>176.96636999999998</v>
      </c>
      <c r="Y51" s="266">
        <f>SUM(Y50:$AV50)*$N51/100</f>
        <v>98.31465</v>
      </c>
      <c r="Z51" s="266">
        <f>SUM(Z50:$AV50)*$N51/100</f>
        <v>19.662929999999999</v>
      </c>
      <c r="AA51" s="266">
        <v>0</v>
      </c>
      <c r="AB51" s="266">
        <v>0</v>
      </c>
      <c r="AC51" s="266">
        <v>0</v>
      </c>
      <c r="AD51" s="266">
        <v>0</v>
      </c>
      <c r="AE51" s="266">
        <v>0</v>
      </c>
      <c r="AF51" s="266">
        <v>0</v>
      </c>
      <c r="AG51" s="266">
        <v>0</v>
      </c>
      <c r="AH51" s="266">
        <v>0</v>
      </c>
      <c r="AI51" s="266">
        <v>0</v>
      </c>
      <c r="AJ51" s="266">
        <v>0</v>
      </c>
      <c r="AK51" s="266">
        <v>0</v>
      </c>
      <c r="AL51" s="266">
        <v>0</v>
      </c>
      <c r="AM51" s="266">
        <v>0</v>
      </c>
      <c r="AN51" s="266">
        <v>0</v>
      </c>
      <c r="AO51" s="266">
        <v>0</v>
      </c>
      <c r="AP51" s="266">
        <v>0</v>
      </c>
      <c r="AQ51" s="266">
        <v>0</v>
      </c>
      <c r="AR51" s="266">
        <v>0</v>
      </c>
      <c r="AS51" s="266">
        <v>0</v>
      </c>
      <c r="AT51" s="266">
        <v>0</v>
      </c>
      <c r="AU51" s="266">
        <v>0</v>
      </c>
      <c r="AV51" s="266">
        <v>0</v>
      </c>
      <c r="AW51" s="266"/>
      <c r="AX51" s="266"/>
      <c r="AY51" s="269">
        <f t="shared" si="4"/>
        <v>1549.7733799999999</v>
      </c>
      <c r="AZ51" s="232">
        <f t="shared" si="0"/>
        <v>0</v>
      </c>
      <c r="BA51" s="268">
        <f t="shared" si="1"/>
        <v>0</v>
      </c>
      <c r="BB51" s="269">
        <f t="shared" si="5"/>
        <v>1549.7733799999999</v>
      </c>
      <c r="BD51" s="248" t="b">
        <f t="shared" si="2"/>
        <v>1</v>
      </c>
    </row>
    <row r="52" spans="1:57" s="248" customFormat="1" hidden="1" outlineLevel="1" x14ac:dyDescent="0.25">
      <c r="B52" s="249" t="s">
        <v>789</v>
      </c>
      <c r="C52" s="249">
        <v>24</v>
      </c>
      <c r="D52" s="249" t="s">
        <v>886</v>
      </c>
      <c r="E52" s="250" t="s">
        <v>887</v>
      </c>
      <c r="F52" s="249" t="s">
        <v>888</v>
      </c>
      <c r="G52" s="251" t="s">
        <v>889</v>
      </c>
      <c r="H52" s="251" t="s">
        <v>890</v>
      </c>
      <c r="I52" s="251" t="s">
        <v>748</v>
      </c>
      <c r="J52" s="252">
        <v>2227434</v>
      </c>
      <c r="K52" s="253">
        <v>1831440</v>
      </c>
      <c r="L52" s="253"/>
      <c r="M52" s="253"/>
      <c r="N52" s="254"/>
      <c r="O52" s="254"/>
      <c r="P52" s="254"/>
      <c r="Q52" s="254" t="s">
        <v>749</v>
      </c>
      <c r="R52" s="255">
        <v>35220</v>
      </c>
      <c r="S52" s="255">
        <v>35220</v>
      </c>
      <c r="T52" s="256">
        <f t="shared" si="3"/>
        <v>70440</v>
      </c>
      <c r="U52" s="256">
        <v>70440</v>
      </c>
      <c r="V52" s="256">
        <v>70440</v>
      </c>
      <c r="W52" s="256">
        <v>70440</v>
      </c>
      <c r="X52" s="256">
        <v>70440</v>
      </c>
      <c r="Y52" s="256">
        <v>70440</v>
      </c>
      <c r="Z52" s="256">
        <v>70440</v>
      </c>
      <c r="AA52" s="256">
        <v>70440</v>
      </c>
      <c r="AB52" s="256">
        <v>70440</v>
      </c>
      <c r="AC52" s="256">
        <v>70440</v>
      </c>
      <c r="AD52" s="256">
        <v>70440</v>
      </c>
      <c r="AE52" s="256">
        <v>70440</v>
      </c>
      <c r="AF52" s="256">
        <v>70440</v>
      </c>
      <c r="AG52" s="256">
        <v>70440</v>
      </c>
      <c r="AH52" s="256">
        <v>70440</v>
      </c>
      <c r="AI52" s="256">
        <v>70440</v>
      </c>
      <c r="AJ52" s="256">
        <v>70440</v>
      </c>
      <c r="AK52" s="256">
        <v>70440</v>
      </c>
      <c r="AL52" s="256">
        <v>70440</v>
      </c>
      <c r="AM52" s="256">
        <v>70440</v>
      </c>
      <c r="AN52" s="256">
        <v>70440</v>
      </c>
      <c r="AO52" s="256">
        <v>70440</v>
      </c>
      <c r="AP52" s="256">
        <v>70440</v>
      </c>
      <c r="AQ52" s="256">
        <v>70440</v>
      </c>
      <c r="AR52" s="256">
        <v>70440</v>
      </c>
      <c r="AS52" s="256">
        <v>70440</v>
      </c>
      <c r="AT52" s="256">
        <v>35220</v>
      </c>
      <c r="AU52" s="256">
        <v>0</v>
      </c>
      <c r="AV52" s="256">
        <v>0</v>
      </c>
      <c r="AW52" s="256"/>
      <c r="AX52" s="256"/>
      <c r="AY52" s="259">
        <f t="shared" si="4"/>
        <v>1866660</v>
      </c>
      <c r="AZ52" s="232">
        <f t="shared" si="0"/>
        <v>0</v>
      </c>
      <c r="BA52" s="258">
        <f t="shared" si="1"/>
        <v>1373580</v>
      </c>
      <c r="BB52" s="259">
        <f t="shared" si="5"/>
        <v>1866660</v>
      </c>
      <c r="BD52" s="248" t="b">
        <f t="shared" si="2"/>
        <v>1</v>
      </c>
      <c r="BE52" s="260">
        <f>BB52-K52-R52</f>
        <v>0</v>
      </c>
    </row>
    <row r="53" spans="1:57" hidden="1" outlineLevel="1" x14ac:dyDescent="0.25">
      <c r="B53" s="261" t="s">
        <v>789</v>
      </c>
      <c r="C53" s="261"/>
      <c r="D53" s="272" t="s">
        <v>891</v>
      </c>
      <c r="E53" s="262"/>
      <c r="F53" s="261"/>
      <c r="G53" s="261"/>
      <c r="H53" s="261"/>
      <c r="I53" s="261"/>
      <c r="J53" s="263"/>
      <c r="K53" s="263"/>
      <c r="L53" s="263" t="s">
        <v>892</v>
      </c>
      <c r="M53" s="263"/>
      <c r="N53" s="264">
        <f t="shared" si="6"/>
        <v>4.1890000000000001</v>
      </c>
      <c r="O53" s="264">
        <v>4.1890000000000001</v>
      </c>
      <c r="P53" s="264">
        <f>$P$4</f>
        <v>0</v>
      </c>
      <c r="Q53" s="264" t="s">
        <v>751</v>
      </c>
      <c r="R53" s="265">
        <v>13112.92</v>
      </c>
      <c r="S53" s="265">
        <v>18414.689999999999</v>
      </c>
      <c r="T53" s="266">
        <f t="shared" si="3"/>
        <v>31527.61</v>
      </c>
      <c r="U53" s="266">
        <f>SUM(U52:$AV52)*$N53/100</f>
        <v>75243.655800000008</v>
      </c>
      <c r="V53" s="266">
        <f>SUM(V52:$AV52)*$N53/100</f>
        <v>72292.924199999994</v>
      </c>
      <c r="W53" s="266">
        <f>SUM(W52:$AV52)*$N53/100</f>
        <v>69342.192599999995</v>
      </c>
      <c r="X53" s="266">
        <f>SUM(X52:$AV52)*$N53/100</f>
        <v>66391.460999999996</v>
      </c>
      <c r="Y53" s="266">
        <f>SUM(Y52:$AV52)*$N53/100</f>
        <v>63440.729400000004</v>
      </c>
      <c r="Z53" s="266">
        <f>SUM(Z52:$AV52)*$N53/100</f>
        <v>60489.997800000005</v>
      </c>
      <c r="AA53" s="266">
        <f>SUM(AA52:$AV52)*$N53/100</f>
        <v>57539.266199999998</v>
      </c>
      <c r="AB53" s="266">
        <f>SUM(AB52:$AV52)*$N53/100</f>
        <v>54588.534599999999</v>
      </c>
      <c r="AC53" s="266">
        <f>SUM(AC52:$AV52)*$N53/100</f>
        <v>51637.803</v>
      </c>
      <c r="AD53" s="266">
        <f>SUM(AD52:$AV52)*$N53/100</f>
        <v>48687.071399999993</v>
      </c>
      <c r="AE53" s="266">
        <f>SUM(AE52:$AV52)*$N53/100</f>
        <v>45736.339800000002</v>
      </c>
      <c r="AF53" s="266">
        <f>SUM(AF52:$AV52)*$N53/100</f>
        <v>42785.608200000002</v>
      </c>
      <c r="AG53" s="266">
        <f>SUM(AG52:$AV52)*$N53/100</f>
        <v>39834.876600000003</v>
      </c>
      <c r="AH53" s="266">
        <f>SUM(AH52:$AV52)*$N53/100</f>
        <v>36884.144999999997</v>
      </c>
      <c r="AI53" s="266">
        <f>SUM(AI52:$AV52)*$N53/100</f>
        <v>33933.413399999998</v>
      </c>
      <c r="AJ53" s="266">
        <f>SUM(AJ52:$AV52)*$N53/100</f>
        <v>30982.681800000002</v>
      </c>
      <c r="AK53" s="266">
        <f>SUM(AK52:$AV52)*$N53/100</f>
        <v>28031.950199999999</v>
      </c>
      <c r="AL53" s="266">
        <f>SUM(AL52:$AV52)*$N53/100</f>
        <v>25081.2186</v>
      </c>
      <c r="AM53" s="266">
        <f>SUM(AM52:$AV52)*$N53/100</f>
        <v>22130.487000000001</v>
      </c>
      <c r="AN53" s="266">
        <f>SUM(AN52:$AV52)*$N53/100</f>
        <v>19179.755400000002</v>
      </c>
      <c r="AO53" s="266">
        <f>SUM(AO52:$AV52)*$N53/100</f>
        <v>16229.023800000001</v>
      </c>
      <c r="AP53" s="266">
        <f>SUM(AP52:$AV52)*$N53/100</f>
        <v>13278.2922</v>
      </c>
      <c r="AQ53" s="266">
        <f>SUM(AQ52:$AV52)*$N53/100</f>
        <v>10327.560600000001</v>
      </c>
      <c r="AR53" s="266">
        <f>SUM(AR52:$AV52)*$N53/100</f>
        <v>7376.8290000000006</v>
      </c>
      <c r="AS53" s="266">
        <f>SUM(AS52:$AV52)*$N53/100</f>
        <v>4426.0973999999997</v>
      </c>
      <c r="AT53" s="266">
        <f>SUM(AT52:$AV52)*$N53/100</f>
        <v>1475.3658000000003</v>
      </c>
      <c r="AU53" s="266">
        <v>0</v>
      </c>
      <c r="AV53" s="266">
        <v>0</v>
      </c>
      <c r="AW53" s="266"/>
      <c r="AX53" s="266"/>
      <c r="AY53" s="269">
        <f t="shared" si="4"/>
        <v>1028874.8907999999</v>
      </c>
      <c r="AZ53" s="232">
        <f t="shared" si="0"/>
        <v>0</v>
      </c>
      <c r="BA53" s="268">
        <f t="shared" si="1"/>
        <v>590146.32000000007</v>
      </c>
      <c r="BB53" s="269">
        <f t="shared" si="5"/>
        <v>1028874.8908000002</v>
      </c>
      <c r="BD53" s="248" t="b">
        <f t="shared" si="2"/>
        <v>1</v>
      </c>
    </row>
    <row r="54" spans="1:57" s="248" customFormat="1" hidden="1" outlineLevel="1" x14ac:dyDescent="0.25">
      <c r="B54" s="249" t="s">
        <v>742</v>
      </c>
      <c r="C54" s="249">
        <v>25</v>
      </c>
      <c r="D54" s="249" t="s">
        <v>893</v>
      </c>
      <c r="E54" s="250" t="s">
        <v>894</v>
      </c>
      <c r="F54" s="249" t="s">
        <v>895</v>
      </c>
      <c r="G54" s="251" t="s">
        <v>896</v>
      </c>
      <c r="H54" s="251" t="s">
        <v>897</v>
      </c>
      <c r="I54" s="251" t="s">
        <v>748</v>
      </c>
      <c r="J54" s="252">
        <v>531484</v>
      </c>
      <c r="K54" s="253">
        <v>412380</v>
      </c>
      <c r="L54" s="253"/>
      <c r="M54" s="253"/>
      <c r="N54" s="254"/>
      <c r="O54" s="254">
        <v>2.4700000000000002</v>
      </c>
      <c r="P54" s="254"/>
      <c r="Q54" s="254" t="s">
        <v>749</v>
      </c>
      <c r="R54" s="255">
        <v>18328</v>
      </c>
      <c r="S54" s="255">
        <v>18328</v>
      </c>
      <c r="T54" s="256">
        <f t="shared" si="3"/>
        <v>36656</v>
      </c>
      <c r="U54" s="256">
        <v>36656</v>
      </c>
      <c r="V54" s="256">
        <v>36656</v>
      </c>
      <c r="W54" s="256">
        <v>36656</v>
      </c>
      <c r="X54" s="256">
        <v>36656</v>
      </c>
      <c r="Y54" s="256">
        <v>36656</v>
      </c>
      <c r="Z54" s="256">
        <v>36656</v>
      </c>
      <c r="AA54" s="256">
        <v>36656</v>
      </c>
      <c r="AB54" s="256">
        <v>36656</v>
      </c>
      <c r="AC54" s="256">
        <v>36656</v>
      </c>
      <c r="AD54" s="256">
        <v>36656</v>
      </c>
      <c r="AE54" s="256">
        <v>27492</v>
      </c>
      <c r="AF54" s="256">
        <v>0</v>
      </c>
      <c r="AG54" s="256">
        <v>0</v>
      </c>
      <c r="AH54" s="256">
        <v>0</v>
      </c>
      <c r="AI54" s="256">
        <v>0</v>
      </c>
      <c r="AJ54" s="256">
        <v>0</v>
      </c>
      <c r="AK54" s="256">
        <v>0</v>
      </c>
      <c r="AL54" s="256">
        <v>0</v>
      </c>
      <c r="AM54" s="256">
        <v>0</v>
      </c>
      <c r="AN54" s="256">
        <v>0</v>
      </c>
      <c r="AO54" s="256">
        <v>0</v>
      </c>
      <c r="AP54" s="256">
        <v>0</v>
      </c>
      <c r="AQ54" s="256">
        <v>0</v>
      </c>
      <c r="AR54" s="256">
        <v>0</v>
      </c>
      <c r="AS54" s="256">
        <v>0</v>
      </c>
      <c r="AT54" s="256">
        <v>0</v>
      </c>
      <c r="AU54" s="256">
        <v>0</v>
      </c>
      <c r="AV54" s="256">
        <v>0</v>
      </c>
      <c r="AW54" s="256"/>
      <c r="AX54" s="256"/>
      <c r="AY54" s="257">
        <f t="shared" si="4"/>
        <v>430708</v>
      </c>
      <c r="AZ54" s="232">
        <f t="shared" si="0"/>
        <v>0</v>
      </c>
      <c r="BA54" s="258">
        <f t="shared" si="1"/>
        <v>174116</v>
      </c>
      <c r="BB54" s="259">
        <f t="shared" si="5"/>
        <v>430708</v>
      </c>
      <c r="BD54" s="248" t="b">
        <f t="shared" si="2"/>
        <v>1</v>
      </c>
      <c r="BE54" s="260">
        <f>BB54-K54-R54</f>
        <v>0</v>
      </c>
    </row>
    <row r="55" spans="1:57" hidden="1" outlineLevel="1" x14ac:dyDescent="0.25">
      <c r="B55" s="261" t="s">
        <v>742</v>
      </c>
      <c r="C55" s="261"/>
      <c r="D55" s="261"/>
      <c r="E55" s="262"/>
      <c r="F55" s="261"/>
      <c r="G55" s="261"/>
      <c r="H55" s="261"/>
      <c r="I55" s="261"/>
      <c r="J55" s="263"/>
      <c r="K55" s="263"/>
      <c r="L55" s="263" t="s">
        <v>898</v>
      </c>
      <c r="M55" s="263"/>
      <c r="N55" s="264">
        <f t="shared" si="6"/>
        <v>4.1500000000000004</v>
      </c>
      <c r="O55" s="271">
        <v>4.1500000000000004</v>
      </c>
      <c r="P55" s="264">
        <f>$P$4</f>
        <v>0</v>
      </c>
      <c r="Q55" s="264" t="s">
        <v>751</v>
      </c>
      <c r="R55" s="265">
        <v>7834.89</v>
      </c>
      <c r="S55" s="265">
        <v>2596.12</v>
      </c>
      <c r="T55" s="266">
        <f t="shared" si="3"/>
        <v>10431.01</v>
      </c>
      <c r="U55" s="266">
        <f>SUM(U54:$AV54)*$N55/100</f>
        <v>16353.158000000001</v>
      </c>
      <c r="V55" s="266">
        <f>SUM(V54:$AV54)*$N55/100</f>
        <v>14831.934000000001</v>
      </c>
      <c r="W55" s="266">
        <f>SUM(W54:$AV54)*$N55/100</f>
        <v>13310.71</v>
      </c>
      <c r="X55" s="266">
        <f>SUM(X54:$AV54)*$N55/100</f>
        <v>11789.486000000001</v>
      </c>
      <c r="Y55" s="266">
        <f>SUM(Y54:$AV54)*$N55/100</f>
        <v>10268.262000000001</v>
      </c>
      <c r="Z55" s="266">
        <f>SUM(Z54:$AV54)*$N55/100</f>
        <v>8747.0380000000005</v>
      </c>
      <c r="AA55" s="266">
        <f>SUM(AA54:$AV54)*$N55/100</f>
        <v>7225.8140000000003</v>
      </c>
      <c r="AB55" s="266">
        <f>SUM(AB54:$AV54)*$N55/100</f>
        <v>5704.59</v>
      </c>
      <c r="AC55" s="266">
        <f>SUM(AC54:$AV54)*$N55/100</f>
        <v>4183.366</v>
      </c>
      <c r="AD55" s="266">
        <f>SUM(AD54:$AV54)*$N55/100</f>
        <v>2662.1420000000003</v>
      </c>
      <c r="AE55" s="266">
        <f>SUM(AE54:$AV54)*$N55/100</f>
        <v>1140.9180000000001</v>
      </c>
      <c r="AF55" s="266">
        <v>0</v>
      </c>
      <c r="AG55" s="266">
        <v>0</v>
      </c>
      <c r="AH55" s="266">
        <v>0</v>
      </c>
      <c r="AI55" s="266">
        <v>0</v>
      </c>
      <c r="AJ55" s="266">
        <v>0</v>
      </c>
      <c r="AK55" s="266">
        <v>0</v>
      </c>
      <c r="AL55" s="266">
        <v>0</v>
      </c>
      <c r="AM55" s="266">
        <v>0</v>
      </c>
      <c r="AN55" s="266">
        <v>0</v>
      </c>
      <c r="AO55" s="266">
        <v>0</v>
      </c>
      <c r="AP55" s="266">
        <v>0</v>
      </c>
      <c r="AQ55" s="266">
        <v>0</v>
      </c>
      <c r="AR55" s="266">
        <v>0</v>
      </c>
      <c r="AS55" s="266">
        <v>0</v>
      </c>
      <c r="AT55" s="266">
        <v>0</v>
      </c>
      <c r="AU55" s="266">
        <v>0</v>
      </c>
      <c r="AV55" s="266">
        <v>0</v>
      </c>
      <c r="AW55" s="266"/>
      <c r="AX55" s="266"/>
      <c r="AY55" s="267">
        <f t="shared" si="4"/>
        <v>106648.428</v>
      </c>
      <c r="AZ55" s="232">
        <f t="shared" si="0"/>
        <v>0</v>
      </c>
      <c r="BA55" s="268">
        <f t="shared" si="1"/>
        <v>20916.830000000002</v>
      </c>
      <c r="BB55" s="269">
        <f t="shared" si="5"/>
        <v>106648.428</v>
      </c>
      <c r="BD55" s="248" t="b">
        <f t="shared" si="2"/>
        <v>1</v>
      </c>
    </row>
    <row r="56" spans="1:57" s="248" customFormat="1" hidden="1" outlineLevel="1" x14ac:dyDescent="0.25">
      <c r="B56" s="249" t="s">
        <v>789</v>
      </c>
      <c r="C56" s="249">
        <v>26</v>
      </c>
      <c r="D56" s="249" t="s">
        <v>899</v>
      </c>
      <c r="E56" s="250" t="s">
        <v>900</v>
      </c>
      <c r="F56" s="249" t="s">
        <v>901</v>
      </c>
      <c r="G56" s="251" t="s">
        <v>902</v>
      </c>
      <c r="H56" s="251" t="s">
        <v>903</v>
      </c>
      <c r="I56" s="251" t="s">
        <v>748</v>
      </c>
      <c r="J56" s="252">
        <v>583938.46</v>
      </c>
      <c r="K56" s="253">
        <v>520872</v>
      </c>
      <c r="L56" s="253"/>
      <c r="M56" s="253"/>
      <c r="N56" s="254"/>
      <c r="O56" s="254">
        <v>2.8109999999999999</v>
      </c>
      <c r="P56" s="254"/>
      <c r="Q56" s="254" t="s">
        <v>749</v>
      </c>
      <c r="R56" s="255">
        <v>15784</v>
      </c>
      <c r="S56" s="255">
        <v>15784</v>
      </c>
      <c r="T56" s="256">
        <f t="shared" si="3"/>
        <v>31568</v>
      </c>
      <c r="U56" s="256">
        <v>31568</v>
      </c>
      <c r="V56" s="256">
        <v>31568</v>
      </c>
      <c r="W56" s="256">
        <v>31568</v>
      </c>
      <c r="X56" s="256">
        <v>31568</v>
      </c>
      <c r="Y56" s="256">
        <v>31568</v>
      </c>
      <c r="Z56" s="256">
        <v>31568</v>
      </c>
      <c r="AA56" s="256">
        <v>31568</v>
      </c>
      <c r="AB56" s="256">
        <v>31568</v>
      </c>
      <c r="AC56" s="256">
        <v>31568</v>
      </c>
      <c r="AD56" s="256">
        <v>31568</v>
      </c>
      <c r="AE56" s="256">
        <v>31568</v>
      </c>
      <c r="AF56" s="256">
        <v>31568</v>
      </c>
      <c r="AG56" s="256">
        <v>31568</v>
      </c>
      <c r="AH56" s="256">
        <v>31568</v>
      </c>
      <c r="AI56" s="256">
        <v>31568</v>
      </c>
      <c r="AJ56" s="256">
        <v>31568</v>
      </c>
      <c r="AK56" s="256">
        <v>0</v>
      </c>
      <c r="AL56" s="256">
        <v>0</v>
      </c>
      <c r="AM56" s="256">
        <v>0</v>
      </c>
      <c r="AN56" s="256">
        <v>0</v>
      </c>
      <c r="AO56" s="256">
        <v>0</v>
      </c>
      <c r="AP56" s="256">
        <v>0</v>
      </c>
      <c r="AQ56" s="256">
        <v>0</v>
      </c>
      <c r="AR56" s="256">
        <v>0</v>
      </c>
      <c r="AS56" s="256">
        <v>0</v>
      </c>
      <c r="AT56" s="256">
        <v>0</v>
      </c>
      <c r="AU56" s="256">
        <v>0</v>
      </c>
      <c r="AV56" s="256">
        <v>0</v>
      </c>
      <c r="AW56" s="256"/>
      <c r="AX56" s="256"/>
      <c r="AY56" s="259">
        <f t="shared" si="4"/>
        <v>536656</v>
      </c>
      <c r="AZ56" s="232">
        <f t="shared" si="0"/>
        <v>0</v>
      </c>
      <c r="BA56" s="258">
        <f t="shared" si="1"/>
        <v>315680</v>
      </c>
      <c r="BB56" s="259">
        <f t="shared" si="5"/>
        <v>536656</v>
      </c>
      <c r="BD56" s="248" t="b">
        <f t="shared" si="2"/>
        <v>1</v>
      </c>
      <c r="BE56" s="260">
        <f>BB56-K56-R56</f>
        <v>0</v>
      </c>
    </row>
    <row r="57" spans="1:57" hidden="1" outlineLevel="1" x14ac:dyDescent="0.25">
      <c r="B57" s="261" t="s">
        <v>789</v>
      </c>
      <c r="C57" s="261"/>
      <c r="D57" s="261"/>
      <c r="E57" s="262"/>
      <c r="F57" s="261"/>
      <c r="G57" s="261"/>
      <c r="H57" s="261"/>
      <c r="I57" s="261"/>
      <c r="J57" s="263"/>
      <c r="K57" s="263"/>
      <c r="L57" s="263" t="s">
        <v>904</v>
      </c>
      <c r="M57" s="263"/>
      <c r="N57" s="264">
        <f t="shared" si="6"/>
        <v>4.1500000000000004</v>
      </c>
      <c r="O57" s="271">
        <v>4.1500000000000004</v>
      </c>
      <c r="P57" s="264">
        <f>$P$4</f>
        <v>0</v>
      </c>
      <c r="Q57" s="264" t="s">
        <v>751</v>
      </c>
      <c r="R57" s="265">
        <v>8612.48</v>
      </c>
      <c r="S57" s="265">
        <v>3735</v>
      </c>
      <c r="T57" s="266">
        <f t="shared" si="3"/>
        <v>12347.48</v>
      </c>
      <c r="U57" s="266">
        <f>SUM(U56:$AV56)*$N57/100</f>
        <v>20961.152000000002</v>
      </c>
      <c r="V57" s="266">
        <f>SUM(V56:$AV56)*$N57/100</f>
        <v>19651.080000000002</v>
      </c>
      <c r="W57" s="266">
        <f>SUM(W56:$AV56)*$N57/100</f>
        <v>18341.008000000002</v>
      </c>
      <c r="X57" s="266">
        <f>SUM(X56:$AV56)*$N57/100</f>
        <v>17030.936000000002</v>
      </c>
      <c r="Y57" s="266">
        <f>SUM(Y56:$AV56)*$N57/100</f>
        <v>15720.864000000001</v>
      </c>
      <c r="Z57" s="266">
        <f>SUM(Z56:$AV56)*$N57/100</f>
        <v>14410.792000000001</v>
      </c>
      <c r="AA57" s="266">
        <f>SUM(AA56:$AV56)*$N57/100</f>
        <v>13100.72</v>
      </c>
      <c r="AB57" s="266">
        <f>SUM(AB56:$AV56)*$N57/100</f>
        <v>11790.648000000001</v>
      </c>
      <c r="AC57" s="266">
        <f>SUM(AC56:$AV56)*$N57/100</f>
        <v>10480.576000000001</v>
      </c>
      <c r="AD57" s="266">
        <f>SUM(AD56:$AV56)*$N57/100</f>
        <v>9170.5040000000008</v>
      </c>
      <c r="AE57" s="266">
        <f>SUM(AE56:$AV56)*$N57/100</f>
        <v>7860.4320000000007</v>
      </c>
      <c r="AF57" s="266">
        <f>SUM(AF56:$AV56)*$N57/100</f>
        <v>6550.36</v>
      </c>
      <c r="AG57" s="266">
        <f>SUM(AG56:$AV56)*$N57/100</f>
        <v>5240.2880000000005</v>
      </c>
      <c r="AH57" s="266">
        <f>SUM(AH56:$AV56)*$N57/100</f>
        <v>3930.2160000000003</v>
      </c>
      <c r="AI57" s="266">
        <f>SUM(AI56:$AV56)*$N57/100</f>
        <v>2620.1440000000002</v>
      </c>
      <c r="AJ57" s="266">
        <f>SUM(AJ56:$AV56)*$N57/100</f>
        <v>1310.0720000000001</v>
      </c>
      <c r="AK57" s="266">
        <v>0</v>
      </c>
      <c r="AL57" s="266">
        <v>0</v>
      </c>
      <c r="AM57" s="266">
        <v>0</v>
      </c>
      <c r="AN57" s="266">
        <v>0</v>
      </c>
      <c r="AO57" s="266">
        <v>0</v>
      </c>
      <c r="AP57" s="266">
        <v>0</v>
      </c>
      <c r="AQ57" s="266">
        <v>0</v>
      </c>
      <c r="AR57" s="266">
        <v>0</v>
      </c>
      <c r="AS57" s="266">
        <v>0</v>
      </c>
      <c r="AT57" s="266">
        <v>0</v>
      </c>
      <c r="AU57" s="266">
        <v>0</v>
      </c>
      <c r="AV57" s="266">
        <v>0</v>
      </c>
      <c r="AW57" s="266"/>
      <c r="AX57" s="266"/>
      <c r="AY57" s="269">
        <f t="shared" si="4"/>
        <v>190517.272</v>
      </c>
      <c r="AZ57" s="232">
        <f t="shared" si="0"/>
        <v>0</v>
      </c>
      <c r="BA57" s="268">
        <f t="shared" si="1"/>
        <v>72053.960000000006</v>
      </c>
      <c r="BB57" s="269">
        <f t="shared" si="5"/>
        <v>190517.272</v>
      </c>
      <c r="BD57" s="248" t="b">
        <f t="shared" si="2"/>
        <v>1</v>
      </c>
    </row>
    <row r="58" spans="1:57" s="248" customFormat="1" hidden="1" outlineLevel="1" x14ac:dyDescent="0.25">
      <c r="B58" s="249" t="s">
        <v>742</v>
      </c>
      <c r="C58" s="249">
        <v>27</v>
      </c>
      <c r="D58" s="249" t="s">
        <v>905</v>
      </c>
      <c r="E58" s="250" t="s">
        <v>906</v>
      </c>
      <c r="F58" s="249" t="s">
        <v>907</v>
      </c>
      <c r="G58" s="251" t="s">
        <v>908</v>
      </c>
      <c r="H58" s="251" t="s">
        <v>909</v>
      </c>
      <c r="I58" s="251" t="s">
        <v>748</v>
      </c>
      <c r="J58" s="252">
        <v>2556845.52</v>
      </c>
      <c r="K58" s="253">
        <v>2388377.52</v>
      </c>
      <c r="L58" s="253"/>
      <c r="M58" s="253"/>
      <c r="N58" s="254"/>
      <c r="O58" s="254"/>
      <c r="P58" s="254"/>
      <c r="Q58" s="254" t="s">
        <v>749</v>
      </c>
      <c r="R58" s="255">
        <v>48158</v>
      </c>
      <c r="S58" s="255">
        <v>48158</v>
      </c>
      <c r="T58" s="256">
        <f>SUM(R58:S58)+12930</f>
        <v>109246</v>
      </c>
      <c r="U58" s="256">
        <v>96316</v>
      </c>
      <c r="V58" s="256">
        <v>96316</v>
      </c>
      <c r="W58" s="256">
        <v>96316</v>
      </c>
      <c r="X58" s="256">
        <v>96316</v>
      </c>
      <c r="Y58" s="256">
        <v>96316</v>
      </c>
      <c r="Z58" s="256">
        <v>96316</v>
      </c>
      <c r="AA58" s="256">
        <v>96316</v>
      </c>
      <c r="AB58" s="256">
        <v>96316</v>
      </c>
      <c r="AC58" s="256">
        <v>96316</v>
      </c>
      <c r="AD58" s="256">
        <v>96316</v>
      </c>
      <c r="AE58" s="256">
        <v>96316</v>
      </c>
      <c r="AF58" s="256">
        <v>96316</v>
      </c>
      <c r="AG58" s="256">
        <v>96316</v>
      </c>
      <c r="AH58" s="256">
        <v>96316</v>
      </c>
      <c r="AI58" s="256">
        <v>96316</v>
      </c>
      <c r="AJ58" s="256">
        <v>96316</v>
      </c>
      <c r="AK58" s="256">
        <v>96316</v>
      </c>
      <c r="AL58" s="256">
        <v>96316</v>
      </c>
      <c r="AM58" s="256">
        <v>96316</v>
      </c>
      <c r="AN58" s="256">
        <v>96316</v>
      </c>
      <c r="AO58" s="256">
        <v>96316</v>
      </c>
      <c r="AP58" s="256">
        <v>96316</v>
      </c>
      <c r="AQ58" s="256">
        <v>96316</v>
      </c>
      <c r="AR58" s="256">
        <v>96316</v>
      </c>
      <c r="AS58" s="256">
        <v>28635.52</v>
      </c>
      <c r="AT58" s="256">
        <v>0</v>
      </c>
      <c r="AU58" s="256">
        <v>0</v>
      </c>
      <c r="AV58" s="256">
        <v>0</v>
      </c>
      <c r="AW58" s="256"/>
      <c r="AX58" s="256"/>
      <c r="AY58" s="259">
        <f t="shared" si="4"/>
        <v>2449465.52</v>
      </c>
      <c r="AZ58" s="232">
        <f t="shared" si="0"/>
        <v>0</v>
      </c>
      <c r="BA58" s="258">
        <f t="shared" si="1"/>
        <v>1762323.52</v>
      </c>
      <c r="BB58" s="259">
        <f t="shared" si="5"/>
        <v>2449465.52</v>
      </c>
      <c r="BD58" s="248" t="b">
        <f t="shared" si="2"/>
        <v>1</v>
      </c>
      <c r="BE58" s="260">
        <f>BB58-K58-R58</f>
        <v>12930</v>
      </c>
    </row>
    <row r="59" spans="1:57" hidden="1" outlineLevel="1" x14ac:dyDescent="0.25">
      <c r="B59" s="261" t="s">
        <v>742</v>
      </c>
      <c r="C59" s="261"/>
      <c r="D59" s="261"/>
      <c r="E59" s="262"/>
      <c r="F59" s="261"/>
      <c r="G59" s="261"/>
      <c r="H59" s="261"/>
      <c r="I59" s="261"/>
      <c r="J59" s="263"/>
      <c r="K59" s="263"/>
      <c r="L59" s="263" t="s">
        <v>910</v>
      </c>
      <c r="M59" s="263"/>
      <c r="N59" s="264">
        <f t="shared" si="6"/>
        <v>6.0229999999999997</v>
      </c>
      <c r="O59" s="264">
        <v>6.0229999999999997</v>
      </c>
      <c r="P59" s="264">
        <f>$P$4</f>
        <v>0</v>
      </c>
      <c r="Q59" s="264" t="s">
        <v>751</v>
      </c>
      <c r="R59" s="265">
        <v>57579.95</v>
      </c>
      <c r="S59" s="265">
        <v>36717.86</v>
      </c>
      <c r="T59" s="266">
        <f t="shared" si="3"/>
        <v>94297.81</v>
      </c>
      <c r="U59" s="266">
        <f>SUM(U58:$AV58)*$N59/100</f>
        <v>140951.42168959999</v>
      </c>
      <c r="V59" s="266">
        <f>SUM(V58:$AV58)*$N59/100</f>
        <v>135150.30900959999</v>
      </c>
      <c r="W59" s="266">
        <f>SUM(W58:$AV58)*$N59/100</f>
        <v>129349.19632959999</v>
      </c>
      <c r="X59" s="266">
        <f>SUM(X58:$AV58)*$N59/100</f>
        <v>123548.0836496</v>
      </c>
      <c r="Y59" s="266">
        <f>SUM(Y58:$AV58)*$N59/100</f>
        <v>117746.97096959999</v>
      </c>
      <c r="Z59" s="266">
        <f>SUM(Z58:$AV58)*$N59/100</f>
        <v>111945.8582896</v>
      </c>
      <c r="AA59" s="266">
        <f>SUM(AA58:$AV58)*$N59/100</f>
        <v>106144.74560960001</v>
      </c>
      <c r="AB59" s="266">
        <f>SUM(AB58:$AV58)*$N59/100</f>
        <v>100343.63292959999</v>
      </c>
      <c r="AC59" s="266">
        <f>SUM(AC58:$AV58)*$N59/100</f>
        <v>94542.520249599998</v>
      </c>
      <c r="AD59" s="266">
        <f>SUM(AD58:$AV58)*$N59/100</f>
        <v>88741.407569599993</v>
      </c>
      <c r="AE59" s="266">
        <f>SUM(AE58:$AV58)*$N59/100</f>
        <v>82940.294889600002</v>
      </c>
      <c r="AF59" s="266">
        <f>SUM(AF58:$AV58)*$N59/100</f>
        <v>77139.182209599996</v>
      </c>
      <c r="AG59" s="266">
        <f>SUM(AG58:$AV58)*$N59/100</f>
        <v>71338.06952959999</v>
      </c>
      <c r="AH59" s="266">
        <f>SUM(AH58:$AV58)*$N59/100</f>
        <v>65536.956849599999</v>
      </c>
      <c r="AI59" s="266">
        <f>SUM(AI58:$AV58)*$N59/100</f>
        <v>59735.844169600001</v>
      </c>
      <c r="AJ59" s="266">
        <f>SUM(AJ58:$AV58)*$N59/100</f>
        <v>53934.731489600003</v>
      </c>
      <c r="AK59" s="266">
        <f>SUM(AK58:$AV58)*$N59/100</f>
        <v>48133.618809599997</v>
      </c>
      <c r="AL59" s="266">
        <f>SUM(AL58:$AV58)*$N59/100</f>
        <v>42332.506129599999</v>
      </c>
      <c r="AM59" s="266">
        <f>SUM(AM58:$AV58)*$N59/100</f>
        <v>36531.3934496</v>
      </c>
      <c r="AN59" s="266">
        <f>SUM(AN58:$AV58)*$N59/100</f>
        <v>30730.280769599998</v>
      </c>
      <c r="AO59" s="266">
        <f>SUM(AO58:$AV58)*$N59/100</f>
        <v>24929.1680896</v>
      </c>
      <c r="AP59" s="266">
        <f>SUM(AP58:$AV58)*$N59/100</f>
        <v>19128.055409599998</v>
      </c>
      <c r="AQ59" s="266">
        <f>SUM(AQ58:$AV58)*$N59/100</f>
        <v>13326.942729599999</v>
      </c>
      <c r="AR59" s="266">
        <f>SUM(AR58:$AV58)*$N59/100</f>
        <v>7525.8300495999993</v>
      </c>
      <c r="AS59" s="266">
        <f>SUM(AS58:$AV58)*$N59/100</f>
        <v>1724.7173695999998</v>
      </c>
      <c r="AT59" s="266">
        <v>0</v>
      </c>
      <c r="AU59" s="266">
        <v>0</v>
      </c>
      <c r="AV59" s="266">
        <v>0</v>
      </c>
      <c r="AW59" s="266"/>
      <c r="AX59" s="266"/>
      <c r="AY59" s="269">
        <f t="shared" si="4"/>
        <v>1877749.5482400001</v>
      </c>
      <c r="AZ59" s="232">
        <f t="shared" si="0"/>
        <v>0</v>
      </c>
      <c r="BA59" s="268">
        <f t="shared" si="1"/>
        <v>1024759.8983024</v>
      </c>
      <c r="BB59" s="269">
        <f t="shared" si="5"/>
        <v>1877749.5482399999</v>
      </c>
      <c r="BD59" s="248" t="b">
        <f t="shared" si="2"/>
        <v>1</v>
      </c>
    </row>
    <row r="60" spans="1:57" s="248" customFormat="1" hidden="1" outlineLevel="1" x14ac:dyDescent="0.25">
      <c r="B60" s="249" t="s">
        <v>742</v>
      </c>
      <c r="C60" s="249">
        <v>28</v>
      </c>
      <c r="D60" s="249" t="s">
        <v>911</v>
      </c>
      <c r="E60" s="250" t="s">
        <v>912</v>
      </c>
      <c r="F60" s="249" t="s">
        <v>913</v>
      </c>
      <c r="G60" s="251" t="s">
        <v>914</v>
      </c>
      <c r="H60" s="251" t="s">
        <v>915</v>
      </c>
      <c r="I60" s="251" t="s">
        <v>748</v>
      </c>
      <c r="J60" s="252">
        <v>1410783</v>
      </c>
      <c r="K60" s="253">
        <v>1059408</v>
      </c>
      <c r="L60" s="253"/>
      <c r="M60" s="253"/>
      <c r="N60" s="254"/>
      <c r="O60" s="254">
        <v>1.589</v>
      </c>
      <c r="P60" s="254"/>
      <c r="Q60" s="254" t="s">
        <v>749</v>
      </c>
      <c r="R60" s="255">
        <v>44142</v>
      </c>
      <c r="S60" s="255">
        <v>44142</v>
      </c>
      <c r="T60" s="256">
        <f t="shared" si="3"/>
        <v>88284</v>
      </c>
      <c r="U60" s="256">
        <v>88284</v>
      </c>
      <c r="V60" s="256">
        <v>88284</v>
      </c>
      <c r="W60" s="256">
        <v>88284</v>
      </c>
      <c r="X60" s="256">
        <v>88284</v>
      </c>
      <c r="Y60" s="256">
        <v>88284</v>
      </c>
      <c r="Z60" s="256">
        <v>88284</v>
      </c>
      <c r="AA60" s="256">
        <v>88284</v>
      </c>
      <c r="AB60" s="256">
        <v>88284</v>
      </c>
      <c r="AC60" s="256">
        <v>88284</v>
      </c>
      <c r="AD60" s="256">
        <v>88284</v>
      </c>
      <c r="AE60" s="256">
        <v>88284</v>
      </c>
      <c r="AF60" s="256">
        <v>44142</v>
      </c>
      <c r="AG60" s="256">
        <v>0</v>
      </c>
      <c r="AH60" s="256">
        <v>0</v>
      </c>
      <c r="AI60" s="256">
        <v>0</v>
      </c>
      <c r="AJ60" s="256">
        <v>0</v>
      </c>
      <c r="AK60" s="256">
        <v>0</v>
      </c>
      <c r="AL60" s="256">
        <v>0</v>
      </c>
      <c r="AM60" s="256">
        <v>0</v>
      </c>
      <c r="AN60" s="256">
        <v>0</v>
      </c>
      <c r="AO60" s="256">
        <v>0</v>
      </c>
      <c r="AP60" s="256">
        <v>0</v>
      </c>
      <c r="AQ60" s="256">
        <v>0</v>
      </c>
      <c r="AR60" s="256">
        <v>0</v>
      </c>
      <c r="AS60" s="256">
        <v>0</v>
      </c>
      <c r="AT60" s="256">
        <v>0</v>
      </c>
      <c r="AU60" s="256">
        <v>0</v>
      </c>
      <c r="AV60" s="256">
        <v>0</v>
      </c>
      <c r="AW60" s="256"/>
      <c r="AX60" s="256"/>
      <c r="AY60" s="257">
        <f t="shared" si="4"/>
        <v>1103550</v>
      </c>
      <c r="AZ60" s="232">
        <f t="shared" si="0"/>
        <v>0</v>
      </c>
      <c r="BA60" s="258">
        <f t="shared" si="1"/>
        <v>485562</v>
      </c>
      <c r="BB60" s="259">
        <f t="shared" si="5"/>
        <v>1103550</v>
      </c>
      <c r="BD60" s="248" t="b">
        <f t="shared" si="2"/>
        <v>1</v>
      </c>
      <c r="BE60" s="260">
        <f>BB60-K60-R60</f>
        <v>0</v>
      </c>
    </row>
    <row r="61" spans="1:57" hidden="1" outlineLevel="1" x14ac:dyDescent="0.25">
      <c r="B61" s="261" t="s">
        <v>742</v>
      </c>
      <c r="C61" s="261"/>
      <c r="D61" s="261"/>
      <c r="E61" s="262"/>
      <c r="F61" s="261"/>
      <c r="G61" s="261"/>
      <c r="H61" s="261"/>
      <c r="I61" s="261"/>
      <c r="J61" s="263"/>
      <c r="K61" s="263"/>
      <c r="L61" s="263" t="s">
        <v>916</v>
      </c>
      <c r="M61" s="263"/>
      <c r="N61" s="264">
        <f t="shared" si="6"/>
        <v>5</v>
      </c>
      <c r="O61" s="271">
        <v>5</v>
      </c>
      <c r="P61" s="264">
        <f>$P$4</f>
        <v>0</v>
      </c>
      <c r="Q61" s="264" t="s">
        <v>751</v>
      </c>
      <c r="R61" s="265">
        <v>13264.55</v>
      </c>
      <c r="S61" s="265">
        <v>12703.22</v>
      </c>
      <c r="T61" s="266">
        <f t="shared" si="3"/>
        <v>25967.769999999997</v>
      </c>
      <c r="U61" s="266">
        <f>SUM(U60:$AV60)*$N61/100</f>
        <v>50763.3</v>
      </c>
      <c r="V61" s="266">
        <f>SUM(V60:$AV60)*$N61/100</f>
        <v>46349.1</v>
      </c>
      <c r="W61" s="266">
        <f>SUM(W60:$AV60)*$N61/100</f>
        <v>41934.9</v>
      </c>
      <c r="X61" s="266">
        <f>SUM(X60:$AV60)*$N61/100</f>
        <v>37520.699999999997</v>
      </c>
      <c r="Y61" s="266">
        <f>SUM(Y60:$AV60)*$N61/100</f>
        <v>33106.5</v>
      </c>
      <c r="Z61" s="266">
        <f>SUM(Z60:$AV60)*$N61/100</f>
        <v>28692.3</v>
      </c>
      <c r="AA61" s="266">
        <f>SUM(AA60:$AV60)*$N61/100</f>
        <v>24278.1</v>
      </c>
      <c r="AB61" s="266">
        <f>SUM(AB60:$AV60)*$N61/100</f>
        <v>19863.900000000001</v>
      </c>
      <c r="AC61" s="266">
        <f>SUM(AC60:$AV60)*$N61/100</f>
        <v>15449.7</v>
      </c>
      <c r="AD61" s="266">
        <f>SUM(AD60:$AV60)*$N61/100</f>
        <v>11035.5</v>
      </c>
      <c r="AE61" s="266">
        <f>SUM(AE60:$AV60)*$N61/100</f>
        <v>6621.3</v>
      </c>
      <c r="AF61" s="266">
        <f>SUM(AF60:$AV60)*$N61/100</f>
        <v>2207.1</v>
      </c>
      <c r="AG61" s="266">
        <v>0</v>
      </c>
      <c r="AH61" s="266">
        <v>0</v>
      </c>
      <c r="AI61" s="266">
        <v>0</v>
      </c>
      <c r="AJ61" s="266">
        <v>0</v>
      </c>
      <c r="AK61" s="266">
        <v>0</v>
      </c>
      <c r="AL61" s="266">
        <v>0</v>
      </c>
      <c r="AM61" s="266">
        <v>0</v>
      </c>
      <c r="AN61" s="266">
        <v>0</v>
      </c>
      <c r="AO61" s="266">
        <v>0</v>
      </c>
      <c r="AP61" s="266">
        <v>0</v>
      </c>
      <c r="AQ61" s="266">
        <v>0</v>
      </c>
      <c r="AR61" s="266">
        <v>0</v>
      </c>
      <c r="AS61" s="266">
        <v>0</v>
      </c>
      <c r="AT61" s="266">
        <v>0</v>
      </c>
      <c r="AU61" s="266">
        <v>0</v>
      </c>
      <c r="AV61" s="266">
        <v>0</v>
      </c>
      <c r="AW61" s="266"/>
      <c r="AX61" s="266"/>
      <c r="AY61" s="267">
        <f t="shared" si="4"/>
        <v>343790.17</v>
      </c>
      <c r="AZ61" s="232">
        <f t="shared" si="0"/>
        <v>0</v>
      </c>
      <c r="BA61" s="268">
        <f t="shared" si="1"/>
        <v>79455.600000000006</v>
      </c>
      <c r="BB61" s="269">
        <f t="shared" si="5"/>
        <v>343790.17000000004</v>
      </c>
      <c r="BD61" s="248" t="b">
        <f t="shared" si="2"/>
        <v>1</v>
      </c>
    </row>
    <row r="62" spans="1:57" s="248" customFormat="1" hidden="1" outlineLevel="1" x14ac:dyDescent="0.25">
      <c r="A62" s="248" t="s">
        <v>758</v>
      </c>
      <c r="B62" s="249" t="s">
        <v>789</v>
      </c>
      <c r="C62" s="249">
        <v>29</v>
      </c>
      <c r="D62" s="249" t="s">
        <v>917</v>
      </c>
      <c r="E62" s="250" t="s">
        <v>918</v>
      </c>
      <c r="F62" s="249" t="s">
        <v>919</v>
      </c>
      <c r="G62" s="251" t="s">
        <v>920</v>
      </c>
      <c r="H62" s="251" t="s">
        <v>921</v>
      </c>
      <c r="I62" s="251" t="s">
        <v>748</v>
      </c>
      <c r="J62" s="252">
        <v>824810</v>
      </c>
      <c r="K62" s="253">
        <v>809979</v>
      </c>
      <c r="L62" s="253"/>
      <c r="M62" s="253"/>
      <c r="N62" s="254"/>
      <c r="O62" s="254">
        <v>3.4710000000000001</v>
      </c>
      <c r="P62" s="254"/>
      <c r="Q62" s="254" t="s">
        <v>749</v>
      </c>
      <c r="R62" s="255">
        <v>14831</v>
      </c>
      <c r="S62" s="255">
        <v>14862</v>
      </c>
      <c r="T62" s="256">
        <f t="shared" si="3"/>
        <v>29693</v>
      </c>
      <c r="U62" s="256">
        <v>29724</v>
      </c>
      <c r="V62" s="256">
        <v>29724</v>
      </c>
      <c r="W62" s="256">
        <v>29724</v>
      </c>
      <c r="X62" s="256">
        <v>29724</v>
      </c>
      <c r="Y62" s="256">
        <v>29724</v>
      </c>
      <c r="Z62" s="256">
        <v>29724</v>
      </c>
      <c r="AA62" s="256">
        <v>29724</v>
      </c>
      <c r="AB62" s="256">
        <v>29724</v>
      </c>
      <c r="AC62" s="256">
        <v>29724</v>
      </c>
      <c r="AD62" s="256">
        <v>29724</v>
      </c>
      <c r="AE62" s="256">
        <v>29724</v>
      </c>
      <c r="AF62" s="256">
        <v>29724</v>
      </c>
      <c r="AG62" s="256">
        <v>29724</v>
      </c>
      <c r="AH62" s="256">
        <v>29724</v>
      </c>
      <c r="AI62" s="256">
        <v>29724</v>
      </c>
      <c r="AJ62" s="256">
        <v>29724</v>
      </c>
      <c r="AK62" s="256">
        <v>29724</v>
      </c>
      <c r="AL62" s="256">
        <v>29724</v>
      </c>
      <c r="AM62" s="256">
        <v>29724</v>
      </c>
      <c r="AN62" s="256">
        <v>29724</v>
      </c>
      <c r="AO62" s="256">
        <v>29724</v>
      </c>
      <c r="AP62" s="256">
        <v>29724</v>
      </c>
      <c r="AQ62" s="256">
        <v>29724</v>
      </c>
      <c r="AR62" s="256">
        <v>29724</v>
      </c>
      <c r="AS62" s="256">
        <v>29724</v>
      </c>
      <c r="AT62" s="256">
        <v>29724</v>
      </c>
      <c r="AU62" s="256">
        <v>22293</v>
      </c>
      <c r="AV62" s="256">
        <v>0</v>
      </c>
      <c r="AW62" s="256"/>
      <c r="AX62" s="256"/>
      <c r="AY62" s="259">
        <f t="shared" si="4"/>
        <v>824810</v>
      </c>
      <c r="AZ62" s="232">
        <f t="shared" si="0"/>
        <v>0</v>
      </c>
      <c r="BA62" s="258">
        <f t="shared" si="1"/>
        <v>616773</v>
      </c>
      <c r="BB62" s="259">
        <f t="shared" si="5"/>
        <v>824810</v>
      </c>
      <c r="BD62" s="248" t="b">
        <f t="shared" si="2"/>
        <v>1</v>
      </c>
      <c r="BE62" s="260">
        <f>BB62-K62-R62</f>
        <v>0</v>
      </c>
    </row>
    <row r="63" spans="1:57" hidden="1" outlineLevel="1" x14ac:dyDescent="0.25">
      <c r="A63" s="248" t="s">
        <v>758</v>
      </c>
      <c r="B63" s="261" t="s">
        <v>789</v>
      </c>
      <c r="C63" s="261"/>
      <c r="D63" s="272" t="s">
        <v>922</v>
      </c>
      <c r="E63" s="262"/>
      <c r="F63" s="261"/>
      <c r="G63" s="261"/>
      <c r="H63" s="261"/>
      <c r="I63" s="261"/>
      <c r="J63" s="263"/>
      <c r="K63" s="263"/>
      <c r="L63" s="263" t="s">
        <v>923</v>
      </c>
      <c r="M63" s="263"/>
      <c r="N63" s="264">
        <f t="shared" si="6"/>
        <v>5.0999999999999996</v>
      </c>
      <c r="O63" s="271">
        <v>5.0999999999999996</v>
      </c>
      <c r="P63" s="264">
        <f>$P$4</f>
        <v>0</v>
      </c>
      <c r="Q63" s="264" t="s">
        <v>751</v>
      </c>
      <c r="R63" s="265">
        <v>21629.07</v>
      </c>
      <c r="S63" s="265">
        <v>7176.9</v>
      </c>
      <c r="T63" s="266">
        <f t="shared" si="3"/>
        <v>28805.97</v>
      </c>
      <c r="U63" s="266">
        <f>SUM(U62:$AV62)*$N63/100</f>
        <v>40550.966999999997</v>
      </c>
      <c r="V63" s="266">
        <f>SUM(V62:$AV62)*$N63/100</f>
        <v>39035.042999999998</v>
      </c>
      <c r="W63" s="266">
        <f>SUM(W62:$AV62)*$N63/100</f>
        <v>37519.118999999999</v>
      </c>
      <c r="X63" s="266">
        <f>SUM(X62:$AV62)*$N63/100</f>
        <v>36003.194999999992</v>
      </c>
      <c r="Y63" s="266">
        <f>SUM(Y62:$AV62)*$N63/100</f>
        <v>34487.270999999993</v>
      </c>
      <c r="Z63" s="266">
        <f>SUM(Z62:$AV62)*$N63/100</f>
        <v>32971.346999999994</v>
      </c>
      <c r="AA63" s="266">
        <f>SUM(AA62:$AV62)*$N63/100</f>
        <v>31455.422999999999</v>
      </c>
      <c r="AB63" s="266">
        <f>SUM(AB62:$AV62)*$N63/100</f>
        <v>29939.499</v>
      </c>
      <c r="AC63" s="266">
        <f>SUM(AC62:$AV62)*$N63/100</f>
        <v>28423.575000000001</v>
      </c>
      <c r="AD63" s="266">
        <f>SUM(AD62:$AV62)*$N63/100</f>
        <v>26907.650999999998</v>
      </c>
      <c r="AE63" s="266">
        <f>SUM(AE62:$AV62)*$N63/100</f>
        <v>25391.726999999999</v>
      </c>
      <c r="AF63" s="266">
        <f>SUM(AF62:$AV62)*$N63/100</f>
        <v>23875.803</v>
      </c>
      <c r="AG63" s="266">
        <f>SUM(AG62:$AV62)*$N63/100</f>
        <v>22359.879000000001</v>
      </c>
      <c r="AH63" s="266">
        <f>SUM(AH62:$AV62)*$N63/100</f>
        <v>20843.954999999998</v>
      </c>
      <c r="AI63" s="266">
        <f>SUM(AI62:$AV62)*$N63/100</f>
        <v>19328.030999999999</v>
      </c>
      <c r="AJ63" s="266">
        <f>SUM(AJ62:$AV62)*$N63/100</f>
        <v>17812.107</v>
      </c>
      <c r="AK63" s="266">
        <f>SUM(AK62:$AV62)*$N63/100</f>
        <v>16296.182999999997</v>
      </c>
      <c r="AL63" s="266">
        <f>SUM(AL62:$AV62)*$N63/100</f>
        <v>14780.258999999998</v>
      </c>
      <c r="AM63" s="266">
        <f>SUM(AM62:$AV62)*$N63/100</f>
        <v>13264.334999999999</v>
      </c>
      <c r="AN63" s="266">
        <f>SUM(AN62:$AV62)*$N63/100</f>
        <v>11748.410999999998</v>
      </c>
      <c r="AO63" s="266">
        <f>SUM(AO62:$AV62)*$N63/100</f>
        <v>10232.486999999999</v>
      </c>
      <c r="AP63" s="266">
        <f>SUM(AP62:$AV62)*$N63/100</f>
        <v>8716.5630000000001</v>
      </c>
      <c r="AQ63" s="266">
        <f>SUM(AQ62:$AV62)*$N63/100</f>
        <v>7200.6389999999992</v>
      </c>
      <c r="AR63" s="266">
        <f>SUM(AR62:$AV62)*$N63/100</f>
        <v>5684.7150000000001</v>
      </c>
      <c r="AS63" s="266">
        <f>SUM(AS62:$AV62)*$N63/100</f>
        <v>4168.7910000000002</v>
      </c>
      <c r="AT63" s="266">
        <f>SUM(AT62:$AV62)*$N63/100</f>
        <v>2652.8669999999997</v>
      </c>
      <c r="AU63" s="266">
        <f>SUM(AU62:$AV62)*$N63/100</f>
        <v>1136.943</v>
      </c>
      <c r="AV63" s="266">
        <v>0</v>
      </c>
      <c r="AW63" s="266"/>
      <c r="AX63" s="266"/>
      <c r="AY63" s="269">
        <f t="shared" si="4"/>
        <v>591592.75499999989</v>
      </c>
      <c r="AZ63" s="232">
        <f t="shared" si="0"/>
        <v>0</v>
      </c>
      <c r="BA63" s="268">
        <f t="shared" si="1"/>
        <v>342219.84300000023</v>
      </c>
      <c r="BB63" s="269">
        <f t="shared" si="5"/>
        <v>591592.75500000024</v>
      </c>
      <c r="BD63" s="248" t="b">
        <f t="shared" si="2"/>
        <v>1</v>
      </c>
    </row>
    <row r="64" spans="1:57" s="248" customFormat="1" hidden="1" outlineLevel="1" x14ac:dyDescent="0.25">
      <c r="B64" s="249" t="s">
        <v>789</v>
      </c>
      <c r="C64" s="249">
        <v>30</v>
      </c>
      <c r="D64" s="249" t="s">
        <v>924</v>
      </c>
      <c r="E64" s="250" t="s">
        <v>925</v>
      </c>
      <c r="F64" s="249" t="s">
        <v>926</v>
      </c>
      <c r="G64" s="251" t="s">
        <v>920</v>
      </c>
      <c r="H64" s="251" t="s">
        <v>927</v>
      </c>
      <c r="I64" s="251" t="s">
        <v>748</v>
      </c>
      <c r="J64" s="252">
        <v>347420.04</v>
      </c>
      <c r="K64" s="253">
        <v>319308.03999999998</v>
      </c>
      <c r="L64" s="253"/>
      <c r="M64" s="253"/>
      <c r="N64" s="254"/>
      <c r="O64" s="254">
        <v>3.2429999999999999</v>
      </c>
      <c r="P64" s="254"/>
      <c r="Q64" s="254" t="s">
        <v>749</v>
      </c>
      <c r="R64" s="255">
        <v>9394</v>
      </c>
      <c r="S64" s="255">
        <v>9394</v>
      </c>
      <c r="T64" s="256">
        <f t="shared" si="3"/>
        <v>18788</v>
      </c>
      <c r="U64" s="256">
        <v>18788</v>
      </c>
      <c r="V64" s="256">
        <v>18788</v>
      </c>
      <c r="W64" s="256">
        <v>18788</v>
      </c>
      <c r="X64" s="256">
        <v>18788</v>
      </c>
      <c r="Y64" s="256">
        <v>18788</v>
      </c>
      <c r="Z64" s="256">
        <v>18788</v>
      </c>
      <c r="AA64" s="256">
        <v>18788</v>
      </c>
      <c r="AB64" s="256">
        <v>18788</v>
      </c>
      <c r="AC64" s="256">
        <v>18788</v>
      </c>
      <c r="AD64" s="256">
        <v>18788</v>
      </c>
      <c r="AE64" s="256">
        <v>18788</v>
      </c>
      <c r="AF64" s="256">
        <v>18788</v>
      </c>
      <c r="AG64" s="256">
        <v>18788</v>
      </c>
      <c r="AH64" s="256">
        <v>18788</v>
      </c>
      <c r="AI64" s="256">
        <v>18788</v>
      </c>
      <c r="AJ64" s="256">
        <v>18788</v>
      </c>
      <c r="AK64" s="256">
        <v>9306.0400000000009</v>
      </c>
      <c r="AL64" s="256">
        <v>0</v>
      </c>
      <c r="AM64" s="256">
        <v>0</v>
      </c>
      <c r="AN64" s="256">
        <v>0</v>
      </c>
      <c r="AO64" s="256">
        <v>0</v>
      </c>
      <c r="AP64" s="256">
        <v>0</v>
      </c>
      <c r="AQ64" s="256">
        <v>0</v>
      </c>
      <c r="AR64" s="256">
        <v>0</v>
      </c>
      <c r="AS64" s="256">
        <v>0</v>
      </c>
      <c r="AT64" s="256">
        <v>0</v>
      </c>
      <c r="AU64" s="256">
        <v>0</v>
      </c>
      <c r="AV64" s="256">
        <v>0</v>
      </c>
      <c r="AW64" s="256"/>
      <c r="AX64" s="256"/>
      <c r="AY64" s="259">
        <f t="shared" si="4"/>
        <v>328702.03999999998</v>
      </c>
      <c r="AZ64" s="232">
        <f t="shared" si="0"/>
        <v>0</v>
      </c>
      <c r="BA64" s="258">
        <f t="shared" si="1"/>
        <v>197186.04</v>
      </c>
      <c r="BB64" s="259">
        <f t="shared" si="5"/>
        <v>328702.04000000004</v>
      </c>
      <c r="BD64" s="248" t="b">
        <f t="shared" si="2"/>
        <v>1</v>
      </c>
      <c r="BE64" s="260">
        <f>BB64-K64-R64</f>
        <v>5.8207660913467407E-11</v>
      </c>
    </row>
    <row r="65" spans="2:57" hidden="1" outlineLevel="1" x14ac:dyDescent="0.25">
      <c r="B65" s="261" t="s">
        <v>789</v>
      </c>
      <c r="C65" s="261"/>
      <c r="D65" s="272" t="s">
        <v>928</v>
      </c>
      <c r="E65" s="262"/>
      <c r="F65" s="261"/>
      <c r="G65" s="261"/>
      <c r="H65" s="261"/>
      <c r="I65" s="261"/>
      <c r="J65" s="263"/>
      <c r="K65" s="263"/>
      <c r="L65" s="263" t="s">
        <v>923</v>
      </c>
      <c r="M65" s="263"/>
      <c r="N65" s="264">
        <f t="shared" si="6"/>
        <v>5</v>
      </c>
      <c r="O65" s="271">
        <v>5</v>
      </c>
      <c r="P65" s="264">
        <f>$P$4</f>
        <v>0</v>
      </c>
      <c r="Q65" s="264" t="s">
        <v>751</v>
      </c>
      <c r="R65" s="265">
        <v>8069.3099999999995</v>
      </c>
      <c r="S65" s="265">
        <v>2641.66</v>
      </c>
      <c r="T65" s="266">
        <f t="shared" si="3"/>
        <v>10710.97</v>
      </c>
      <c r="U65" s="266">
        <f>SUM(U64:$AV64)*$N65/100</f>
        <v>15495.701999999999</v>
      </c>
      <c r="V65" s="266">
        <f>SUM(V64:$AV64)*$N65/100</f>
        <v>14556.302</v>
      </c>
      <c r="W65" s="266">
        <f>SUM(W64:$AV64)*$N65/100</f>
        <v>13616.902</v>
      </c>
      <c r="X65" s="266">
        <f>SUM(X64:$AV64)*$N65/100</f>
        <v>12677.502</v>
      </c>
      <c r="Y65" s="266">
        <f>SUM(Y64:$AV64)*$N65/100</f>
        <v>11738.101999999999</v>
      </c>
      <c r="Z65" s="266">
        <f>SUM(Z64:$AV64)*$N65/100</f>
        <v>10798.701999999999</v>
      </c>
      <c r="AA65" s="266">
        <f>SUM(AA64:$AV64)*$N65/100</f>
        <v>9859.3020000000015</v>
      </c>
      <c r="AB65" s="266">
        <f>SUM(AB64:$AV64)*$N65/100</f>
        <v>8919.902</v>
      </c>
      <c r="AC65" s="266">
        <f>SUM(AC64:$AV64)*$N65/100</f>
        <v>7980.5020000000004</v>
      </c>
      <c r="AD65" s="266">
        <f>SUM(AD64:$AV64)*$N65/100</f>
        <v>7041.1020000000008</v>
      </c>
      <c r="AE65" s="266">
        <f>SUM(AE64:$AV64)*$N65/100</f>
        <v>6101.7020000000011</v>
      </c>
      <c r="AF65" s="266">
        <f>SUM(AF64:$AV64)*$N65/100</f>
        <v>5162.3020000000006</v>
      </c>
      <c r="AG65" s="266">
        <f>SUM(AG64:$AV64)*$N65/100</f>
        <v>4222.902000000001</v>
      </c>
      <c r="AH65" s="266">
        <f>SUM(AH64:$AV64)*$N65/100</f>
        <v>3283.5020000000009</v>
      </c>
      <c r="AI65" s="266">
        <f>SUM(AI64:$AV64)*$N65/100</f>
        <v>2344.1020000000003</v>
      </c>
      <c r="AJ65" s="266">
        <f>SUM(AJ64:$AV64)*$N65/100</f>
        <v>1404.7020000000002</v>
      </c>
      <c r="AK65" s="266">
        <f>SUM(AK64:$AV64)*$N65/100</f>
        <v>465.30200000000002</v>
      </c>
      <c r="AL65" s="266">
        <v>0</v>
      </c>
      <c r="AM65" s="266">
        <v>0</v>
      </c>
      <c r="AN65" s="266">
        <v>0</v>
      </c>
      <c r="AO65" s="266">
        <v>0</v>
      </c>
      <c r="AP65" s="266">
        <v>0</v>
      </c>
      <c r="AQ65" s="266">
        <v>0</v>
      </c>
      <c r="AR65" s="266">
        <v>0</v>
      </c>
      <c r="AS65" s="266">
        <v>0</v>
      </c>
      <c r="AT65" s="266">
        <v>0</v>
      </c>
      <c r="AU65" s="266">
        <v>0</v>
      </c>
      <c r="AV65" s="266">
        <v>0</v>
      </c>
      <c r="AW65" s="266"/>
      <c r="AX65" s="266"/>
      <c r="AY65" s="269">
        <f t="shared" si="4"/>
        <v>146379.50400000002</v>
      </c>
      <c r="AZ65" s="232">
        <f t="shared" si="0"/>
        <v>0</v>
      </c>
      <c r="BA65" s="268">
        <f t="shared" si="1"/>
        <v>56785.322000000015</v>
      </c>
      <c r="BB65" s="269">
        <f t="shared" si="5"/>
        <v>146379.50400000002</v>
      </c>
      <c r="BD65" s="248" t="b">
        <f t="shared" si="2"/>
        <v>1</v>
      </c>
    </row>
    <row r="66" spans="2:57" s="248" customFormat="1" hidden="1" outlineLevel="1" x14ac:dyDescent="0.25">
      <c r="B66" s="249" t="s">
        <v>742</v>
      </c>
      <c r="C66" s="249">
        <v>31</v>
      </c>
      <c r="D66" s="249" t="s">
        <v>929</v>
      </c>
      <c r="E66" s="250" t="s">
        <v>930</v>
      </c>
      <c r="F66" s="249" t="s">
        <v>931</v>
      </c>
      <c r="G66" s="251" t="s">
        <v>932</v>
      </c>
      <c r="H66" s="251" t="s">
        <v>933</v>
      </c>
      <c r="I66" s="251" t="s">
        <v>748</v>
      </c>
      <c r="J66" s="252">
        <v>53218</v>
      </c>
      <c r="K66" s="253">
        <v>25209</v>
      </c>
      <c r="L66" s="253"/>
      <c r="M66" s="253"/>
      <c r="N66" s="254"/>
      <c r="O66" s="254"/>
      <c r="P66" s="254"/>
      <c r="Q66" s="254" t="s">
        <v>749</v>
      </c>
      <c r="R66" s="255">
        <v>5602</v>
      </c>
      <c r="S66" s="255">
        <v>5602</v>
      </c>
      <c r="T66" s="256">
        <f t="shared" si="3"/>
        <v>11204</v>
      </c>
      <c r="U66" s="256">
        <v>11204</v>
      </c>
      <c r="V66" s="256">
        <v>8403</v>
      </c>
      <c r="W66" s="256">
        <v>0</v>
      </c>
      <c r="X66" s="256">
        <v>0</v>
      </c>
      <c r="Y66" s="256">
        <v>0</v>
      </c>
      <c r="Z66" s="256">
        <v>0</v>
      </c>
      <c r="AA66" s="256">
        <v>0</v>
      </c>
      <c r="AB66" s="256">
        <v>0</v>
      </c>
      <c r="AC66" s="256">
        <v>0</v>
      </c>
      <c r="AD66" s="256">
        <v>0</v>
      </c>
      <c r="AE66" s="256">
        <v>0</v>
      </c>
      <c r="AF66" s="256">
        <v>0</v>
      </c>
      <c r="AG66" s="256">
        <v>0</v>
      </c>
      <c r="AH66" s="256">
        <v>0</v>
      </c>
      <c r="AI66" s="256">
        <v>0</v>
      </c>
      <c r="AJ66" s="256">
        <v>0</v>
      </c>
      <c r="AK66" s="256">
        <v>0</v>
      </c>
      <c r="AL66" s="256">
        <v>0</v>
      </c>
      <c r="AM66" s="256">
        <v>0</v>
      </c>
      <c r="AN66" s="256">
        <v>0</v>
      </c>
      <c r="AO66" s="256">
        <v>0</v>
      </c>
      <c r="AP66" s="256">
        <v>0</v>
      </c>
      <c r="AQ66" s="256">
        <v>0</v>
      </c>
      <c r="AR66" s="256">
        <v>0</v>
      </c>
      <c r="AS66" s="256">
        <v>0</v>
      </c>
      <c r="AT66" s="256">
        <v>0</v>
      </c>
      <c r="AU66" s="256">
        <v>0</v>
      </c>
      <c r="AV66" s="256">
        <v>0</v>
      </c>
      <c r="AW66" s="256"/>
      <c r="AX66" s="256"/>
      <c r="AY66" s="257">
        <f t="shared" si="4"/>
        <v>30811</v>
      </c>
      <c r="AZ66" s="232">
        <f t="shared" si="0"/>
        <v>0</v>
      </c>
      <c r="BA66" s="258">
        <f t="shared" si="1"/>
        <v>0</v>
      </c>
      <c r="BB66" s="259">
        <f t="shared" si="5"/>
        <v>30811</v>
      </c>
      <c r="BD66" s="248" t="b">
        <f t="shared" si="2"/>
        <v>1</v>
      </c>
      <c r="BE66" s="260">
        <f>BB66-K66-R66</f>
        <v>0</v>
      </c>
    </row>
    <row r="67" spans="2:57" hidden="1" outlineLevel="1" x14ac:dyDescent="0.25">
      <c r="B67" s="261" t="s">
        <v>742</v>
      </c>
      <c r="C67" s="261"/>
      <c r="D67" s="261"/>
      <c r="E67" s="262"/>
      <c r="F67" s="261"/>
      <c r="G67" s="261"/>
      <c r="H67" s="261"/>
      <c r="I67" s="261"/>
      <c r="J67" s="263"/>
      <c r="K67" s="263"/>
      <c r="L67" s="263">
        <v>0</v>
      </c>
      <c r="M67" s="263" t="s">
        <v>934</v>
      </c>
      <c r="N67" s="264">
        <f t="shared" si="6"/>
        <v>0.25</v>
      </c>
      <c r="O67" s="264">
        <v>0.25</v>
      </c>
      <c r="P67" s="264">
        <f>$P$4</f>
        <v>0</v>
      </c>
      <c r="Q67" s="264" t="s">
        <v>751</v>
      </c>
      <c r="R67" s="265">
        <v>57.75</v>
      </c>
      <c r="S67" s="265">
        <v>15.89</v>
      </c>
      <c r="T67" s="266">
        <f t="shared" si="3"/>
        <v>73.64</v>
      </c>
      <c r="U67" s="266">
        <f>SUM(U66:$AV66)*$N67/100</f>
        <v>49.017499999999998</v>
      </c>
      <c r="V67" s="266">
        <f>SUM(V66:$AV66)*$N67/100</f>
        <v>21.0075</v>
      </c>
      <c r="W67" s="266">
        <v>0</v>
      </c>
      <c r="X67" s="266">
        <v>0</v>
      </c>
      <c r="Y67" s="266">
        <v>0</v>
      </c>
      <c r="Z67" s="266">
        <v>0</v>
      </c>
      <c r="AA67" s="266">
        <v>0</v>
      </c>
      <c r="AB67" s="266">
        <v>0</v>
      </c>
      <c r="AC67" s="266">
        <v>0</v>
      </c>
      <c r="AD67" s="266">
        <v>0</v>
      </c>
      <c r="AE67" s="266">
        <v>0</v>
      </c>
      <c r="AF67" s="266">
        <v>0</v>
      </c>
      <c r="AG67" s="266">
        <v>0</v>
      </c>
      <c r="AH67" s="266">
        <v>0</v>
      </c>
      <c r="AI67" s="266">
        <v>0</v>
      </c>
      <c r="AJ67" s="266">
        <v>0</v>
      </c>
      <c r="AK67" s="266">
        <v>0</v>
      </c>
      <c r="AL67" s="266">
        <v>0</v>
      </c>
      <c r="AM67" s="266">
        <v>0</v>
      </c>
      <c r="AN67" s="266">
        <v>0</v>
      </c>
      <c r="AO67" s="266">
        <v>0</v>
      </c>
      <c r="AP67" s="266">
        <v>0</v>
      </c>
      <c r="AQ67" s="266">
        <v>0</v>
      </c>
      <c r="AR67" s="266">
        <v>0</v>
      </c>
      <c r="AS67" s="266">
        <v>0</v>
      </c>
      <c r="AT67" s="266">
        <v>0</v>
      </c>
      <c r="AU67" s="266">
        <v>0</v>
      </c>
      <c r="AV67" s="266">
        <v>0</v>
      </c>
      <c r="AW67" s="266"/>
      <c r="AX67" s="266"/>
      <c r="AY67" s="267">
        <f t="shared" si="4"/>
        <v>143.66499999999999</v>
      </c>
      <c r="AZ67" s="232">
        <f t="shared" si="0"/>
        <v>0</v>
      </c>
      <c r="BA67" s="268">
        <f t="shared" si="1"/>
        <v>0</v>
      </c>
      <c r="BB67" s="269">
        <f t="shared" si="5"/>
        <v>143.66499999999999</v>
      </c>
      <c r="BD67" s="248" t="b">
        <f t="shared" si="2"/>
        <v>1</v>
      </c>
    </row>
    <row r="68" spans="2:57" s="248" customFormat="1" hidden="1" outlineLevel="1" x14ac:dyDescent="0.25">
      <c r="B68" s="249" t="s">
        <v>742</v>
      </c>
      <c r="C68" s="249">
        <v>32</v>
      </c>
      <c r="D68" s="249" t="s">
        <v>935</v>
      </c>
      <c r="E68" s="250" t="s">
        <v>936</v>
      </c>
      <c r="F68" s="249" t="s">
        <v>937</v>
      </c>
      <c r="G68" s="251" t="s">
        <v>932</v>
      </c>
      <c r="H68" s="251" t="s">
        <v>933</v>
      </c>
      <c r="I68" s="251" t="s">
        <v>748</v>
      </c>
      <c r="J68" s="252">
        <v>46991.33</v>
      </c>
      <c r="K68" s="253">
        <v>22264.33</v>
      </c>
      <c r="L68" s="253"/>
      <c r="M68" s="253"/>
      <c r="N68" s="254"/>
      <c r="O68" s="254"/>
      <c r="P68" s="254"/>
      <c r="Q68" s="254" t="s">
        <v>749</v>
      </c>
      <c r="R68" s="255">
        <v>4948</v>
      </c>
      <c r="S68" s="255">
        <v>4948</v>
      </c>
      <c r="T68" s="256">
        <f t="shared" si="3"/>
        <v>9896</v>
      </c>
      <c r="U68" s="256">
        <v>9896</v>
      </c>
      <c r="V68" s="256">
        <v>7420.33</v>
      </c>
      <c r="W68" s="256">
        <v>0</v>
      </c>
      <c r="X68" s="256">
        <v>0</v>
      </c>
      <c r="Y68" s="256">
        <v>0</v>
      </c>
      <c r="Z68" s="256">
        <v>0</v>
      </c>
      <c r="AA68" s="256">
        <v>0</v>
      </c>
      <c r="AB68" s="256">
        <v>0</v>
      </c>
      <c r="AC68" s="256">
        <v>0</v>
      </c>
      <c r="AD68" s="256">
        <v>0</v>
      </c>
      <c r="AE68" s="256">
        <v>0</v>
      </c>
      <c r="AF68" s="256">
        <v>0</v>
      </c>
      <c r="AG68" s="256">
        <v>0</v>
      </c>
      <c r="AH68" s="256">
        <v>0</v>
      </c>
      <c r="AI68" s="256">
        <v>0</v>
      </c>
      <c r="AJ68" s="256">
        <v>0</v>
      </c>
      <c r="AK68" s="256">
        <v>0</v>
      </c>
      <c r="AL68" s="256">
        <v>0</v>
      </c>
      <c r="AM68" s="256">
        <v>0</v>
      </c>
      <c r="AN68" s="256">
        <v>0</v>
      </c>
      <c r="AO68" s="256">
        <v>0</v>
      </c>
      <c r="AP68" s="256">
        <v>0</v>
      </c>
      <c r="AQ68" s="256">
        <v>0</v>
      </c>
      <c r="AR68" s="256">
        <v>0</v>
      </c>
      <c r="AS68" s="256">
        <v>0</v>
      </c>
      <c r="AT68" s="256">
        <v>0</v>
      </c>
      <c r="AU68" s="256">
        <v>0</v>
      </c>
      <c r="AV68" s="256">
        <v>0</v>
      </c>
      <c r="AW68" s="256"/>
      <c r="AX68" s="256"/>
      <c r="AY68" s="257">
        <f t="shared" si="4"/>
        <v>27212.33</v>
      </c>
      <c r="AZ68" s="232">
        <f t="shared" si="0"/>
        <v>0</v>
      </c>
      <c r="BA68" s="258">
        <f t="shared" si="1"/>
        <v>0</v>
      </c>
      <c r="BB68" s="259">
        <f t="shared" si="5"/>
        <v>27212.33</v>
      </c>
      <c r="BD68" s="248" t="b">
        <f t="shared" si="2"/>
        <v>1</v>
      </c>
      <c r="BE68" s="260">
        <f>BB68-K68-R68</f>
        <v>0</v>
      </c>
    </row>
    <row r="69" spans="2:57" hidden="1" outlineLevel="1" x14ac:dyDescent="0.25">
      <c r="B69" s="261" t="s">
        <v>742</v>
      </c>
      <c r="C69" s="261"/>
      <c r="D69" s="261"/>
      <c r="E69" s="262"/>
      <c r="F69" s="261"/>
      <c r="G69" s="261"/>
      <c r="H69" s="261"/>
      <c r="I69" s="261"/>
      <c r="J69" s="263"/>
      <c r="K69" s="263"/>
      <c r="L69" s="263">
        <v>0</v>
      </c>
      <c r="M69" s="263" t="s">
        <v>934</v>
      </c>
      <c r="N69" s="264">
        <f t="shared" si="6"/>
        <v>0.25</v>
      </c>
      <c r="O69" s="264">
        <v>0.25</v>
      </c>
      <c r="P69" s="264">
        <f>$P$4</f>
        <v>0</v>
      </c>
      <c r="Q69" s="264" t="s">
        <v>751</v>
      </c>
      <c r="R69" s="265">
        <v>51</v>
      </c>
      <c r="S69" s="265">
        <v>14.03</v>
      </c>
      <c r="T69" s="266">
        <f t="shared" si="3"/>
        <v>65.03</v>
      </c>
      <c r="U69" s="266">
        <f>SUM(U68:$AV68)*$N69/100</f>
        <v>43.290825000000005</v>
      </c>
      <c r="V69" s="266">
        <f>SUM(V68:$AV68)*$N69/100</f>
        <v>18.550825</v>
      </c>
      <c r="W69" s="266">
        <v>0</v>
      </c>
      <c r="X69" s="266">
        <v>0</v>
      </c>
      <c r="Y69" s="266">
        <v>0</v>
      </c>
      <c r="Z69" s="266">
        <v>0</v>
      </c>
      <c r="AA69" s="266">
        <v>0</v>
      </c>
      <c r="AB69" s="266">
        <v>0</v>
      </c>
      <c r="AC69" s="266">
        <v>0</v>
      </c>
      <c r="AD69" s="266">
        <v>0</v>
      </c>
      <c r="AE69" s="266">
        <v>0</v>
      </c>
      <c r="AF69" s="266">
        <v>0</v>
      </c>
      <c r="AG69" s="266">
        <v>0</v>
      </c>
      <c r="AH69" s="266">
        <v>0</v>
      </c>
      <c r="AI69" s="266">
        <v>0</v>
      </c>
      <c r="AJ69" s="266">
        <v>0</v>
      </c>
      <c r="AK69" s="266">
        <v>0</v>
      </c>
      <c r="AL69" s="266">
        <v>0</v>
      </c>
      <c r="AM69" s="266">
        <v>0</v>
      </c>
      <c r="AN69" s="266">
        <v>0</v>
      </c>
      <c r="AO69" s="266">
        <v>0</v>
      </c>
      <c r="AP69" s="266">
        <v>0</v>
      </c>
      <c r="AQ69" s="266">
        <v>0</v>
      </c>
      <c r="AR69" s="266">
        <v>0</v>
      </c>
      <c r="AS69" s="266">
        <v>0</v>
      </c>
      <c r="AT69" s="266">
        <v>0</v>
      </c>
      <c r="AU69" s="266">
        <v>0</v>
      </c>
      <c r="AV69" s="266">
        <v>0</v>
      </c>
      <c r="AW69" s="266"/>
      <c r="AX69" s="266"/>
      <c r="AY69" s="267">
        <f t="shared" si="4"/>
        <v>126.87165000000002</v>
      </c>
      <c r="AZ69" s="232">
        <f t="shared" si="0"/>
        <v>0</v>
      </c>
      <c r="BA69" s="268">
        <f t="shared" si="1"/>
        <v>0</v>
      </c>
      <c r="BB69" s="269">
        <f t="shared" si="5"/>
        <v>126.87165000000002</v>
      </c>
      <c r="BD69" s="248" t="b">
        <f t="shared" si="2"/>
        <v>1</v>
      </c>
    </row>
    <row r="70" spans="2:57" s="248" customFormat="1" hidden="1" outlineLevel="1" x14ac:dyDescent="0.25">
      <c r="B70" s="249" t="s">
        <v>789</v>
      </c>
      <c r="C70" s="249">
        <v>33</v>
      </c>
      <c r="D70" s="249" t="s">
        <v>938</v>
      </c>
      <c r="E70" s="250" t="s">
        <v>939</v>
      </c>
      <c r="F70" s="249" t="s">
        <v>940</v>
      </c>
      <c r="G70" s="251" t="s">
        <v>941</v>
      </c>
      <c r="H70" s="251" t="s">
        <v>942</v>
      </c>
      <c r="I70" s="251" t="s">
        <v>748</v>
      </c>
      <c r="J70" s="252">
        <v>9703992</v>
      </c>
      <c r="K70" s="253">
        <v>9485777.9199999999</v>
      </c>
      <c r="L70" s="253"/>
      <c r="M70" s="253"/>
      <c r="N70" s="254"/>
      <c r="O70" s="254">
        <v>4.1559999999999997</v>
      </c>
      <c r="P70" s="254"/>
      <c r="Q70" s="254" t="s">
        <v>749</v>
      </c>
      <c r="R70" s="255">
        <v>171645</v>
      </c>
      <c r="S70" s="255">
        <v>171754</v>
      </c>
      <c r="T70" s="256">
        <f t="shared" si="3"/>
        <v>343399</v>
      </c>
      <c r="U70" s="256">
        <v>343508</v>
      </c>
      <c r="V70" s="256">
        <v>343508</v>
      </c>
      <c r="W70" s="256">
        <v>343508</v>
      </c>
      <c r="X70" s="256">
        <v>343508</v>
      </c>
      <c r="Y70" s="256">
        <v>343508</v>
      </c>
      <c r="Z70" s="256">
        <v>343508</v>
      </c>
      <c r="AA70" s="256">
        <v>343508</v>
      </c>
      <c r="AB70" s="256">
        <v>343508</v>
      </c>
      <c r="AC70" s="256">
        <v>343508</v>
      </c>
      <c r="AD70" s="256">
        <v>343508</v>
      </c>
      <c r="AE70" s="256">
        <v>343508</v>
      </c>
      <c r="AF70" s="256">
        <v>343508</v>
      </c>
      <c r="AG70" s="256">
        <v>343508</v>
      </c>
      <c r="AH70" s="256">
        <v>343508</v>
      </c>
      <c r="AI70" s="256">
        <v>343508</v>
      </c>
      <c r="AJ70" s="256">
        <v>343508</v>
      </c>
      <c r="AK70" s="256">
        <v>343508</v>
      </c>
      <c r="AL70" s="256">
        <v>343508</v>
      </c>
      <c r="AM70" s="256">
        <v>343508</v>
      </c>
      <c r="AN70" s="256">
        <v>343508</v>
      </c>
      <c r="AO70" s="256">
        <v>343508</v>
      </c>
      <c r="AP70" s="256">
        <v>343508</v>
      </c>
      <c r="AQ70" s="256">
        <v>343508</v>
      </c>
      <c r="AR70" s="256">
        <v>343508</v>
      </c>
      <c r="AS70" s="256">
        <v>343508</v>
      </c>
      <c r="AT70" s="256">
        <v>343508</v>
      </c>
      <c r="AU70" s="256">
        <v>343508</v>
      </c>
      <c r="AV70" s="256">
        <v>39307.919999999998</v>
      </c>
      <c r="AW70" s="256"/>
      <c r="AX70" s="256"/>
      <c r="AY70" s="259">
        <f t="shared" si="4"/>
        <v>9657422.9199999999</v>
      </c>
      <c r="AZ70" s="232">
        <f t="shared" si="0"/>
        <v>0</v>
      </c>
      <c r="BA70" s="258">
        <f t="shared" si="1"/>
        <v>7252975.9199999999</v>
      </c>
      <c r="BB70" s="259">
        <f t="shared" si="5"/>
        <v>9657422.9199999999</v>
      </c>
      <c r="BD70" s="248" t="b">
        <f t="shared" si="2"/>
        <v>1</v>
      </c>
      <c r="BE70" s="260">
        <f>BB70-K70-R70</f>
        <v>0</v>
      </c>
    </row>
    <row r="71" spans="2:57" hidden="1" outlineLevel="1" x14ac:dyDescent="0.25">
      <c r="B71" s="261" t="s">
        <v>789</v>
      </c>
      <c r="C71" s="261"/>
      <c r="D71" s="261"/>
      <c r="E71" s="262"/>
      <c r="F71" s="261"/>
      <c r="G71" s="261"/>
      <c r="H71" s="261"/>
      <c r="I71" s="261"/>
      <c r="J71" s="263"/>
      <c r="K71" s="263"/>
      <c r="L71" s="263" t="s">
        <v>943</v>
      </c>
      <c r="M71" s="263"/>
      <c r="N71" s="264">
        <f t="shared" si="6"/>
        <v>4.75</v>
      </c>
      <c r="O71" s="271">
        <v>4.75</v>
      </c>
      <c r="P71" s="264">
        <f>$P$4</f>
        <v>0</v>
      </c>
      <c r="Q71" s="264" t="s">
        <v>751</v>
      </c>
      <c r="R71" s="265">
        <v>182887.93</v>
      </c>
      <c r="S71" s="265">
        <v>100638.34</v>
      </c>
      <c r="T71" s="266">
        <f t="shared" si="3"/>
        <v>283526.27</v>
      </c>
      <c r="U71" s="266">
        <f>SUM(U70:$AV70)*$N71/100</f>
        <v>442416.13619999995</v>
      </c>
      <c r="V71" s="266">
        <f>SUM(V70:$AV70)*$N71/100</f>
        <v>426099.50619999995</v>
      </c>
      <c r="W71" s="266">
        <f>SUM(W70:$AV70)*$N71/100</f>
        <v>409782.8762</v>
      </c>
      <c r="X71" s="266">
        <f>SUM(X70:$AV70)*$N71/100</f>
        <v>393466.24619999999</v>
      </c>
      <c r="Y71" s="266">
        <f>SUM(Y70:$AV70)*$N71/100</f>
        <v>377149.61619999999</v>
      </c>
      <c r="Z71" s="266">
        <f>SUM(Z70:$AV70)*$N71/100</f>
        <v>360832.98619999998</v>
      </c>
      <c r="AA71" s="266">
        <f>SUM(AA70:$AV70)*$N71/100</f>
        <v>344516.35619999998</v>
      </c>
      <c r="AB71" s="266">
        <f>SUM(AB70:$AV70)*$N71/100</f>
        <v>328199.72620000003</v>
      </c>
      <c r="AC71" s="266">
        <f>SUM(AC70:$AV70)*$N71/100</f>
        <v>311883.09620000003</v>
      </c>
      <c r="AD71" s="266">
        <f>SUM(AD70:$AV70)*$N71/100</f>
        <v>295566.46620000002</v>
      </c>
      <c r="AE71" s="266">
        <f>SUM(AE70:$AV70)*$N71/100</f>
        <v>279249.83620000002</v>
      </c>
      <c r="AF71" s="266">
        <f>SUM(AF70:$AV70)*$N71/100</f>
        <v>262933.20620000002</v>
      </c>
      <c r="AG71" s="266">
        <f>SUM(AG70:$AV70)*$N71/100</f>
        <v>246616.57620000001</v>
      </c>
      <c r="AH71" s="266">
        <f>SUM(AH70:$AV70)*$N71/100</f>
        <v>230299.94620000001</v>
      </c>
      <c r="AI71" s="266">
        <f>SUM(AI70:$AV70)*$N71/100</f>
        <v>213983.3162</v>
      </c>
      <c r="AJ71" s="266">
        <f>SUM(AJ70:$AV70)*$N71/100</f>
        <v>197666.6862</v>
      </c>
      <c r="AK71" s="266">
        <f>SUM(AK70:$AV70)*$N71/100</f>
        <v>181350.05620000002</v>
      </c>
      <c r="AL71" s="266">
        <f>SUM(AL70:$AV70)*$N71/100</f>
        <v>165033.42619999999</v>
      </c>
      <c r="AM71" s="266">
        <f>SUM(AM70:$AV70)*$N71/100</f>
        <v>148716.79619999998</v>
      </c>
      <c r="AN71" s="266">
        <f>SUM(AN70:$AV70)*$N71/100</f>
        <v>132400.16619999998</v>
      </c>
      <c r="AO71" s="266">
        <f>SUM(AO70:$AV70)*$N71/100</f>
        <v>116083.53619999999</v>
      </c>
      <c r="AP71" s="266">
        <f>SUM(AP70:$AV70)*$N71/100</f>
        <v>99766.906199999998</v>
      </c>
      <c r="AQ71" s="266">
        <f>SUM(AQ70:$AV70)*$N71/100</f>
        <v>83450.276199999993</v>
      </c>
      <c r="AR71" s="266">
        <f>SUM(AR70:$AV70)*$N71/100</f>
        <v>67133.646199999988</v>
      </c>
      <c r="AS71" s="266">
        <f>SUM(AS70:$AV70)*$N71/100</f>
        <v>50817.016199999991</v>
      </c>
      <c r="AT71" s="266">
        <f>SUM(AT70:$AV70)*$N71/100</f>
        <v>34500.386200000001</v>
      </c>
      <c r="AU71" s="266">
        <f>SUM(AU70:$AV70)*$N71/100</f>
        <v>18183.7562</v>
      </c>
      <c r="AV71" s="266">
        <f>SUM(AV70:$AV70)*$N71/100</f>
        <v>1867.1261999999999</v>
      </c>
      <c r="AW71" s="266"/>
      <c r="AX71" s="266"/>
      <c r="AY71" s="269">
        <f t="shared" si="4"/>
        <v>6503491.9435999999</v>
      </c>
      <c r="AZ71" s="232">
        <f t="shared" ref="AZ71:AZ134" si="7">AY71-SUM(T71:AX71)</f>
        <v>0</v>
      </c>
      <c r="BA71" s="268">
        <f t="shared" ref="BA71:BA134" si="8">SUM(AA71:AX71)</f>
        <v>3810218.3064000001</v>
      </c>
      <c r="BB71" s="269">
        <f t="shared" si="5"/>
        <v>6503491.9435999999</v>
      </c>
      <c r="BD71" s="248" t="b">
        <f t="shared" ref="BD71:BD134" si="9">AY71=BB71</f>
        <v>1</v>
      </c>
    </row>
    <row r="72" spans="2:57" s="248" customFormat="1" hidden="1" outlineLevel="1" x14ac:dyDescent="0.25">
      <c r="B72" s="249" t="s">
        <v>789</v>
      </c>
      <c r="C72" s="249">
        <v>34</v>
      </c>
      <c r="D72" s="249" t="s">
        <v>944</v>
      </c>
      <c r="E72" s="250" t="s">
        <v>945</v>
      </c>
      <c r="F72" s="249" t="s">
        <v>946</v>
      </c>
      <c r="G72" s="251" t="s">
        <v>941</v>
      </c>
      <c r="H72" s="251" t="s">
        <v>947</v>
      </c>
      <c r="I72" s="251" t="s">
        <v>748</v>
      </c>
      <c r="J72" s="252">
        <v>43430</v>
      </c>
      <c r="K72" s="253">
        <v>6572</v>
      </c>
      <c r="L72" s="253"/>
      <c r="M72" s="253"/>
      <c r="N72" s="254"/>
      <c r="O72" s="254"/>
      <c r="P72" s="254"/>
      <c r="Q72" s="254" t="s">
        <v>749</v>
      </c>
      <c r="R72" s="255">
        <v>424</v>
      </c>
      <c r="S72" s="255">
        <v>424</v>
      </c>
      <c r="T72" s="256">
        <f t="shared" ref="T72:T122" si="10">SUM(R72:S72)</f>
        <v>848</v>
      </c>
      <c r="U72" s="256">
        <v>848</v>
      </c>
      <c r="V72" s="256">
        <v>848</v>
      </c>
      <c r="W72" s="256">
        <v>848</v>
      </c>
      <c r="X72" s="256">
        <v>848</v>
      </c>
      <c r="Y72" s="256">
        <v>848</v>
      </c>
      <c r="Z72" s="256">
        <v>848</v>
      </c>
      <c r="AA72" s="256">
        <v>848</v>
      </c>
      <c r="AB72" s="256">
        <v>212</v>
      </c>
      <c r="AC72" s="256">
        <v>0</v>
      </c>
      <c r="AD72" s="256">
        <v>0</v>
      </c>
      <c r="AE72" s="256">
        <v>0</v>
      </c>
      <c r="AF72" s="256">
        <v>0</v>
      </c>
      <c r="AG72" s="256">
        <v>0</v>
      </c>
      <c r="AH72" s="256">
        <v>0</v>
      </c>
      <c r="AI72" s="256">
        <v>0</v>
      </c>
      <c r="AJ72" s="256">
        <v>0</v>
      </c>
      <c r="AK72" s="256">
        <v>0</v>
      </c>
      <c r="AL72" s="256">
        <v>0</v>
      </c>
      <c r="AM72" s="256">
        <v>0</v>
      </c>
      <c r="AN72" s="256">
        <v>0</v>
      </c>
      <c r="AO72" s="256">
        <v>0</v>
      </c>
      <c r="AP72" s="256">
        <v>0</v>
      </c>
      <c r="AQ72" s="256">
        <v>0</v>
      </c>
      <c r="AR72" s="256">
        <v>0</v>
      </c>
      <c r="AS72" s="256">
        <v>0</v>
      </c>
      <c r="AT72" s="256">
        <v>0</v>
      </c>
      <c r="AU72" s="256">
        <v>0</v>
      </c>
      <c r="AV72" s="256">
        <v>0</v>
      </c>
      <c r="AW72" s="256"/>
      <c r="AX72" s="256"/>
      <c r="AY72" s="259">
        <f t="shared" ref="AY72:AY135" si="11">SUM(T72:AX72)</f>
        <v>6996</v>
      </c>
      <c r="AZ72" s="232">
        <f t="shared" si="7"/>
        <v>0</v>
      </c>
      <c r="BA72" s="258">
        <f t="shared" si="8"/>
        <v>1060</v>
      </c>
      <c r="BB72" s="259">
        <f t="shared" ref="BB72:BB135" si="12">SUM(T72:Z72,BA72)</f>
        <v>6996</v>
      </c>
      <c r="BD72" s="248" t="b">
        <f t="shared" si="9"/>
        <v>1</v>
      </c>
      <c r="BE72" s="260">
        <f>BB72-K72-R72</f>
        <v>0</v>
      </c>
    </row>
    <row r="73" spans="2:57" hidden="1" outlineLevel="1" x14ac:dyDescent="0.25">
      <c r="B73" s="261" t="s">
        <v>789</v>
      </c>
      <c r="C73" s="261"/>
      <c r="D73" s="261"/>
      <c r="E73" s="262"/>
      <c r="F73" s="261"/>
      <c r="G73" s="261"/>
      <c r="H73" s="261"/>
      <c r="I73" s="261"/>
      <c r="J73" s="263"/>
      <c r="K73" s="263"/>
      <c r="L73" s="263">
        <v>0</v>
      </c>
      <c r="M73" s="263" t="s">
        <v>934</v>
      </c>
      <c r="N73" s="264">
        <f t="shared" ref="N73:N129" si="13">SUM(O73:P73)</f>
        <v>0.25</v>
      </c>
      <c r="O73" s="264">
        <v>0.25</v>
      </c>
      <c r="P73" s="264">
        <f>$P$4</f>
        <v>0</v>
      </c>
      <c r="Q73" s="264" t="s">
        <v>751</v>
      </c>
      <c r="R73" s="265">
        <v>13.21</v>
      </c>
      <c r="S73" s="265">
        <v>4.1900000000000004</v>
      </c>
      <c r="T73" s="266">
        <f t="shared" si="10"/>
        <v>17.400000000000002</v>
      </c>
      <c r="U73" s="266">
        <f>SUM(U72:$AV72)*$N73/100</f>
        <v>15.37</v>
      </c>
      <c r="V73" s="266">
        <f>SUM(V72:$AV72)*$N73/100</f>
        <v>13.25</v>
      </c>
      <c r="W73" s="266">
        <f>SUM(W72:$AV72)*$N73/100</f>
        <v>11.13</v>
      </c>
      <c r="X73" s="266">
        <f>SUM(X72:$AV72)*$N73/100</f>
        <v>9.01</v>
      </c>
      <c r="Y73" s="266">
        <f>SUM(Y72:$AV72)*$N73/100</f>
        <v>6.89</v>
      </c>
      <c r="Z73" s="266">
        <f>SUM(Z72:$AV72)*$N73/100</f>
        <v>4.7699999999999996</v>
      </c>
      <c r="AA73" s="266">
        <f>SUM(AA72:$AV72)*$N73/100</f>
        <v>2.65</v>
      </c>
      <c r="AB73" s="266">
        <f>SUM(AB72:$AV72)*$N73/100</f>
        <v>0.53</v>
      </c>
      <c r="AC73" s="266">
        <v>0</v>
      </c>
      <c r="AD73" s="266">
        <v>0</v>
      </c>
      <c r="AE73" s="266">
        <v>0</v>
      </c>
      <c r="AF73" s="266">
        <v>0</v>
      </c>
      <c r="AG73" s="266">
        <v>0</v>
      </c>
      <c r="AH73" s="266">
        <v>0</v>
      </c>
      <c r="AI73" s="266">
        <v>0</v>
      </c>
      <c r="AJ73" s="266">
        <v>0</v>
      </c>
      <c r="AK73" s="266">
        <v>0</v>
      </c>
      <c r="AL73" s="266">
        <v>0</v>
      </c>
      <c r="AM73" s="266">
        <v>0</v>
      </c>
      <c r="AN73" s="266">
        <v>0</v>
      </c>
      <c r="AO73" s="266">
        <v>0</v>
      </c>
      <c r="AP73" s="266">
        <v>0</v>
      </c>
      <c r="AQ73" s="266">
        <v>0</v>
      </c>
      <c r="AR73" s="266">
        <v>0</v>
      </c>
      <c r="AS73" s="266">
        <v>0</v>
      </c>
      <c r="AT73" s="266">
        <v>0</v>
      </c>
      <c r="AU73" s="266">
        <v>0</v>
      </c>
      <c r="AV73" s="266">
        <v>0</v>
      </c>
      <c r="AW73" s="266"/>
      <c r="AX73" s="266"/>
      <c r="AY73" s="269">
        <f t="shared" si="11"/>
        <v>81.000000000000014</v>
      </c>
      <c r="AZ73" s="232">
        <f t="shared" si="7"/>
        <v>0</v>
      </c>
      <c r="BA73" s="268">
        <f t="shared" si="8"/>
        <v>3.1799999999999997</v>
      </c>
      <c r="BB73" s="269">
        <f t="shared" si="12"/>
        <v>81</v>
      </c>
      <c r="BD73" s="248" t="b">
        <f t="shared" si="9"/>
        <v>1</v>
      </c>
    </row>
    <row r="74" spans="2:57" s="248" customFormat="1" hidden="1" outlineLevel="1" x14ac:dyDescent="0.25">
      <c r="B74" s="249" t="s">
        <v>789</v>
      </c>
      <c r="C74" s="249">
        <v>35</v>
      </c>
      <c r="D74" s="249" t="s">
        <v>948</v>
      </c>
      <c r="E74" s="250" t="s">
        <v>949</v>
      </c>
      <c r="F74" s="249" t="s">
        <v>950</v>
      </c>
      <c r="G74" s="251" t="s">
        <v>951</v>
      </c>
      <c r="H74" s="251" t="s">
        <v>952</v>
      </c>
      <c r="I74" s="251" t="s">
        <v>748</v>
      </c>
      <c r="J74" s="252">
        <v>400000</v>
      </c>
      <c r="K74" s="253">
        <v>379509</v>
      </c>
      <c r="L74" s="253"/>
      <c r="M74" s="253"/>
      <c r="N74" s="254"/>
      <c r="O74" s="254">
        <v>4.242</v>
      </c>
      <c r="P74" s="254"/>
      <c r="Q74" s="254" t="s">
        <v>749</v>
      </c>
      <c r="R74" s="255">
        <v>6838</v>
      </c>
      <c r="S74" s="255">
        <v>6838</v>
      </c>
      <c r="T74" s="256">
        <f t="shared" si="10"/>
        <v>13676</v>
      </c>
      <c r="U74" s="256">
        <v>13676</v>
      </c>
      <c r="V74" s="256">
        <v>13676</v>
      </c>
      <c r="W74" s="256">
        <v>13676</v>
      </c>
      <c r="X74" s="256">
        <v>13676</v>
      </c>
      <c r="Y74" s="256">
        <v>13676</v>
      </c>
      <c r="Z74" s="256">
        <v>13676</v>
      </c>
      <c r="AA74" s="256">
        <v>13676</v>
      </c>
      <c r="AB74" s="256">
        <v>13676</v>
      </c>
      <c r="AC74" s="256">
        <v>13676</v>
      </c>
      <c r="AD74" s="256">
        <v>13676</v>
      </c>
      <c r="AE74" s="256">
        <v>13676</v>
      </c>
      <c r="AF74" s="256">
        <v>13676</v>
      </c>
      <c r="AG74" s="256">
        <v>13676</v>
      </c>
      <c r="AH74" s="256">
        <v>13676</v>
      </c>
      <c r="AI74" s="256">
        <v>13676</v>
      </c>
      <c r="AJ74" s="256">
        <v>13676</v>
      </c>
      <c r="AK74" s="256">
        <v>13676</v>
      </c>
      <c r="AL74" s="256">
        <v>13676</v>
      </c>
      <c r="AM74" s="256">
        <v>13676</v>
      </c>
      <c r="AN74" s="256">
        <v>13676</v>
      </c>
      <c r="AO74" s="256">
        <v>13676</v>
      </c>
      <c r="AP74" s="256">
        <v>13676</v>
      </c>
      <c r="AQ74" s="256">
        <v>13676</v>
      </c>
      <c r="AR74" s="256">
        <v>13676</v>
      </c>
      <c r="AS74" s="256">
        <v>13676</v>
      </c>
      <c r="AT74" s="256">
        <v>13676</v>
      </c>
      <c r="AU74" s="256">
        <v>13676</v>
      </c>
      <c r="AV74" s="256">
        <v>3419</v>
      </c>
      <c r="AW74" s="256"/>
      <c r="AX74" s="256"/>
      <c r="AY74" s="259">
        <f t="shared" si="11"/>
        <v>386347</v>
      </c>
      <c r="AZ74" s="232">
        <f t="shared" si="7"/>
        <v>0</v>
      </c>
      <c r="BA74" s="258">
        <f t="shared" si="8"/>
        <v>290615</v>
      </c>
      <c r="BB74" s="259">
        <f t="shared" si="12"/>
        <v>386347</v>
      </c>
      <c r="BD74" s="248" t="b">
        <f t="shared" si="9"/>
        <v>1</v>
      </c>
      <c r="BE74" s="260">
        <f>BB74-K74-R74</f>
        <v>0</v>
      </c>
    </row>
    <row r="75" spans="2:57" hidden="1" outlineLevel="1" x14ac:dyDescent="0.25">
      <c r="B75" s="261" t="s">
        <v>789</v>
      </c>
      <c r="C75" s="261"/>
      <c r="D75" s="272" t="s">
        <v>953</v>
      </c>
      <c r="E75" s="262"/>
      <c r="F75" s="261"/>
      <c r="G75" s="261"/>
      <c r="H75" s="261"/>
      <c r="I75" s="261"/>
      <c r="J75" s="263"/>
      <c r="K75" s="263"/>
      <c r="L75" s="263" t="s">
        <v>954</v>
      </c>
      <c r="M75" s="263"/>
      <c r="N75" s="264">
        <f t="shared" si="13"/>
        <v>4.5999999999999996</v>
      </c>
      <c r="O75" s="271">
        <v>4.5999999999999996</v>
      </c>
      <c r="P75" s="264">
        <f>$P$4</f>
        <v>0</v>
      </c>
      <c r="Q75" s="264" t="s">
        <v>751</v>
      </c>
      <c r="R75" s="265">
        <v>6157.64</v>
      </c>
      <c r="S75" s="265">
        <v>4109.7</v>
      </c>
      <c r="T75" s="266">
        <f t="shared" si="10"/>
        <v>10267.34</v>
      </c>
      <c r="U75" s="266">
        <f>SUM(U74:$AV74)*$N75/100</f>
        <v>17142.865999999998</v>
      </c>
      <c r="V75" s="266">
        <f>SUM(V74:$AV74)*$N75/100</f>
        <v>16513.769999999997</v>
      </c>
      <c r="W75" s="266">
        <f>SUM(W74:$AV74)*$N75/100</f>
        <v>15884.673999999999</v>
      </c>
      <c r="X75" s="266">
        <f>SUM(X74:$AV74)*$N75/100</f>
        <v>15255.577999999998</v>
      </c>
      <c r="Y75" s="266">
        <f>SUM(Y74:$AV74)*$N75/100</f>
        <v>14626.482</v>
      </c>
      <c r="Z75" s="266">
        <f>SUM(Z74:$AV74)*$N75/100</f>
        <v>13997.385999999999</v>
      </c>
      <c r="AA75" s="266">
        <f>SUM(AA74:$AV74)*$N75/100</f>
        <v>13368.29</v>
      </c>
      <c r="AB75" s="266">
        <f>SUM(AB74:$AV74)*$N75/100</f>
        <v>12739.194</v>
      </c>
      <c r="AC75" s="266">
        <f>SUM(AC74:$AV74)*$N75/100</f>
        <v>12110.097999999998</v>
      </c>
      <c r="AD75" s="266">
        <f>SUM(AD74:$AV74)*$N75/100</f>
        <v>11481.002</v>
      </c>
      <c r="AE75" s="266">
        <f>SUM(AE74:$AV74)*$N75/100</f>
        <v>10851.905999999999</v>
      </c>
      <c r="AF75" s="266">
        <f>SUM(AF74:$AV74)*$N75/100</f>
        <v>10222.81</v>
      </c>
      <c r="AG75" s="266">
        <f>SUM(AG74:$AV74)*$N75/100</f>
        <v>9593.7139999999999</v>
      </c>
      <c r="AH75" s="266">
        <f>SUM(AH74:$AV74)*$N75/100</f>
        <v>8964.6179999999986</v>
      </c>
      <c r="AI75" s="266">
        <f>SUM(AI74:$AV74)*$N75/100</f>
        <v>8335.521999999999</v>
      </c>
      <c r="AJ75" s="266">
        <f>SUM(AJ74:$AV74)*$N75/100</f>
        <v>7706.4259999999995</v>
      </c>
      <c r="AK75" s="266">
        <f>SUM(AK74:$AV74)*$N75/100</f>
        <v>7077.33</v>
      </c>
      <c r="AL75" s="266">
        <f>SUM(AL74:$AV74)*$N75/100</f>
        <v>6448.2339999999995</v>
      </c>
      <c r="AM75" s="266">
        <f>SUM(AM74:$AV74)*$N75/100</f>
        <v>5819.137999999999</v>
      </c>
      <c r="AN75" s="266">
        <f>SUM(AN74:$AV74)*$N75/100</f>
        <v>5190.0419999999995</v>
      </c>
      <c r="AO75" s="266">
        <f>SUM(AO74:$AV74)*$N75/100</f>
        <v>4560.9459999999999</v>
      </c>
      <c r="AP75" s="266">
        <f>SUM(AP74:$AV74)*$N75/100</f>
        <v>3931.8499999999995</v>
      </c>
      <c r="AQ75" s="266">
        <f>SUM(AQ74:$AV74)*$N75/100</f>
        <v>3302.7539999999995</v>
      </c>
      <c r="AR75" s="266">
        <f>SUM(AR74:$AV74)*$N75/100</f>
        <v>2673.6579999999999</v>
      </c>
      <c r="AS75" s="266">
        <f>SUM(AS74:$AV74)*$N75/100</f>
        <v>2044.5619999999999</v>
      </c>
      <c r="AT75" s="266">
        <f>SUM(AT74:$AV74)*$N75/100</f>
        <v>1415.4659999999997</v>
      </c>
      <c r="AU75" s="266">
        <f>SUM(AU74:$AV74)*$N75/100</f>
        <v>786.37</v>
      </c>
      <c r="AV75" s="266">
        <f>SUM(AV74:$AV74)*$N75/100</f>
        <v>157.274</v>
      </c>
      <c r="AW75" s="266"/>
      <c r="AX75" s="266"/>
      <c r="AY75" s="269">
        <f t="shared" si="11"/>
        <v>252469.29999999996</v>
      </c>
      <c r="AZ75" s="232">
        <f t="shared" si="7"/>
        <v>0</v>
      </c>
      <c r="BA75" s="268">
        <f t="shared" si="8"/>
        <v>148781.20399999997</v>
      </c>
      <c r="BB75" s="269">
        <f t="shared" si="12"/>
        <v>252469.29999999996</v>
      </c>
      <c r="BD75" s="248" t="b">
        <f t="shared" si="9"/>
        <v>1</v>
      </c>
    </row>
    <row r="76" spans="2:57" s="248" customFormat="1" hidden="1" outlineLevel="1" collapsed="1" x14ac:dyDescent="0.25">
      <c r="B76" s="249" t="s">
        <v>789</v>
      </c>
      <c r="C76" s="249">
        <v>36</v>
      </c>
      <c r="D76" s="249" t="s">
        <v>955</v>
      </c>
      <c r="E76" s="250" t="s">
        <v>956</v>
      </c>
      <c r="F76" s="249" t="s">
        <v>957</v>
      </c>
      <c r="G76" s="251" t="s">
        <v>958</v>
      </c>
      <c r="H76" s="251" t="s">
        <v>959</v>
      </c>
      <c r="I76" s="251" t="s">
        <v>748</v>
      </c>
      <c r="J76" s="252">
        <v>192902.34</v>
      </c>
      <c r="K76" s="253">
        <v>62660.34</v>
      </c>
      <c r="L76" s="253"/>
      <c r="M76" s="253"/>
      <c r="N76" s="254"/>
      <c r="O76" s="254"/>
      <c r="P76" s="254"/>
      <c r="Q76" s="254" t="s">
        <v>749</v>
      </c>
      <c r="R76" s="255">
        <v>43416</v>
      </c>
      <c r="S76" s="255">
        <v>43416</v>
      </c>
      <c r="T76" s="256">
        <f t="shared" si="10"/>
        <v>86832</v>
      </c>
      <c r="U76" s="256">
        <v>19244.34</v>
      </c>
      <c r="V76" s="256">
        <v>0</v>
      </c>
      <c r="W76" s="256">
        <v>0</v>
      </c>
      <c r="X76" s="256">
        <v>0</v>
      </c>
      <c r="Y76" s="256">
        <v>0</v>
      </c>
      <c r="Z76" s="256">
        <v>0</v>
      </c>
      <c r="AA76" s="256">
        <v>0</v>
      </c>
      <c r="AB76" s="256">
        <v>0</v>
      </c>
      <c r="AC76" s="256">
        <v>0</v>
      </c>
      <c r="AD76" s="256">
        <v>0</v>
      </c>
      <c r="AE76" s="256">
        <v>0</v>
      </c>
      <c r="AF76" s="256">
        <v>0</v>
      </c>
      <c r="AG76" s="256">
        <v>0</v>
      </c>
      <c r="AH76" s="256">
        <v>0</v>
      </c>
      <c r="AI76" s="256">
        <v>0</v>
      </c>
      <c r="AJ76" s="256">
        <v>0</v>
      </c>
      <c r="AK76" s="256">
        <v>0</v>
      </c>
      <c r="AL76" s="256">
        <v>0</v>
      </c>
      <c r="AM76" s="256">
        <v>0</v>
      </c>
      <c r="AN76" s="256">
        <v>0</v>
      </c>
      <c r="AO76" s="256">
        <v>0</v>
      </c>
      <c r="AP76" s="256">
        <v>0</v>
      </c>
      <c r="AQ76" s="256">
        <v>0</v>
      </c>
      <c r="AR76" s="256">
        <v>0</v>
      </c>
      <c r="AS76" s="256">
        <v>0</v>
      </c>
      <c r="AT76" s="256">
        <v>0</v>
      </c>
      <c r="AU76" s="256">
        <v>0</v>
      </c>
      <c r="AV76" s="256">
        <v>0</v>
      </c>
      <c r="AW76" s="256"/>
      <c r="AX76" s="256"/>
      <c r="AY76" s="259">
        <f t="shared" si="11"/>
        <v>106076.34</v>
      </c>
      <c r="AZ76" s="232">
        <f t="shared" si="7"/>
        <v>0</v>
      </c>
      <c r="BA76" s="258">
        <f t="shared" si="8"/>
        <v>0</v>
      </c>
      <c r="BB76" s="259">
        <f t="shared" si="12"/>
        <v>106076.34</v>
      </c>
      <c r="BD76" s="248" t="b">
        <f t="shared" si="9"/>
        <v>1</v>
      </c>
      <c r="BE76" s="260">
        <f>BB76-K76-R76</f>
        <v>0</v>
      </c>
    </row>
    <row r="77" spans="2:57" hidden="1" outlineLevel="1" x14ac:dyDescent="0.25">
      <c r="B77" s="261" t="s">
        <v>789</v>
      </c>
      <c r="C77" s="261"/>
      <c r="D77" s="272" t="s">
        <v>960</v>
      </c>
      <c r="E77" s="262"/>
      <c r="F77" s="261"/>
      <c r="G77" s="261"/>
      <c r="H77" s="261"/>
      <c r="I77" s="261"/>
      <c r="J77" s="263"/>
      <c r="K77" s="263"/>
      <c r="L77" s="263">
        <v>0</v>
      </c>
      <c r="M77" s="263" t="s">
        <v>934</v>
      </c>
      <c r="N77" s="264">
        <f t="shared" si="13"/>
        <v>0.25</v>
      </c>
      <c r="O77" s="264">
        <v>0.25</v>
      </c>
      <c r="P77" s="264">
        <f>$P$4</f>
        <v>0</v>
      </c>
      <c r="Q77" s="264" t="s">
        <v>751</v>
      </c>
      <c r="R77" s="265">
        <v>195.98</v>
      </c>
      <c r="S77" s="265">
        <v>38.380000000000003</v>
      </c>
      <c r="T77" s="266">
        <f t="shared" si="10"/>
        <v>234.35999999999999</v>
      </c>
      <c r="U77" s="266">
        <f>SUM(U76:$AV76)*$N77/100</f>
        <v>48.110849999999999</v>
      </c>
      <c r="V77" s="266">
        <v>0</v>
      </c>
      <c r="W77" s="266">
        <v>0</v>
      </c>
      <c r="X77" s="266">
        <v>0</v>
      </c>
      <c r="Y77" s="266">
        <v>0</v>
      </c>
      <c r="Z77" s="266">
        <v>0</v>
      </c>
      <c r="AA77" s="266">
        <v>0</v>
      </c>
      <c r="AB77" s="266">
        <v>0</v>
      </c>
      <c r="AC77" s="266">
        <v>0</v>
      </c>
      <c r="AD77" s="266">
        <v>0</v>
      </c>
      <c r="AE77" s="266">
        <v>0</v>
      </c>
      <c r="AF77" s="266">
        <v>0</v>
      </c>
      <c r="AG77" s="266">
        <v>0</v>
      </c>
      <c r="AH77" s="266">
        <v>0</v>
      </c>
      <c r="AI77" s="266">
        <v>0</v>
      </c>
      <c r="AJ77" s="266">
        <v>0</v>
      </c>
      <c r="AK77" s="266">
        <v>0</v>
      </c>
      <c r="AL77" s="266">
        <v>0</v>
      </c>
      <c r="AM77" s="266">
        <v>0</v>
      </c>
      <c r="AN77" s="266">
        <v>0</v>
      </c>
      <c r="AO77" s="266">
        <v>0</v>
      </c>
      <c r="AP77" s="266">
        <v>0</v>
      </c>
      <c r="AQ77" s="266">
        <v>0</v>
      </c>
      <c r="AR77" s="266">
        <v>0</v>
      </c>
      <c r="AS77" s="266">
        <v>0</v>
      </c>
      <c r="AT77" s="266">
        <v>0</v>
      </c>
      <c r="AU77" s="266">
        <v>0</v>
      </c>
      <c r="AV77" s="266">
        <v>0</v>
      </c>
      <c r="AW77" s="266"/>
      <c r="AX77" s="266"/>
      <c r="AY77" s="269">
        <f t="shared" si="11"/>
        <v>282.47084999999998</v>
      </c>
      <c r="AZ77" s="232">
        <f t="shared" si="7"/>
        <v>0</v>
      </c>
      <c r="BA77" s="268">
        <f t="shared" si="8"/>
        <v>0</v>
      </c>
      <c r="BB77" s="269">
        <f t="shared" si="12"/>
        <v>282.47084999999998</v>
      </c>
      <c r="BD77" s="248" t="b">
        <f t="shared" si="9"/>
        <v>1</v>
      </c>
    </row>
    <row r="78" spans="2:57" s="248" customFormat="1" hidden="1" outlineLevel="1" x14ac:dyDescent="0.25">
      <c r="B78" s="249" t="s">
        <v>789</v>
      </c>
      <c r="C78" s="249">
        <v>37</v>
      </c>
      <c r="D78" s="249" t="s">
        <v>961</v>
      </c>
      <c r="E78" s="250" t="s">
        <v>962</v>
      </c>
      <c r="F78" s="249" t="s">
        <v>963</v>
      </c>
      <c r="G78" s="251" t="s">
        <v>964</v>
      </c>
      <c r="H78" s="251" t="s">
        <v>965</v>
      </c>
      <c r="I78" s="251" t="s">
        <v>748</v>
      </c>
      <c r="J78" s="252">
        <v>279650</v>
      </c>
      <c r="K78" s="253">
        <v>265401</v>
      </c>
      <c r="L78" s="253"/>
      <c r="M78" s="253"/>
      <c r="N78" s="254"/>
      <c r="O78" s="254"/>
      <c r="P78" s="254"/>
      <c r="Q78" s="254" t="s">
        <v>749</v>
      </c>
      <c r="R78" s="255">
        <v>4782</v>
      </c>
      <c r="S78" s="255">
        <v>4782</v>
      </c>
      <c r="T78" s="256">
        <f t="shared" si="10"/>
        <v>9564</v>
      </c>
      <c r="U78" s="256">
        <v>9564</v>
      </c>
      <c r="V78" s="256">
        <v>9564</v>
      </c>
      <c r="W78" s="256">
        <v>9564</v>
      </c>
      <c r="X78" s="256">
        <v>9564</v>
      </c>
      <c r="Y78" s="256">
        <v>9564</v>
      </c>
      <c r="Z78" s="256">
        <v>9564</v>
      </c>
      <c r="AA78" s="256">
        <v>9564</v>
      </c>
      <c r="AB78" s="256">
        <v>9564</v>
      </c>
      <c r="AC78" s="256">
        <v>9564</v>
      </c>
      <c r="AD78" s="256">
        <v>9564</v>
      </c>
      <c r="AE78" s="256">
        <v>9564</v>
      </c>
      <c r="AF78" s="256">
        <v>9564</v>
      </c>
      <c r="AG78" s="256">
        <v>9564</v>
      </c>
      <c r="AH78" s="256">
        <v>9564</v>
      </c>
      <c r="AI78" s="256">
        <v>9564</v>
      </c>
      <c r="AJ78" s="256">
        <v>9564</v>
      </c>
      <c r="AK78" s="256">
        <v>9564</v>
      </c>
      <c r="AL78" s="256">
        <v>9564</v>
      </c>
      <c r="AM78" s="256">
        <v>9564</v>
      </c>
      <c r="AN78" s="256">
        <v>9564</v>
      </c>
      <c r="AO78" s="256">
        <v>9564</v>
      </c>
      <c r="AP78" s="256">
        <v>9564</v>
      </c>
      <c r="AQ78" s="256">
        <v>9564</v>
      </c>
      <c r="AR78" s="256">
        <v>9564</v>
      </c>
      <c r="AS78" s="256">
        <v>9564</v>
      </c>
      <c r="AT78" s="256">
        <v>9564</v>
      </c>
      <c r="AU78" s="256">
        <v>9564</v>
      </c>
      <c r="AV78" s="256">
        <v>2391</v>
      </c>
      <c r="AW78" s="256"/>
      <c r="AX78" s="256"/>
      <c r="AY78" s="259">
        <f t="shared" si="11"/>
        <v>270183</v>
      </c>
      <c r="AZ78" s="232">
        <f t="shared" si="7"/>
        <v>0</v>
      </c>
      <c r="BA78" s="258">
        <f t="shared" si="8"/>
        <v>203235</v>
      </c>
      <c r="BB78" s="259">
        <f t="shared" si="12"/>
        <v>270183</v>
      </c>
      <c r="BD78" s="248" t="b">
        <f t="shared" si="9"/>
        <v>1</v>
      </c>
      <c r="BE78" s="260">
        <f>BB78-K78-R78</f>
        <v>0</v>
      </c>
    </row>
    <row r="79" spans="2:57" hidden="1" outlineLevel="1" x14ac:dyDescent="0.25">
      <c r="B79" s="261" t="s">
        <v>789</v>
      </c>
      <c r="C79" s="261"/>
      <c r="D79" s="261"/>
      <c r="E79" s="262"/>
      <c r="F79" s="261"/>
      <c r="G79" s="261"/>
      <c r="H79" s="261"/>
      <c r="I79" s="261"/>
      <c r="J79" s="263"/>
      <c r="K79" s="263"/>
      <c r="L79" s="263" t="s">
        <v>966</v>
      </c>
      <c r="M79" s="263"/>
      <c r="N79" s="264">
        <f t="shared" si="13"/>
        <v>4.2030000000000003</v>
      </c>
      <c r="O79" s="264">
        <v>4.2030000000000003</v>
      </c>
      <c r="P79" s="264">
        <f>$P$4</f>
        <v>0</v>
      </c>
      <c r="Q79" s="264" t="s">
        <v>751</v>
      </c>
      <c r="R79" s="265">
        <v>3429.71</v>
      </c>
      <c r="S79" s="265">
        <v>2847.6</v>
      </c>
      <c r="T79" s="266">
        <f t="shared" si="10"/>
        <v>6277.3099999999995</v>
      </c>
      <c r="U79" s="266">
        <f>SUM(U78:$AV78)*$N79/100</f>
        <v>10953.816570000001</v>
      </c>
      <c r="V79" s="266">
        <f>SUM(V78:$AV78)*$N79/100</f>
        <v>10551.84165</v>
      </c>
      <c r="W79" s="266">
        <f>SUM(W78:$AV78)*$N79/100</f>
        <v>10149.866730000002</v>
      </c>
      <c r="X79" s="266">
        <f>SUM(X78:$AV78)*$N79/100</f>
        <v>9747.891810000001</v>
      </c>
      <c r="Y79" s="266">
        <f>SUM(Y78:$AV78)*$N79/100</f>
        <v>9345.9168900000004</v>
      </c>
      <c r="Z79" s="266">
        <f>SUM(Z78:$AV78)*$N79/100</f>
        <v>8943.9419699999999</v>
      </c>
      <c r="AA79" s="266">
        <f>SUM(AA78:$AV78)*$N79/100</f>
        <v>8541.9670500000011</v>
      </c>
      <c r="AB79" s="266">
        <f>SUM(AB78:$AV78)*$N79/100</f>
        <v>8139.9921300000015</v>
      </c>
      <c r="AC79" s="266">
        <f>SUM(AC78:$AV78)*$N79/100</f>
        <v>7738.01721</v>
      </c>
      <c r="AD79" s="266">
        <f>SUM(AD78:$AV78)*$N79/100</f>
        <v>7336.0422900000003</v>
      </c>
      <c r="AE79" s="266">
        <f>SUM(AE78:$AV78)*$N79/100</f>
        <v>6934.0673700000007</v>
      </c>
      <c r="AF79" s="266">
        <f>SUM(AF78:$AV78)*$N79/100</f>
        <v>6532.0924500000001</v>
      </c>
      <c r="AG79" s="266">
        <f>SUM(AG78:$AV78)*$N79/100</f>
        <v>6130.1175300000004</v>
      </c>
      <c r="AH79" s="266">
        <f>SUM(AH78:$AV78)*$N79/100</f>
        <v>5728.1426100000008</v>
      </c>
      <c r="AI79" s="266">
        <f>SUM(AI78:$AV78)*$N79/100</f>
        <v>5326.1676900000011</v>
      </c>
      <c r="AJ79" s="266">
        <f>SUM(AJ78:$AV78)*$N79/100</f>
        <v>4924.1927700000006</v>
      </c>
      <c r="AK79" s="266">
        <f>SUM(AK78:$AV78)*$N79/100</f>
        <v>4522.21785</v>
      </c>
      <c r="AL79" s="266">
        <f>SUM(AL78:$AV78)*$N79/100</f>
        <v>4120.2429300000003</v>
      </c>
      <c r="AM79" s="266">
        <f>SUM(AM78:$AV78)*$N79/100</f>
        <v>3718.2680100000002</v>
      </c>
      <c r="AN79" s="266">
        <f>SUM(AN78:$AV78)*$N79/100</f>
        <v>3316.2930900000001</v>
      </c>
      <c r="AO79" s="266">
        <f>SUM(AO78:$AV78)*$N79/100</f>
        <v>2914.3181700000005</v>
      </c>
      <c r="AP79" s="266">
        <f>SUM(AP78:$AV78)*$N79/100</f>
        <v>2512.3432499999999</v>
      </c>
      <c r="AQ79" s="266">
        <f>SUM(AQ78:$AV78)*$N79/100</f>
        <v>2110.3683300000002</v>
      </c>
      <c r="AR79" s="266">
        <f>SUM(AR78:$AV78)*$N79/100</f>
        <v>1708.3934100000001</v>
      </c>
      <c r="AS79" s="266">
        <f>SUM(AS78:$AV78)*$N79/100</f>
        <v>1306.41849</v>
      </c>
      <c r="AT79" s="266">
        <f>SUM(AT78:$AV78)*$N79/100</f>
        <v>904.44357000000002</v>
      </c>
      <c r="AU79" s="266">
        <f>SUM(AU78:$AV78)*$N79/100</f>
        <v>502.46865000000003</v>
      </c>
      <c r="AV79" s="266">
        <f>SUM(AV78:$AV78)*$N79/100</f>
        <v>100.49373000000001</v>
      </c>
      <c r="AW79" s="266"/>
      <c r="AX79" s="266"/>
      <c r="AY79" s="269">
        <f t="shared" si="11"/>
        <v>161037.65419999999</v>
      </c>
      <c r="AZ79" s="232">
        <f t="shared" si="7"/>
        <v>0</v>
      </c>
      <c r="BA79" s="268">
        <f t="shared" si="8"/>
        <v>95067.068580000036</v>
      </c>
      <c r="BB79" s="269">
        <f t="shared" si="12"/>
        <v>161037.65420000005</v>
      </c>
      <c r="BD79" s="248" t="b">
        <f t="shared" si="9"/>
        <v>1</v>
      </c>
    </row>
    <row r="80" spans="2:57" s="248" customFormat="1" hidden="1" outlineLevel="1" x14ac:dyDescent="0.25">
      <c r="B80" s="249" t="s">
        <v>789</v>
      </c>
      <c r="C80" s="249">
        <v>38</v>
      </c>
      <c r="D80" s="249" t="s">
        <v>967</v>
      </c>
      <c r="E80" s="250" t="s">
        <v>968</v>
      </c>
      <c r="F80" s="249" t="s">
        <v>969</v>
      </c>
      <c r="G80" s="251" t="s">
        <v>970</v>
      </c>
      <c r="H80" s="251" t="s">
        <v>971</v>
      </c>
      <c r="I80" s="251" t="s">
        <v>748</v>
      </c>
      <c r="J80" s="252">
        <v>2075409</v>
      </c>
      <c r="K80" s="253">
        <v>1486222</v>
      </c>
      <c r="L80" s="253"/>
      <c r="M80" s="253"/>
      <c r="N80" s="254"/>
      <c r="O80" s="254"/>
      <c r="P80" s="254"/>
      <c r="Q80" s="254" t="s">
        <v>749</v>
      </c>
      <c r="R80" s="255">
        <v>75020</v>
      </c>
      <c r="S80" s="255">
        <v>75020</v>
      </c>
      <c r="T80" s="256">
        <f t="shared" si="10"/>
        <v>150040</v>
      </c>
      <c r="U80" s="256">
        <v>128252</v>
      </c>
      <c r="V80" s="256">
        <v>123200</v>
      </c>
      <c r="W80" s="256">
        <v>121648</v>
      </c>
      <c r="X80" s="256">
        <v>117000</v>
      </c>
      <c r="Y80" s="256">
        <v>117000</v>
      </c>
      <c r="Z80" s="256">
        <v>117000</v>
      </c>
      <c r="AA80" s="256">
        <v>117000</v>
      </c>
      <c r="AB80" s="256">
        <v>110320</v>
      </c>
      <c r="AC80" s="256">
        <v>91212</v>
      </c>
      <c r="AD80" s="256">
        <v>82616</v>
      </c>
      <c r="AE80" s="256">
        <v>82616</v>
      </c>
      <c r="AF80" s="256">
        <v>82616</v>
      </c>
      <c r="AG80" s="256">
        <v>75860</v>
      </c>
      <c r="AH80" s="256">
        <v>36908</v>
      </c>
      <c r="AI80" s="256">
        <v>7954</v>
      </c>
      <c r="AJ80" s="256">
        <v>0</v>
      </c>
      <c r="AK80" s="256">
        <v>0</v>
      </c>
      <c r="AL80" s="256">
        <v>0</v>
      </c>
      <c r="AM80" s="256">
        <v>0</v>
      </c>
      <c r="AN80" s="256">
        <v>0</v>
      </c>
      <c r="AO80" s="256">
        <v>0</v>
      </c>
      <c r="AP80" s="256">
        <v>0</v>
      </c>
      <c r="AQ80" s="256">
        <v>0</v>
      </c>
      <c r="AR80" s="256">
        <v>0</v>
      </c>
      <c r="AS80" s="256">
        <v>0</v>
      </c>
      <c r="AT80" s="256">
        <v>0</v>
      </c>
      <c r="AU80" s="256">
        <v>0</v>
      </c>
      <c r="AV80" s="256">
        <v>0</v>
      </c>
      <c r="AW80" s="256"/>
      <c r="AX80" s="256"/>
      <c r="AY80" s="259">
        <f t="shared" si="11"/>
        <v>1561242</v>
      </c>
      <c r="AZ80" s="232">
        <f t="shared" si="7"/>
        <v>0</v>
      </c>
      <c r="BA80" s="258">
        <f t="shared" si="8"/>
        <v>687102</v>
      </c>
      <c r="BB80" s="259">
        <f t="shared" si="12"/>
        <v>1561242</v>
      </c>
      <c r="BD80" s="248" t="b">
        <f t="shared" si="9"/>
        <v>1</v>
      </c>
      <c r="BE80" s="260">
        <f>BB80-K80-R80</f>
        <v>0</v>
      </c>
    </row>
    <row r="81" spans="2:57" hidden="1" outlineLevel="1" x14ac:dyDescent="0.25">
      <c r="B81" s="261" t="s">
        <v>789</v>
      </c>
      <c r="C81" s="261"/>
      <c r="D81" s="272" t="s">
        <v>972</v>
      </c>
      <c r="E81" s="262"/>
      <c r="F81" s="261"/>
      <c r="G81" s="261"/>
      <c r="H81" s="261"/>
      <c r="I81" s="261"/>
      <c r="J81" s="263"/>
      <c r="K81" s="263"/>
      <c r="L81" s="263" t="s">
        <v>973</v>
      </c>
      <c r="M81" s="263"/>
      <c r="N81" s="264">
        <f t="shared" si="13"/>
        <v>4.0750000000000002</v>
      </c>
      <c r="O81" s="264">
        <v>4.0750000000000002</v>
      </c>
      <c r="P81" s="264">
        <f>$P$4</f>
        <v>0</v>
      </c>
      <c r="Q81" s="264" t="s">
        <v>751</v>
      </c>
      <c r="R81" s="265">
        <v>13337.62</v>
      </c>
      <c r="S81" s="265">
        <v>14483.98</v>
      </c>
      <c r="T81" s="266">
        <f t="shared" si="10"/>
        <v>27821.599999999999</v>
      </c>
      <c r="U81" s="266">
        <f>SUM(U80:$AV80)*$N81/100</f>
        <v>57506.481500000002</v>
      </c>
      <c r="V81" s="266">
        <f>SUM(V80:$AV80)*$N81/100</f>
        <v>52280.212500000001</v>
      </c>
      <c r="W81" s="266">
        <f>SUM(W80:$AV80)*$N81/100</f>
        <v>47259.8125</v>
      </c>
      <c r="X81" s="266">
        <f>SUM(X80:$AV80)*$N81/100</f>
        <v>42302.656500000005</v>
      </c>
      <c r="Y81" s="266">
        <f>SUM(Y80:$AV80)*$N81/100</f>
        <v>37534.906500000005</v>
      </c>
      <c r="Z81" s="266">
        <f>SUM(Z80:$AV80)*$N81/100</f>
        <v>32767.156500000005</v>
      </c>
      <c r="AA81" s="266">
        <f>SUM(AA80:$AV80)*$N81/100</f>
        <v>27999.406499999997</v>
      </c>
      <c r="AB81" s="266">
        <f>SUM(AB80:$AV80)*$N81/100</f>
        <v>23231.656499999997</v>
      </c>
      <c r="AC81" s="266">
        <f>SUM(AC80:$AV80)*$N81/100</f>
        <v>18736.1165</v>
      </c>
      <c r="AD81" s="266">
        <f>SUM(AD80:$AV80)*$N81/100</f>
        <v>15019.227500000001</v>
      </c>
      <c r="AE81" s="266">
        <f>SUM(AE80:$AV80)*$N81/100</f>
        <v>11652.6255</v>
      </c>
      <c r="AF81" s="266">
        <f>SUM(AF80:$AV80)*$N81/100</f>
        <v>8286.0235000000011</v>
      </c>
      <c r="AG81" s="266">
        <f>SUM(AG80:$AV80)*$N81/100</f>
        <v>4919.4215000000004</v>
      </c>
      <c r="AH81" s="266">
        <f>SUM(AH80:$AV80)*$N81/100</f>
        <v>1828.1264999999999</v>
      </c>
      <c r="AI81" s="266">
        <f>SUM(AI80:$AV80)*$N81/100</f>
        <v>324.12550000000005</v>
      </c>
      <c r="AJ81" s="266">
        <v>0</v>
      </c>
      <c r="AK81" s="266">
        <v>0</v>
      </c>
      <c r="AL81" s="266">
        <v>0</v>
      </c>
      <c r="AM81" s="266">
        <v>0</v>
      </c>
      <c r="AN81" s="266">
        <v>0</v>
      </c>
      <c r="AO81" s="266">
        <v>0</v>
      </c>
      <c r="AP81" s="266">
        <v>0</v>
      </c>
      <c r="AQ81" s="266">
        <v>0</v>
      </c>
      <c r="AR81" s="266">
        <v>0</v>
      </c>
      <c r="AS81" s="266">
        <v>0</v>
      </c>
      <c r="AT81" s="266">
        <v>0</v>
      </c>
      <c r="AU81" s="266">
        <v>0</v>
      </c>
      <c r="AV81" s="266">
        <v>0</v>
      </c>
      <c r="AW81" s="266"/>
      <c r="AX81" s="266"/>
      <c r="AY81" s="269">
        <f t="shared" si="11"/>
        <v>409469.55550000002</v>
      </c>
      <c r="AZ81" s="232">
        <f t="shared" si="7"/>
        <v>0</v>
      </c>
      <c r="BA81" s="268">
        <f t="shared" si="8"/>
        <v>111996.72949999999</v>
      </c>
      <c r="BB81" s="269">
        <f t="shared" si="12"/>
        <v>409469.55550000002</v>
      </c>
      <c r="BD81" s="248" t="b">
        <f t="shared" si="9"/>
        <v>1</v>
      </c>
    </row>
    <row r="82" spans="2:57" s="248" customFormat="1" hidden="1" outlineLevel="1" x14ac:dyDescent="0.25">
      <c r="B82" s="249" t="s">
        <v>789</v>
      </c>
      <c r="C82" s="249">
        <v>39</v>
      </c>
      <c r="D82" s="249" t="s">
        <v>974</v>
      </c>
      <c r="E82" s="250" t="s">
        <v>975</v>
      </c>
      <c r="F82" s="249" t="s">
        <v>976</v>
      </c>
      <c r="G82" s="251" t="s">
        <v>977</v>
      </c>
      <c r="H82" s="251" t="s">
        <v>978</v>
      </c>
      <c r="I82" s="251" t="s">
        <v>748</v>
      </c>
      <c r="J82" s="252">
        <v>617703</v>
      </c>
      <c r="K82" s="253">
        <v>586320</v>
      </c>
      <c r="L82" s="253"/>
      <c r="M82" s="253"/>
      <c r="N82" s="254"/>
      <c r="O82" s="254"/>
      <c r="P82" s="254"/>
      <c r="Q82" s="254" t="s">
        <v>749</v>
      </c>
      <c r="R82" s="255">
        <v>10470</v>
      </c>
      <c r="S82" s="255">
        <v>10470</v>
      </c>
      <c r="T82" s="256">
        <f t="shared" si="10"/>
        <v>20940</v>
      </c>
      <c r="U82" s="256">
        <v>20940</v>
      </c>
      <c r="V82" s="256">
        <v>20940</v>
      </c>
      <c r="W82" s="256">
        <v>20940</v>
      </c>
      <c r="X82" s="256">
        <v>20940</v>
      </c>
      <c r="Y82" s="256">
        <v>20940</v>
      </c>
      <c r="Z82" s="256">
        <v>20940</v>
      </c>
      <c r="AA82" s="256">
        <v>20940</v>
      </c>
      <c r="AB82" s="256">
        <v>20940</v>
      </c>
      <c r="AC82" s="256">
        <v>20940</v>
      </c>
      <c r="AD82" s="256">
        <v>20940</v>
      </c>
      <c r="AE82" s="256">
        <v>20940</v>
      </c>
      <c r="AF82" s="256">
        <v>20940</v>
      </c>
      <c r="AG82" s="256">
        <v>20940</v>
      </c>
      <c r="AH82" s="256">
        <v>20940</v>
      </c>
      <c r="AI82" s="256">
        <v>20940</v>
      </c>
      <c r="AJ82" s="256">
        <v>20940</v>
      </c>
      <c r="AK82" s="256">
        <v>20940</v>
      </c>
      <c r="AL82" s="256">
        <v>20940</v>
      </c>
      <c r="AM82" s="256">
        <v>20940</v>
      </c>
      <c r="AN82" s="256">
        <v>20940</v>
      </c>
      <c r="AO82" s="256">
        <v>20940</v>
      </c>
      <c r="AP82" s="256">
        <v>20940</v>
      </c>
      <c r="AQ82" s="256">
        <v>20940</v>
      </c>
      <c r="AR82" s="256">
        <v>20940</v>
      </c>
      <c r="AS82" s="256">
        <v>20940</v>
      </c>
      <c r="AT82" s="256">
        <v>20940</v>
      </c>
      <c r="AU82" s="256">
        <v>20940</v>
      </c>
      <c r="AV82" s="256">
        <v>10470</v>
      </c>
      <c r="AW82" s="256"/>
      <c r="AX82" s="256"/>
      <c r="AY82" s="259">
        <f t="shared" si="11"/>
        <v>596790</v>
      </c>
      <c r="AZ82" s="232">
        <f t="shared" si="7"/>
        <v>0</v>
      </c>
      <c r="BA82" s="258">
        <f t="shared" si="8"/>
        <v>450210</v>
      </c>
      <c r="BB82" s="259">
        <f t="shared" si="12"/>
        <v>596790</v>
      </c>
      <c r="BD82" s="248" t="b">
        <f t="shared" si="9"/>
        <v>1</v>
      </c>
      <c r="BE82" s="260">
        <f>BB82-K82-R82</f>
        <v>0</v>
      </c>
    </row>
    <row r="83" spans="2:57" hidden="1" outlineLevel="1" x14ac:dyDescent="0.25">
      <c r="B83" s="261" t="s">
        <v>789</v>
      </c>
      <c r="C83" s="261"/>
      <c r="D83" s="261"/>
      <c r="E83" s="262"/>
      <c r="F83" s="261"/>
      <c r="G83" s="261"/>
      <c r="H83" s="261"/>
      <c r="I83" s="261"/>
      <c r="J83" s="263"/>
      <c r="K83" s="263"/>
      <c r="L83" s="263" t="s">
        <v>979</v>
      </c>
      <c r="M83" s="263"/>
      <c r="N83" s="264">
        <f t="shared" si="13"/>
        <v>4.5049999999999999</v>
      </c>
      <c r="O83" s="264">
        <v>4.5049999999999999</v>
      </c>
      <c r="P83" s="264">
        <f>$P$4</f>
        <v>0</v>
      </c>
      <c r="Q83" s="264" t="s">
        <v>751</v>
      </c>
      <c r="R83" s="265">
        <v>7353.73</v>
      </c>
      <c r="S83" s="265">
        <v>6742.97</v>
      </c>
      <c r="T83" s="266">
        <f t="shared" si="10"/>
        <v>14096.7</v>
      </c>
      <c r="U83" s="266">
        <f>SUM(U82:$AV82)*$N83/100</f>
        <v>25942.0425</v>
      </c>
      <c r="V83" s="266">
        <f>SUM(V82:$AV82)*$N83/100</f>
        <v>24998.695499999998</v>
      </c>
      <c r="W83" s="266">
        <f>SUM(W82:$AV82)*$N83/100</f>
        <v>24055.3485</v>
      </c>
      <c r="X83" s="266">
        <f>SUM(X82:$AV82)*$N83/100</f>
        <v>23112.001499999998</v>
      </c>
      <c r="Y83" s="266">
        <f>SUM(Y82:$AV82)*$N83/100</f>
        <v>22168.654499999997</v>
      </c>
      <c r="Z83" s="266">
        <f>SUM(Z82:$AV82)*$N83/100</f>
        <v>21225.307499999999</v>
      </c>
      <c r="AA83" s="266">
        <f>SUM(AA82:$AV82)*$N83/100</f>
        <v>20281.960500000001</v>
      </c>
      <c r="AB83" s="266">
        <f>SUM(AB82:$AV82)*$N83/100</f>
        <v>19338.613499999999</v>
      </c>
      <c r="AC83" s="266">
        <f>SUM(AC82:$AV82)*$N83/100</f>
        <v>18395.266499999998</v>
      </c>
      <c r="AD83" s="266">
        <f>SUM(AD82:$AV82)*$N83/100</f>
        <v>17451.9195</v>
      </c>
      <c r="AE83" s="266">
        <f>SUM(AE82:$AV82)*$N83/100</f>
        <v>16508.572499999998</v>
      </c>
      <c r="AF83" s="266">
        <f>SUM(AF82:$AV82)*$N83/100</f>
        <v>15565.2255</v>
      </c>
      <c r="AG83" s="266">
        <f>SUM(AG82:$AV82)*$N83/100</f>
        <v>14621.878499999999</v>
      </c>
      <c r="AH83" s="266">
        <f>SUM(AH82:$AV82)*$N83/100</f>
        <v>13678.531499999999</v>
      </c>
      <c r="AI83" s="266">
        <f>SUM(AI82:$AV82)*$N83/100</f>
        <v>12735.184499999999</v>
      </c>
      <c r="AJ83" s="266">
        <f>SUM(AJ82:$AV82)*$N83/100</f>
        <v>11791.8375</v>
      </c>
      <c r="AK83" s="266">
        <f>SUM(AK82:$AV82)*$N83/100</f>
        <v>10848.4905</v>
      </c>
      <c r="AL83" s="266">
        <f>SUM(AL82:$AV82)*$N83/100</f>
        <v>9905.1435000000001</v>
      </c>
      <c r="AM83" s="266">
        <f>SUM(AM82:$AV82)*$N83/100</f>
        <v>8961.7965000000004</v>
      </c>
      <c r="AN83" s="266">
        <f>SUM(AN82:$AV82)*$N83/100</f>
        <v>8018.4494999999997</v>
      </c>
      <c r="AO83" s="266">
        <f>SUM(AO82:$AV82)*$N83/100</f>
        <v>7075.1025</v>
      </c>
      <c r="AP83" s="266">
        <f>SUM(AP82:$AV82)*$N83/100</f>
        <v>6131.7554999999993</v>
      </c>
      <c r="AQ83" s="266">
        <f>SUM(AQ82:$AV82)*$N83/100</f>
        <v>5188.4084999999995</v>
      </c>
      <c r="AR83" s="266">
        <f>SUM(AR82:$AV82)*$N83/100</f>
        <v>4245.0614999999998</v>
      </c>
      <c r="AS83" s="266">
        <f>SUM(AS82:$AV82)*$N83/100</f>
        <v>3301.7145</v>
      </c>
      <c r="AT83" s="266">
        <f>SUM(AT82:$AV82)*$N83/100</f>
        <v>2358.3674999999998</v>
      </c>
      <c r="AU83" s="266">
        <f>SUM(AU82:$AV82)*$N83/100</f>
        <v>1415.0204999999999</v>
      </c>
      <c r="AV83" s="266">
        <f>SUM(AV82:$AV82)*$N83/100</f>
        <v>471.67349999999999</v>
      </c>
      <c r="AW83" s="266"/>
      <c r="AX83" s="266"/>
      <c r="AY83" s="269">
        <f t="shared" si="11"/>
        <v>383888.72399999987</v>
      </c>
      <c r="AZ83" s="232">
        <f t="shared" si="7"/>
        <v>0</v>
      </c>
      <c r="BA83" s="268">
        <f t="shared" si="8"/>
        <v>228289.97400000002</v>
      </c>
      <c r="BB83" s="269">
        <f t="shared" si="12"/>
        <v>383888.72399999999</v>
      </c>
      <c r="BD83" s="248" t="b">
        <f t="shared" si="9"/>
        <v>1</v>
      </c>
    </row>
    <row r="84" spans="2:57" s="248" customFormat="1" hidden="1" outlineLevel="1" x14ac:dyDescent="0.25">
      <c r="B84" s="249" t="s">
        <v>789</v>
      </c>
      <c r="C84" s="249">
        <v>40</v>
      </c>
      <c r="D84" s="249" t="s">
        <v>980</v>
      </c>
      <c r="E84" s="250" t="s">
        <v>981</v>
      </c>
      <c r="F84" s="249" t="s">
        <v>982</v>
      </c>
      <c r="G84" s="251" t="s">
        <v>983</v>
      </c>
      <c r="H84" s="251" t="s">
        <v>984</v>
      </c>
      <c r="I84" s="251" t="s">
        <v>748</v>
      </c>
      <c r="J84" s="252">
        <v>131926.07</v>
      </c>
      <c r="K84" s="253">
        <v>121795.07</v>
      </c>
      <c r="L84" s="253"/>
      <c r="M84" s="253"/>
      <c r="N84" s="254"/>
      <c r="O84" s="254"/>
      <c r="P84" s="254"/>
      <c r="Q84" s="254" t="s">
        <v>749</v>
      </c>
      <c r="R84" s="255">
        <v>3386</v>
      </c>
      <c r="S84" s="255">
        <v>3386</v>
      </c>
      <c r="T84" s="256">
        <f t="shared" si="10"/>
        <v>6772</v>
      </c>
      <c r="U84" s="256">
        <v>6772</v>
      </c>
      <c r="V84" s="256">
        <v>6772</v>
      </c>
      <c r="W84" s="256">
        <v>6772</v>
      </c>
      <c r="X84" s="256">
        <v>6772</v>
      </c>
      <c r="Y84" s="256">
        <v>6772</v>
      </c>
      <c r="Z84" s="256">
        <v>6772</v>
      </c>
      <c r="AA84" s="256">
        <v>6772</v>
      </c>
      <c r="AB84" s="256">
        <v>6772</v>
      </c>
      <c r="AC84" s="256">
        <v>6772</v>
      </c>
      <c r="AD84" s="256">
        <v>6772</v>
      </c>
      <c r="AE84" s="256">
        <v>6772</v>
      </c>
      <c r="AF84" s="256">
        <v>6772</v>
      </c>
      <c r="AG84" s="256">
        <v>6772</v>
      </c>
      <c r="AH84" s="256">
        <v>6772</v>
      </c>
      <c r="AI84" s="256">
        <v>6772</v>
      </c>
      <c r="AJ84" s="256">
        <v>6772</v>
      </c>
      <c r="AK84" s="256">
        <v>6772</v>
      </c>
      <c r="AL84" s="256">
        <v>3285.0699999999997</v>
      </c>
      <c r="AM84" s="256">
        <v>0</v>
      </c>
      <c r="AN84" s="256">
        <v>0</v>
      </c>
      <c r="AO84" s="256">
        <v>0</v>
      </c>
      <c r="AP84" s="256">
        <v>0</v>
      </c>
      <c r="AQ84" s="256">
        <v>0</v>
      </c>
      <c r="AR84" s="256">
        <v>0</v>
      </c>
      <c r="AS84" s="256">
        <v>0</v>
      </c>
      <c r="AT84" s="256">
        <v>0</v>
      </c>
      <c r="AU84" s="256">
        <v>0</v>
      </c>
      <c r="AV84" s="256">
        <v>0</v>
      </c>
      <c r="AW84" s="256"/>
      <c r="AX84" s="256"/>
      <c r="AY84" s="259">
        <f t="shared" si="11"/>
        <v>125181.07</v>
      </c>
      <c r="AZ84" s="232">
        <f t="shared" si="7"/>
        <v>0</v>
      </c>
      <c r="BA84" s="258">
        <f t="shared" si="8"/>
        <v>77777.070000000007</v>
      </c>
      <c r="BB84" s="259">
        <f t="shared" si="12"/>
        <v>125181.07</v>
      </c>
      <c r="BD84" s="248" t="b">
        <f t="shared" si="9"/>
        <v>1</v>
      </c>
      <c r="BE84" s="260">
        <f>BB84-K84-R84</f>
        <v>0</v>
      </c>
    </row>
    <row r="85" spans="2:57" hidden="1" outlineLevel="1" x14ac:dyDescent="0.25">
      <c r="B85" s="261" t="s">
        <v>789</v>
      </c>
      <c r="C85" s="261"/>
      <c r="D85" s="261"/>
      <c r="E85" s="262"/>
      <c r="F85" s="261"/>
      <c r="G85" s="261"/>
      <c r="H85" s="261"/>
      <c r="I85" s="261"/>
      <c r="J85" s="263"/>
      <c r="K85" s="263"/>
      <c r="L85" s="263" t="s">
        <v>985</v>
      </c>
      <c r="M85" s="263"/>
      <c r="N85" s="264">
        <f t="shared" si="13"/>
        <v>4.41</v>
      </c>
      <c r="O85" s="264">
        <v>4.41</v>
      </c>
      <c r="P85" s="264">
        <f>$P$4</f>
        <v>0</v>
      </c>
      <c r="Q85" s="264" t="s">
        <v>751</v>
      </c>
      <c r="R85" s="265">
        <v>1202.1199999999999</v>
      </c>
      <c r="S85" s="265">
        <v>1370.35</v>
      </c>
      <c r="T85" s="266">
        <f t="shared" si="10"/>
        <v>2572.4699999999998</v>
      </c>
      <c r="U85" s="266">
        <f>SUM(U84:$AV84)*$N85/100</f>
        <v>5221.8399870000003</v>
      </c>
      <c r="V85" s="266">
        <f>SUM(V84:$AV84)*$N85/100</f>
        <v>4923.1947870000004</v>
      </c>
      <c r="W85" s="266">
        <f>SUM(W84:$AV84)*$N85/100</f>
        <v>4624.5495870000004</v>
      </c>
      <c r="X85" s="266">
        <f>SUM(X84:$AV84)*$N85/100</f>
        <v>4325.9043870000005</v>
      </c>
      <c r="Y85" s="266">
        <f>SUM(Y84:$AV84)*$N85/100</f>
        <v>4027.2591870000006</v>
      </c>
      <c r="Z85" s="266">
        <f>SUM(Z84:$AV84)*$N85/100</f>
        <v>3728.6139870000002</v>
      </c>
      <c r="AA85" s="266">
        <f>SUM(AA84:$AV84)*$N85/100</f>
        <v>3429.9687870000007</v>
      </c>
      <c r="AB85" s="266">
        <f>SUM(AB84:$AV84)*$N85/100</f>
        <v>3131.3235870000003</v>
      </c>
      <c r="AC85" s="266">
        <f>SUM(AC84:$AV84)*$N85/100</f>
        <v>2832.6783870000004</v>
      </c>
      <c r="AD85" s="266">
        <f>SUM(AD84:$AV84)*$N85/100</f>
        <v>2534.033187</v>
      </c>
      <c r="AE85" s="266">
        <f>SUM(AE84:$AV84)*$N85/100</f>
        <v>2235.3879870000001</v>
      </c>
      <c r="AF85" s="266">
        <f>SUM(AF84:$AV84)*$N85/100</f>
        <v>1936.7427869999999</v>
      </c>
      <c r="AG85" s="266">
        <f>SUM(AG84:$AV84)*$N85/100</f>
        <v>1638.097587</v>
      </c>
      <c r="AH85" s="266">
        <f>SUM(AH84:$AV84)*$N85/100</f>
        <v>1339.4523870000003</v>
      </c>
      <c r="AI85" s="266">
        <f>SUM(AI84:$AV84)*$N85/100</f>
        <v>1040.8071869999999</v>
      </c>
      <c r="AJ85" s="266">
        <f>SUM(AJ84:$AV84)*$N85/100</f>
        <v>742.16198700000007</v>
      </c>
      <c r="AK85" s="266">
        <f>SUM(AK84:$AV84)*$N85/100</f>
        <v>443.51678699999997</v>
      </c>
      <c r="AL85" s="266">
        <f>SUM(AL84:$AV84)*$N85/100</f>
        <v>144.87158700000001</v>
      </c>
      <c r="AM85" s="266">
        <v>0</v>
      </c>
      <c r="AN85" s="266">
        <v>0</v>
      </c>
      <c r="AO85" s="266">
        <v>0</v>
      </c>
      <c r="AP85" s="266">
        <v>0</v>
      </c>
      <c r="AQ85" s="266">
        <v>0</v>
      </c>
      <c r="AR85" s="266">
        <v>0</v>
      </c>
      <c r="AS85" s="266">
        <v>0</v>
      </c>
      <c r="AT85" s="266">
        <v>0</v>
      </c>
      <c r="AU85" s="266">
        <v>0</v>
      </c>
      <c r="AV85" s="266">
        <v>0</v>
      </c>
      <c r="AW85" s="266"/>
      <c r="AX85" s="266"/>
      <c r="AY85" s="269">
        <f t="shared" si="11"/>
        <v>50872.874166000001</v>
      </c>
      <c r="AZ85" s="232">
        <f t="shared" si="7"/>
        <v>0</v>
      </c>
      <c r="BA85" s="268">
        <f t="shared" si="8"/>
        <v>21449.042244</v>
      </c>
      <c r="BB85" s="269">
        <f t="shared" si="12"/>
        <v>50872.874166000009</v>
      </c>
      <c r="BD85" s="248" t="b">
        <f t="shared" si="9"/>
        <v>1</v>
      </c>
    </row>
    <row r="86" spans="2:57" s="248" customFormat="1" hidden="1" outlineLevel="1" x14ac:dyDescent="0.25">
      <c r="B86" s="249" t="s">
        <v>789</v>
      </c>
      <c r="C86" s="249">
        <v>41</v>
      </c>
      <c r="D86" s="249" t="s">
        <v>986</v>
      </c>
      <c r="E86" s="250" t="s">
        <v>987</v>
      </c>
      <c r="F86" s="249" t="s">
        <v>988</v>
      </c>
      <c r="G86" s="251" t="s">
        <v>983</v>
      </c>
      <c r="H86" s="251" t="s">
        <v>984</v>
      </c>
      <c r="I86" s="251" t="s">
        <v>748</v>
      </c>
      <c r="J86" s="252">
        <v>145332</v>
      </c>
      <c r="K86" s="253">
        <v>134208</v>
      </c>
      <c r="L86" s="253"/>
      <c r="M86" s="253"/>
      <c r="N86" s="254"/>
      <c r="O86" s="254"/>
      <c r="P86" s="254"/>
      <c r="Q86" s="254" t="s">
        <v>749</v>
      </c>
      <c r="R86" s="255">
        <v>3728</v>
      </c>
      <c r="S86" s="255">
        <v>3728</v>
      </c>
      <c r="T86" s="256">
        <f t="shared" si="10"/>
        <v>7456</v>
      </c>
      <c r="U86" s="256">
        <v>7456</v>
      </c>
      <c r="V86" s="256">
        <v>7456</v>
      </c>
      <c r="W86" s="256">
        <v>7456</v>
      </c>
      <c r="X86" s="256">
        <v>7456</v>
      </c>
      <c r="Y86" s="256">
        <v>7456</v>
      </c>
      <c r="Z86" s="256">
        <v>7456</v>
      </c>
      <c r="AA86" s="256">
        <v>7456</v>
      </c>
      <c r="AB86" s="256">
        <v>7456</v>
      </c>
      <c r="AC86" s="256">
        <v>7456</v>
      </c>
      <c r="AD86" s="256">
        <v>7456</v>
      </c>
      <c r="AE86" s="256">
        <v>7456</v>
      </c>
      <c r="AF86" s="256">
        <v>7456</v>
      </c>
      <c r="AG86" s="256">
        <v>7456</v>
      </c>
      <c r="AH86" s="256">
        <v>7456</v>
      </c>
      <c r="AI86" s="256">
        <v>7456</v>
      </c>
      <c r="AJ86" s="256">
        <v>7456</v>
      </c>
      <c r="AK86" s="256">
        <v>7456</v>
      </c>
      <c r="AL86" s="256">
        <v>3728</v>
      </c>
      <c r="AM86" s="256">
        <v>0</v>
      </c>
      <c r="AN86" s="256">
        <v>0</v>
      </c>
      <c r="AO86" s="256">
        <v>0</v>
      </c>
      <c r="AP86" s="256">
        <v>0</v>
      </c>
      <c r="AQ86" s="256">
        <v>0</v>
      </c>
      <c r="AR86" s="256">
        <v>0</v>
      </c>
      <c r="AS86" s="256">
        <v>0</v>
      </c>
      <c r="AT86" s="256">
        <v>0</v>
      </c>
      <c r="AU86" s="256">
        <v>0</v>
      </c>
      <c r="AV86" s="256">
        <v>0</v>
      </c>
      <c r="AW86" s="256"/>
      <c r="AX86" s="256"/>
      <c r="AY86" s="259">
        <f t="shared" si="11"/>
        <v>137936</v>
      </c>
      <c r="AZ86" s="232">
        <f t="shared" si="7"/>
        <v>0</v>
      </c>
      <c r="BA86" s="258">
        <f t="shared" si="8"/>
        <v>85744</v>
      </c>
      <c r="BB86" s="259">
        <f t="shared" si="12"/>
        <v>137936</v>
      </c>
      <c r="BD86" s="248" t="b">
        <f t="shared" si="9"/>
        <v>1</v>
      </c>
      <c r="BE86" s="260">
        <f>BB86-K86-R86</f>
        <v>0</v>
      </c>
    </row>
    <row r="87" spans="2:57" hidden="1" outlineLevel="1" x14ac:dyDescent="0.25">
      <c r="B87" s="261" t="s">
        <v>789</v>
      </c>
      <c r="C87" s="261"/>
      <c r="D87" s="272" t="s">
        <v>989</v>
      </c>
      <c r="E87" s="262"/>
      <c r="F87" s="261"/>
      <c r="G87" s="261"/>
      <c r="H87" s="261"/>
      <c r="I87" s="261"/>
      <c r="J87" s="263"/>
      <c r="K87" s="263"/>
      <c r="L87" s="263" t="s">
        <v>985</v>
      </c>
      <c r="M87" s="263"/>
      <c r="N87" s="264">
        <f t="shared" si="13"/>
        <v>4.41</v>
      </c>
      <c r="O87" s="264">
        <v>4.41</v>
      </c>
      <c r="P87" s="264">
        <f>$P$4</f>
        <v>0</v>
      </c>
      <c r="Q87" s="264" t="s">
        <v>751</v>
      </c>
      <c r="R87" s="265">
        <v>1324.6100000000001</v>
      </c>
      <c r="S87" s="265">
        <v>1510.01</v>
      </c>
      <c r="T87" s="266">
        <f t="shared" si="10"/>
        <v>2834.62</v>
      </c>
      <c r="U87" s="266">
        <f>SUM(U86:$AV86)*$N87/100</f>
        <v>5754.1680000000006</v>
      </c>
      <c r="V87" s="266">
        <f>SUM(V86:$AV86)*$N87/100</f>
        <v>5425.3584000000001</v>
      </c>
      <c r="W87" s="266">
        <f>SUM(W86:$AV86)*$N87/100</f>
        <v>5096.5488000000005</v>
      </c>
      <c r="X87" s="266">
        <f>SUM(X86:$AV86)*$N87/100</f>
        <v>4767.7392</v>
      </c>
      <c r="Y87" s="266">
        <f>SUM(Y86:$AV86)*$N87/100</f>
        <v>4438.9296000000004</v>
      </c>
      <c r="Z87" s="266">
        <f>SUM(Z86:$AV86)*$N87/100</f>
        <v>4110.12</v>
      </c>
      <c r="AA87" s="266">
        <f>SUM(AA86:$AV86)*$N87/100</f>
        <v>3781.3104000000003</v>
      </c>
      <c r="AB87" s="266">
        <f>SUM(AB86:$AV86)*$N87/100</f>
        <v>3452.5008000000003</v>
      </c>
      <c r="AC87" s="266">
        <f>SUM(AC86:$AV86)*$N87/100</f>
        <v>3123.6911999999998</v>
      </c>
      <c r="AD87" s="266">
        <f>SUM(AD86:$AV86)*$N87/100</f>
        <v>2794.8816000000002</v>
      </c>
      <c r="AE87" s="266">
        <f>SUM(AE86:$AV86)*$N87/100</f>
        <v>2466.0720000000001</v>
      </c>
      <c r="AF87" s="266">
        <f>SUM(AF86:$AV86)*$N87/100</f>
        <v>2137.2624000000001</v>
      </c>
      <c r="AG87" s="266">
        <f>SUM(AG86:$AV86)*$N87/100</f>
        <v>1808.4528</v>
      </c>
      <c r="AH87" s="266">
        <f>SUM(AH86:$AV86)*$N87/100</f>
        <v>1479.6432</v>
      </c>
      <c r="AI87" s="266">
        <f>SUM(AI86:$AV86)*$N87/100</f>
        <v>1150.8335999999999</v>
      </c>
      <c r="AJ87" s="266">
        <f>SUM(AJ86:$AV86)*$N87/100</f>
        <v>822.02400000000011</v>
      </c>
      <c r="AK87" s="266">
        <f>SUM(AK86:$AV86)*$N87/100</f>
        <v>493.21440000000001</v>
      </c>
      <c r="AL87" s="266">
        <f>SUM(AL86:$AV86)*$N87/100</f>
        <v>164.40479999999999</v>
      </c>
      <c r="AM87" s="266">
        <v>0</v>
      </c>
      <c r="AN87" s="266">
        <v>0</v>
      </c>
      <c r="AO87" s="266">
        <v>0</v>
      </c>
      <c r="AP87" s="266">
        <v>0</v>
      </c>
      <c r="AQ87" s="266">
        <v>0</v>
      </c>
      <c r="AR87" s="266">
        <v>0</v>
      </c>
      <c r="AS87" s="266">
        <v>0</v>
      </c>
      <c r="AT87" s="266">
        <v>0</v>
      </c>
      <c r="AU87" s="266">
        <v>0</v>
      </c>
      <c r="AV87" s="266">
        <v>0</v>
      </c>
      <c r="AW87" s="266"/>
      <c r="AX87" s="266"/>
      <c r="AY87" s="269">
        <f t="shared" si="11"/>
        <v>56101.775199999989</v>
      </c>
      <c r="AZ87" s="232">
        <f t="shared" si="7"/>
        <v>0</v>
      </c>
      <c r="BA87" s="268">
        <f t="shared" si="8"/>
        <v>23674.291200000003</v>
      </c>
      <c r="BB87" s="269">
        <f t="shared" si="12"/>
        <v>56101.775200000004</v>
      </c>
      <c r="BD87" s="248" t="b">
        <f t="shared" si="9"/>
        <v>1</v>
      </c>
    </row>
    <row r="88" spans="2:57" s="248" customFormat="1" hidden="1" outlineLevel="1" x14ac:dyDescent="0.25">
      <c r="B88" s="249" t="s">
        <v>742</v>
      </c>
      <c r="C88" s="249">
        <v>42</v>
      </c>
      <c r="D88" s="249" t="s">
        <v>990</v>
      </c>
      <c r="E88" s="250" t="s">
        <v>991</v>
      </c>
      <c r="F88" s="249" t="s">
        <v>992</v>
      </c>
      <c r="G88" s="251" t="s">
        <v>993</v>
      </c>
      <c r="H88" s="251" t="s">
        <v>994</v>
      </c>
      <c r="I88" s="251" t="s">
        <v>748</v>
      </c>
      <c r="J88" s="252">
        <v>141294</v>
      </c>
      <c r="K88" s="253">
        <v>96681</v>
      </c>
      <c r="L88" s="253"/>
      <c r="M88" s="253"/>
      <c r="N88" s="254"/>
      <c r="O88" s="254"/>
      <c r="P88" s="254"/>
      <c r="Q88" s="254" t="s">
        <v>749</v>
      </c>
      <c r="R88" s="255">
        <v>14874</v>
      </c>
      <c r="S88" s="255">
        <v>14874</v>
      </c>
      <c r="T88" s="256">
        <f t="shared" si="10"/>
        <v>29748</v>
      </c>
      <c r="U88" s="256">
        <v>29748</v>
      </c>
      <c r="V88" s="256">
        <v>29748</v>
      </c>
      <c r="W88" s="256">
        <v>22311</v>
      </c>
      <c r="X88" s="256">
        <v>0</v>
      </c>
      <c r="Y88" s="256">
        <v>0</v>
      </c>
      <c r="Z88" s="256">
        <v>0</v>
      </c>
      <c r="AA88" s="256">
        <v>0</v>
      </c>
      <c r="AB88" s="256">
        <v>0</v>
      </c>
      <c r="AC88" s="256">
        <v>0</v>
      </c>
      <c r="AD88" s="256">
        <v>0</v>
      </c>
      <c r="AE88" s="256">
        <v>0</v>
      </c>
      <c r="AF88" s="256">
        <v>0</v>
      </c>
      <c r="AG88" s="256">
        <v>0</v>
      </c>
      <c r="AH88" s="256">
        <v>0</v>
      </c>
      <c r="AI88" s="256">
        <v>0</v>
      </c>
      <c r="AJ88" s="256">
        <v>0</v>
      </c>
      <c r="AK88" s="256">
        <v>0</v>
      </c>
      <c r="AL88" s="256">
        <v>0</v>
      </c>
      <c r="AM88" s="256">
        <v>0</v>
      </c>
      <c r="AN88" s="256">
        <v>0</v>
      </c>
      <c r="AO88" s="256">
        <v>0</v>
      </c>
      <c r="AP88" s="256">
        <v>0</v>
      </c>
      <c r="AQ88" s="256">
        <v>0</v>
      </c>
      <c r="AR88" s="256">
        <v>0</v>
      </c>
      <c r="AS88" s="256">
        <v>0</v>
      </c>
      <c r="AT88" s="256">
        <v>0</v>
      </c>
      <c r="AU88" s="256">
        <v>0</v>
      </c>
      <c r="AV88" s="256">
        <v>0</v>
      </c>
      <c r="AW88" s="256"/>
      <c r="AX88" s="256"/>
      <c r="AY88" s="259">
        <f t="shared" si="11"/>
        <v>111555</v>
      </c>
      <c r="AZ88" s="232">
        <f t="shared" si="7"/>
        <v>0</v>
      </c>
      <c r="BA88" s="258">
        <f t="shared" si="8"/>
        <v>0</v>
      </c>
      <c r="BB88" s="259">
        <f t="shared" si="12"/>
        <v>111555</v>
      </c>
      <c r="BD88" s="248" t="b">
        <f t="shared" si="9"/>
        <v>1</v>
      </c>
      <c r="BE88" s="260">
        <f>BB88-K88-R88</f>
        <v>0</v>
      </c>
    </row>
    <row r="89" spans="2:57" hidden="1" outlineLevel="1" x14ac:dyDescent="0.25">
      <c r="B89" s="261" t="s">
        <v>742</v>
      </c>
      <c r="C89" s="261"/>
      <c r="D89" s="261"/>
      <c r="E89" s="262"/>
      <c r="F89" s="261"/>
      <c r="G89" s="261"/>
      <c r="H89" s="261"/>
      <c r="I89" s="261"/>
      <c r="J89" s="263"/>
      <c r="K89" s="263"/>
      <c r="L89" s="263">
        <v>0</v>
      </c>
      <c r="M89" s="263" t="s">
        <v>934</v>
      </c>
      <c r="N89" s="264">
        <f t="shared" si="13"/>
        <v>0.25</v>
      </c>
      <c r="O89" s="264">
        <v>0.25</v>
      </c>
      <c r="P89" s="264">
        <f>$P$4</f>
        <v>0</v>
      </c>
      <c r="Q89" s="264" t="s">
        <v>751</v>
      </c>
      <c r="R89" s="265">
        <v>209.75</v>
      </c>
      <c r="S89" s="265">
        <v>61.2</v>
      </c>
      <c r="T89" s="266">
        <f t="shared" si="10"/>
        <v>270.95</v>
      </c>
      <c r="U89" s="266">
        <f>SUM(U88:$AV88)*$N89/100</f>
        <v>204.51750000000001</v>
      </c>
      <c r="V89" s="266">
        <f>SUM(V88:$AV88)*$N89/100</f>
        <v>130.14750000000001</v>
      </c>
      <c r="W89" s="266">
        <f>SUM(W88:$AV88)*$N89/100</f>
        <v>55.777500000000003</v>
      </c>
      <c r="X89" s="266">
        <v>0</v>
      </c>
      <c r="Y89" s="266">
        <v>0</v>
      </c>
      <c r="Z89" s="266">
        <v>0</v>
      </c>
      <c r="AA89" s="266">
        <v>0</v>
      </c>
      <c r="AB89" s="266">
        <v>0</v>
      </c>
      <c r="AC89" s="266">
        <v>0</v>
      </c>
      <c r="AD89" s="266">
        <v>0</v>
      </c>
      <c r="AE89" s="266">
        <v>0</v>
      </c>
      <c r="AF89" s="266">
        <v>0</v>
      </c>
      <c r="AG89" s="266">
        <v>0</v>
      </c>
      <c r="AH89" s="266">
        <v>0</v>
      </c>
      <c r="AI89" s="266">
        <v>0</v>
      </c>
      <c r="AJ89" s="266">
        <v>0</v>
      </c>
      <c r="AK89" s="266">
        <v>0</v>
      </c>
      <c r="AL89" s="266">
        <v>0</v>
      </c>
      <c r="AM89" s="266">
        <v>0</v>
      </c>
      <c r="AN89" s="266">
        <v>0</v>
      </c>
      <c r="AO89" s="266">
        <v>0</v>
      </c>
      <c r="AP89" s="266">
        <v>0</v>
      </c>
      <c r="AQ89" s="266">
        <v>0</v>
      </c>
      <c r="AR89" s="266">
        <v>0</v>
      </c>
      <c r="AS89" s="266">
        <v>0</v>
      </c>
      <c r="AT89" s="266">
        <v>0</v>
      </c>
      <c r="AU89" s="266">
        <v>0</v>
      </c>
      <c r="AV89" s="266">
        <v>0</v>
      </c>
      <c r="AW89" s="266"/>
      <c r="AX89" s="266"/>
      <c r="AY89" s="269">
        <f t="shared" si="11"/>
        <v>661.39250000000004</v>
      </c>
      <c r="AZ89" s="232">
        <f t="shared" si="7"/>
        <v>0</v>
      </c>
      <c r="BA89" s="268">
        <f t="shared" si="8"/>
        <v>0</v>
      </c>
      <c r="BB89" s="269">
        <f t="shared" si="12"/>
        <v>661.39250000000004</v>
      </c>
      <c r="BD89" s="248" t="b">
        <f t="shared" si="9"/>
        <v>1</v>
      </c>
    </row>
    <row r="90" spans="2:57" s="248" customFormat="1" hidden="1" outlineLevel="1" x14ac:dyDescent="0.25">
      <c r="B90" s="249" t="s">
        <v>742</v>
      </c>
      <c r="C90" s="249">
        <v>43</v>
      </c>
      <c r="D90" s="249" t="s">
        <v>995</v>
      </c>
      <c r="E90" s="250" t="s">
        <v>996</v>
      </c>
      <c r="F90" s="249" t="s">
        <v>997</v>
      </c>
      <c r="G90" s="251" t="s">
        <v>998</v>
      </c>
      <c r="H90" s="251" t="s">
        <v>999</v>
      </c>
      <c r="I90" s="251" t="s">
        <v>748</v>
      </c>
      <c r="J90" s="252">
        <v>186392</v>
      </c>
      <c r="K90" s="253">
        <v>164720</v>
      </c>
      <c r="L90" s="253"/>
      <c r="M90" s="253"/>
      <c r="N90" s="254"/>
      <c r="O90" s="254">
        <v>3.4460000000000002</v>
      </c>
      <c r="P90" s="254"/>
      <c r="Q90" s="254" t="s">
        <v>749</v>
      </c>
      <c r="R90" s="255">
        <v>8680</v>
      </c>
      <c r="S90" s="255">
        <v>8680</v>
      </c>
      <c r="T90" s="256">
        <f t="shared" si="10"/>
        <v>17360</v>
      </c>
      <c r="U90" s="256">
        <v>17360</v>
      </c>
      <c r="V90" s="256">
        <v>15080</v>
      </c>
      <c r="W90" s="256">
        <v>8240</v>
      </c>
      <c r="X90" s="256">
        <v>8240</v>
      </c>
      <c r="Y90" s="256">
        <v>8240</v>
      </c>
      <c r="Z90" s="256">
        <v>8240</v>
      </c>
      <c r="AA90" s="256">
        <v>8240</v>
      </c>
      <c r="AB90" s="256">
        <v>8240</v>
      </c>
      <c r="AC90" s="256">
        <v>8240</v>
      </c>
      <c r="AD90" s="256">
        <v>8240</v>
      </c>
      <c r="AE90" s="256">
        <v>8240</v>
      </c>
      <c r="AF90" s="256">
        <v>8240</v>
      </c>
      <c r="AG90" s="256">
        <v>8240</v>
      </c>
      <c r="AH90" s="256">
        <v>8240</v>
      </c>
      <c r="AI90" s="256">
        <v>8240</v>
      </c>
      <c r="AJ90" s="256">
        <v>8240</v>
      </c>
      <c r="AK90" s="256">
        <v>8240</v>
      </c>
      <c r="AL90" s="256">
        <v>0</v>
      </c>
      <c r="AM90" s="256">
        <v>0</v>
      </c>
      <c r="AN90" s="256">
        <v>0</v>
      </c>
      <c r="AO90" s="256">
        <v>0</v>
      </c>
      <c r="AP90" s="256">
        <v>0</v>
      </c>
      <c r="AQ90" s="256">
        <v>0</v>
      </c>
      <c r="AR90" s="256">
        <v>0</v>
      </c>
      <c r="AS90" s="256">
        <v>0</v>
      </c>
      <c r="AT90" s="256">
        <v>0</v>
      </c>
      <c r="AU90" s="256">
        <v>0</v>
      </c>
      <c r="AV90" s="256">
        <v>0</v>
      </c>
      <c r="AW90" s="256"/>
      <c r="AX90" s="256"/>
      <c r="AY90" s="257">
        <f t="shared" si="11"/>
        <v>173400</v>
      </c>
      <c r="AZ90" s="232">
        <f t="shared" si="7"/>
        <v>0</v>
      </c>
      <c r="BA90" s="258">
        <f t="shared" si="8"/>
        <v>90640</v>
      </c>
      <c r="BB90" s="259">
        <f t="shared" si="12"/>
        <v>173400</v>
      </c>
      <c r="BD90" s="248" t="b">
        <f t="shared" si="9"/>
        <v>1</v>
      </c>
      <c r="BE90" s="260">
        <f>BB90-K90-R90</f>
        <v>0</v>
      </c>
    </row>
    <row r="91" spans="2:57" hidden="1" outlineLevel="1" x14ac:dyDescent="0.25">
      <c r="B91" s="261" t="s">
        <v>742</v>
      </c>
      <c r="C91" s="261"/>
      <c r="D91" s="272" t="s">
        <v>1000</v>
      </c>
      <c r="E91" s="262"/>
      <c r="F91" s="261"/>
      <c r="G91" s="261"/>
      <c r="H91" s="261"/>
      <c r="I91" s="261"/>
      <c r="J91" s="263"/>
      <c r="K91" s="263"/>
      <c r="L91" s="263" t="s">
        <v>1001</v>
      </c>
      <c r="M91" s="263"/>
      <c r="N91" s="264">
        <f t="shared" si="13"/>
        <v>4.5999999999999996</v>
      </c>
      <c r="O91" s="271">
        <v>4.5999999999999996</v>
      </c>
      <c r="P91" s="264">
        <f>$P$4</f>
        <v>0</v>
      </c>
      <c r="Q91" s="264" t="s">
        <v>751</v>
      </c>
      <c r="R91" s="265">
        <v>3538.87</v>
      </c>
      <c r="S91" s="265">
        <v>1446.03</v>
      </c>
      <c r="T91" s="266">
        <f t="shared" si="10"/>
        <v>4984.8999999999996</v>
      </c>
      <c r="U91" s="266">
        <f>SUM(U90:$AV90)*$N91/100</f>
        <v>7177.84</v>
      </c>
      <c r="V91" s="266">
        <f>SUM(V90:$AV90)*$N91/100</f>
        <v>6379.28</v>
      </c>
      <c r="W91" s="266">
        <f>SUM(W90:$AV90)*$N91/100</f>
        <v>5685.6</v>
      </c>
      <c r="X91" s="266">
        <f>SUM(X90:$AV90)*$N91/100</f>
        <v>5306.56</v>
      </c>
      <c r="Y91" s="266">
        <f>SUM(Y90:$AV90)*$N91/100</f>
        <v>4927.5199999999995</v>
      </c>
      <c r="Z91" s="266">
        <f>SUM(Z90:$AV90)*$N91/100</f>
        <v>4548.4799999999996</v>
      </c>
      <c r="AA91" s="266">
        <f>SUM(AA90:$AV90)*$N91/100</f>
        <v>4169.4399999999996</v>
      </c>
      <c r="AB91" s="266">
        <f>SUM(AB90:$AV90)*$N91/100</f>
        <v>3790.3999999999996</v>
      </c>
      <c r="AC91" s="266">
        <f>SUM(AC90:$AV90)*$N91/100</f>
        <v>3411.36</v>
      </c>
      <c r="AD91" s="266">
        <f>SUM(AD90:$AV90)*$N91/100</f>
        <v>3032.32</v>
      </c>
      <c r="AE91" s="266">
        <f>SUM(AE90:$AV90)*$N91/100</f>
        <v>2653.28</v>
      </c>
      <c r="AF91" s="266">
        <f>SUM(AF90:$AV90)*$N91/100</f>
        <v>2274.2399999999998</v>
      </c>
      <c r="AG91" s="266">
        <f>SUM(AG90:$AV90)*$N91/100</f>
        <v>1895.1999999999998</v>
      </c>
      <c r="AH91" s="266">
        <f>SUM(AH90:$AV90)*$N91/100</f>
        <v>1516.16</v>
      </c>
      <c r="AI91" s="266">
        <f>SUM(AI90:$AV90)*$N91/100</f>
        <v>1137.1199999999999</v>
      </c>
      <c r="AJ91" s="266">
        <f>SUM(AJ90:$AV90)*$N91/100</f>
        <v>758.08</v>
      </c>
      <c r="AK91" s="266">
        <f>SUM(AK90:$AV90)*$N91/100</f>
        <v>379.04</v>
      </c>
      <c r="AL91" s="266">
        <v>0</v>
      </c>
      <c r="AM91" s="266">
        <v>0</v>
      </c>
      <c r="AN91" s="266">
        <v>0</v>
      </c>
      <c r="AO91" s="266">
        <v>0</v>
      </c>
      <c r="AP91" s="266">
        <v>0</v>
      </c>
      <c r="AQ91" s="266">
        <v>0</v>
      </c>
      <c r="AR91" s="266">
        <v>0</v>
      </c>
      <c r="AS91" s="266">
        <v>0</v>
      </c>
      <c r="AT91" s="266">
        <v>0</v>
      </c>
      <c r="AU91" s="266">
        <v>0</v>
      </c>
      <c r="AV91" s="266">
        <v>0</v>
      </c>
      <c r="AW91" s="266"/>
      <c r="AX91" s="266"/>
      <c r="AY91" s="267">
        <f t="shared" si="11"/>
        <v>64026.820000000014</v>
      </c>
      <c r="AZ91" s="232">
        <f t="shared" si="7"/>
        <v>0</v>
      </c>
      <c r="BA91" s="268">
        <f t="shared" si="8"/>
        <v>25016.640000000003</v>
      </c>
      <c r="BB91" s="269">
        <f t="shared" si="12"/>
        <v>64026.820000000007</v>
      </c>
      <c r="BD91" s="248" t="b">
        <f t="shared" si="9"/>
        <v>1</v>
      </c>
    </row>
    <row r="92" spans="2:57" s="248" customFormat="1" hidden="1" outlineLevel="1" x14ac:dyDescent="0.25">
      <c r="B92" s="249" t="s">
        <v>742</v>
      </c>
      <c r="C92" s="249">
        <v>44</v>
      </c>
      <c r="D92" s="249" t="s">
        <v>1002</v>
      </c>
      <c r="E92" s="250" t="s">
        <v>1003</v>
      </c>
      <c r="F92" s="249" t="s">
        <v>1004</v>
      </c>
      <c r="G92" s="251" t="s">
        <v>998</v>
      </c>
      <c r="H92" s="251" t="s">
        <v>1005</v>
      </c>
      <c r="I92" s="251" t="s">
        <v>748</v>
      </c>
      <c r="J92" s="252">
        <v>697002</v>
      </c>
      <c r="K92" s="253">
        <v>623662</v>
      </c>
      <c r="L92" s="253"/>
      <c r="M92" s="253"/>
      <c r="N92" s="254"/>
      <c r="O92" s="254">
        <v>3.302</v>
      </c>
      <c r="P92" s="254"/>
      <c r="Q92" s="254" t="s">
        <v>749</v>
      </c>
      <c r="R92" s="255">
        <v>36686</v>
      </c>
      <c r="S92" s="255">
        <v>36686</v>
      </c>
      <c r="T92" s="256">
        <f t="shared" si="10"/>
        <v>73372</v>
      </c>
      <c r="U92" s="256">
        <v>73372</v>
      </c>
      <c r="V92" s="256">
        <v>73372</v>
      </c>
      <c r="W92" s="256">
        <v>73372</v>
      </c>
      <c r="X92" s="256">
        <v>73372</v>
      </c>
      <c r="Y92" s="256">
        <v>73372</v>
      </c>
      <c r="Z92" s="256">
        <v>73372</v>
      </c>
      <c r="AA92" s="256">
        <v>73372</v>
      </c>
      <c r="AB92" s="256">
        <v>73372</v>
      </c>
      <c r="AC92" s="256">
        <v>0</v>
      </c>
      <c r="AD92" s="256">
        <v>0</v>
      </c>
      <c r="AE92" s="256">
        <v>0</v>
      </c>
      <c r="AF92" s="256">
        <v>0</v>
      </c>
      <c r="AG92" s="256">
        <v>0</v>
      </c>
      <c r="AH92" s="256">
        <v>0</v>
      </c>
      <c r="AI92" s="256">
        <v>0</v>
      </c>
      <c r="AJ92" s="256">
        <v>0</v>
      </c>
      <c r="AK92" s="256">
        <v>0</v>
      </c>
      <c r="AL92" s="256">
        <v>0</v>
      </c>
      <c r="AM92" s="256">
        <v>0</v>
      </c>
      <c r="AN92" s="256">
        <v>0</v>
      </c>
      <c r="AO92" s="256">
        <v>0</v>
      </c>
      <c r="AP92" s="256">
        <v>0</v>
      </c>
      <c r="AQ92" s="256">
        <v>0</v>
      </c>
      <c r="AR92" s="256">
        <v>0</v>
      </c>
      <c r="AS92" s="256">
        <v>0</v>
      </c>
      <c r="AT92" s="256">
        <v>0</v>
      </c>
      <c r="AU92" s="256">
        <v>0</v>
      </c>
      <c r="AV92" s="256">
        <v>0</v>
      </c>
      <c r="AW92" s="256"/>
      <c r="AX92" s="256"/>
      <c r="AY92" s="257">
        <f t="shared" si="11"/>
        <v>660348</v>
      </c>
      <c r="AZ92" s="232">
        <f t="shared" si="7"/>
        <v>0</v>
      </c>
      <c r="BA92" s="258">
        <f t="shared" si="8"/>
        <v>146744</v>
      </c>
      <c r="BB92" s="259">
        <f t="shared" si="12"/>
        <v>660348</v>
      </c>
      <c r="BD92" s="248" t="b">
        <f t="shared" si="9"/>
        <v>1</v>
      </c>
      <c r="BE92" s="260">
        <f>BB92-K92-R92</f>
        <v>0</v>
      </c>
    </row>
    <row r="93" spans="2:57" hidden="1" outlineLevel="1" x14ac:dyDescent="0.25">
      <c r="B93" s="261" t="s">
        <v>742</v>
      </c>
      <c r="C93" s="261"/>
      <c r="D93" s="261"/>
      <c r="E93" s="262"/>
      <c r="F93" s="261"/>
      <c r="G93" s="261"/>
      <c r="H93" s="261"/>
      <c r="I93" s="261"/>
      <c r="J93" s="263"/>
      <c r="K93" s="263"/>
      <c r="L93" s="263" t="s">
        <v>1001</v>
      </c>
      <c r="M93" s="263"/>
      <c r="N93" s="264">
        <f t="shared" si="13"/>
        <v>4.4000000000000004</v>
      </c>
      <c r="O93" s="271">
        <v>4.4000000000000004</v>
      </c>
      <c r="P93" s="264">
        <f>$P$4</f>
        <v>0</v>
      </c>
      <c r="Q93" s="264" t="s">
        <v>751</v>
      </c>
      <c r="R93" s="265">
        <v>12683.64</v>
      </c>
      <c r="S93" s="265">
        <v>5244.23</v>
      </c>
      <c r="T93" s="266">
        <f t="shared" si="10"/>
        <v>17927.87</v>
      </c>
      <c r="U93" s="266">
        <f>SUM(U92:$AV92)*$N93/100</f>
        <v>25826.944000000003</v>
      </c>
      <c r="V93" s="266">
        <f>SUM(V92:$AV92)*$N93/100</f>
        <v>22598.576000000001</v>
      </c>
      <c r="W93" s="266">
        <f>SUM(W92:$AV92)*$N93/100</f>
        <v>19370.207999999999</v>
      </c>
      <c r="X93" s="266">
        <f>SUM(X92:$AV92)*$N93/100</f>
        <v>16141.840000000002</v>
      </c>
      <c r="Y93" s="266">
        <f>SUM(Y92:$AV92)*$N93/100</f>
        <v>12913.472000000002</v>
      </c>
      <c r="Z93" s="266">
        <f>SUM(Z92:$AV92)*$N93/100</f>
        <v>9685.1039999999994</v>
      </c>
      <c r="AA93" s="266">
        <f>SUM(AA92:$AV92)*$N93/100</f>
        <v>6456.7360000000008</v>
      </c>
      <c r="AB93" s="266">
        <f>SUM(AB92:$AV92)*$N93/100</f>
        <v>3228.3680000000004</v>
      </c>
      <c r="AC93" s="266">
        <v>0</v>
      </c>
      <c r="AD93" s="266">
        <v>0</v>
      </c>
      <c r="AE93" s="266">
        <v>0</v>
      </c>
      <c r="AF93" s="266">
        <v>0</v>
      </c>
      <c r="AG93" s="266">
        <v>0</v>
      </c>
      <c r="AH93" s="266">
        <v>0</v>
      </c>
      <c r="AI93" s="266">
        <v>0</v>
      </c>
      <c r="AJ93" s="266">
        <v>0</v>
      </c>
      <c r="AK93" s="266">
        <v>0</v>
      </c>
      <c r="AL93" s="266">
        <v>0</v>
      </c>
      <c r="AM93" s="266">
        <v>0</v>
      </c>
      <c r="AN93" s="266">
        <v>0</v>
      </c>
      <c r="AO93" s="266">
        <v>0</v>
      </c>
      <c r="AP93" s="266">
        <v>0</v>
      </c>
      <c r="AQ93" s="266">
        <v>0</v>
      </c>
      <c r="AR93" s="266">
        <v>0</v>
      </c>
      <c r="AS93" s="266">
        <v>0</v>
      </c>
      <c r="AT93" s="266">
        <v>0</v>
      </c>
      <c r="AU93" s="266">
        <v>0</v>
      </c>
      <c r="AV93" s="266">
        <v>0</v>
      </c>
      <c r="AW93" s="266"/>
      <c r="AX93" s="266"/>
      <c r="AY93" s="267">
        <f t="shared" si="11"/>
        <v>134149.11799999999</v>
      </c>
      <c r="AZ93" s="232">
        <f t="shared" si="7"/>
        <v>0</v>
      </c>
      <c r="BA93" s="268">
        <f t="shared" si="8"/>
        <v>9685.1040000000012</v>
      </c>
      <c r="BB93" s="269">
        <f t="shared" si="12"/>
        <v>134149.11799999999</v>
      </c>
      <c r="BD93" s="248" t="b">
        <f t="shared" si="9"/>
        <v>1</v>
      </c>
    </row>
    <row r="94" spans="2:57" s="248" customFormat="1" hidden="1" outlineLevel="1" x14ac:dyDescent="0.25">
      <c r="B94" s="249" t="s">
        <v>742</v>
      </c>
      <c r="C94" s="249">
        <v>45</v>
      </c>
      <c r="D94" s="249" t="s">
        <v>1006</v>
      </c>
      <c r="E94" s="250" t="s">
        <v>1007</v>
      </c>
      <c r="F94" s="249" t="s">
        <v>1008</v>
      </c>
      <c r="G94" s="251" t="s">
        <v>998</v>
      </c>
      <c r="H94" s="251" t="s">
        <v>1005</v>
      </c>
      <c r="I94" s="251" t="s">
        <v>748</v>
      </c>
      <c r="J94" s="252">
        <v>559121.98</v>
      </c>
      <c r="K94" s="253">
        <v>471865.86</v>
      </c>
      <c r="L94" s="253"/>
      <c r="M94" s="253"/>
      <c r="N94" s="254"/>
      <c r="O94" s="254">
        <v>3.302</v>
      </c>
      <c r="P94" s="254"/>
      <c r="Q94" s="254" t="s">
        <v>749</v>
      </c>
      <c r="R94" s="255">
        <v>29058</v>
      </c>
      <c r="S94" s="255">
        <v>29058</v>
      </c>
      <c r="T94" s="256">
        <f t="shared" si="10"/>
        <v>58116</v>
      </c>
      <c r="U94" s="256">
        <v>58116</v>
      </c>
      <c r="V94" s="256">
        <v>58116</v>
      </c>
      <c r="W94" s="256">
        <v>58116</v>
      </c>
      <c r="X94" s="256">
        <v>58116</v>
      </c>
      <c r="Y94" s="256">
        <v>58116</v>
      </c>
      <c r="Z94" s="256">
        <v>58116</v>
      </c>
      <c r="AA94" s="256">
        <v>58116</v>
      </c>
      <c r="AB94" s="256">
        <v>35995.86</v>
      </c>
      <c r="AC94" s="256">
        <v>0</v>
      </c>
      <c r="AD94" s="256">
        <v>0</v>
      </c>
      <c r="AE94" s="256">
        <v>0</v>
      </c>
      <c r="AF94" s="256">
        <v>0</v>
      </c>
      <c r="AG94" s="256">
        <v>0</v>
      </c>
      <c r="AH94" s="256">
        <v>0</v>
      </c>
      <c r="AI94" s="256">
        <v>0</v>
      </c>
      <c r="AJ94" s="256">
        <v>0</v>
      </c>
      <c r="AK94" s="256">
        <v>0</v>
      </c>
      <c r="AL94" s="256">
        <v>0</v>
      </c>
      <c r="AM94" s="256">
        <v>0</v>
      </c>
      <c r="AN94" s="256">
        <v>0</v>
      </c>
      <c r="AO94" s="256">
        <v>0</v>
      </c>
      <c r="AP94" s="256">
        <v>0</v>
      </c>
      <c r="AQ94" s="256">
        <v>0</v>
      </c>
      <c r="AR94" s="256">
        <v>0</v>
      </c>
      <c r="AS94" s="256">
        <v>0</v>
      </c>
      <c r="AT94" s="256">
        <v>0</v>
      </c>
      <c r="AU94" s="256">
        <v>0</v>
      </c>
      <c r="AV94" s="256">
        <v>0</v>
      </c>
      <c r="AW94" s="256"/>
      <c r="AX94" s="256"/>
      <c r="AY94" s="259">
        <f t="shared" si="11"/>
        <v>500923.86</v>
      </c>
      <c r="AZ94" s="232">
        <f t="shared" si="7"/>
        <v>0</v>
      </c>
      <c r="BA94" s="258">
        <f t="shared" si="8"/>
        <v>94111.86</v>
      </c>
      <c r="BB94" s="259">
        <f t="shared" si="12"/>
        <v>500923.86</v>
      </c>
      <c r="BD94" s="248" t="b">
        <f t="shared" si="9"/>
        <v>1</v>
      </c>
      <c r="BE94" s="260">
        <f>BB94-K94-R94</f>
        <v>0</v>
      </c>
    </row>
    <row r="95" spans="2:57" hidden="1" outlineLevel="1" x14ac:dyDescent="0.25">
      <c r="B95" s="261" t="s">
        <v>742</v>
      </c>
      <c r="C95" s="261"/>
      <c r="D95" s="261"/>
      <c r="E95" s="262"/>
      <c r="F95" s="261"/>
      <c r="G95" s="261"/>
      <c r="H95" s="261"/>
      <c r="I95" s="261"/>
      <c r="J95" s="263"/>
      <c r="K95" s="263"/>
      <c r="L95" s="263" t="s">
        <v>1001</v>
      </c>
      <c r="M95" s="263"/>
      <c r="N95" s="264">
        <f t="shared" si="13"/>
        <v>4.4000000000000004</v>
      </c>
      <c r="O95" s="271">
        <v>4.4000000000000004</v>
      </c>
      <c r="P95" s="264">
        <f>$P$4</f>
        <v>0</v>
      </c>
      <c r="Q95" s="264" t="s">
        <v>751</v>
      </c>
      <c r="R95" s="265">
        <v>9717.24</v>
      </c>
      <c r="S95" s="265">
        <v>3967.16</v>
      </c>
      <c r="T95" s="266">
        <f t="shared" si="10"/>
        <v>13684.4</v>
      </c>
      <c r="U95" s="266">
        <f>SUM(U94:$AV94)*$N95/100</f>
        <v>19483.545839999999</v>
      </c>
      <c r="V95" s="266">
        <f>SUM(V94:$AV94)*$N95/100</f>
        <v>16926.44184</v>
      </c>
      <c r="W95" s="266">
        <f>SUM(W94:$AV94)*$N95/100</f>
        <v>14369.33784</v>
      </c>
      <c r="X95" s="266">
        <f>SUM(X94:$AV94)*$N95/100</f>
        <v>11812.233840000001</v>
      </c>
      <c r="Y95" s="266">
        <f>SUM(Y94:$AV94)*$N95/100</f>
        <v>9255.1298400000014</v>
      </c>
      <c r="Z95" s="266">
        <f>SUM(Z94:$AV94)*$N95/100</f>
        <v>6698.0258400000002</v>
      </c>
      <c r="AA95" s="266">
        <f>SUM(AA94:$AV94)*$N95/100</f>
        <v>4140.92184</v>
      </c>
      <c r="AB95" s="266">
        <f>SUM(AB94:$AV94)*$N95/100</f>
        <v>1583.8178400000002</v>
      </c>
      <c r="AC95" s="266">
        <v>0</v>
      </c>
      <c r="AD95" s="266">
        <v>0</v>
      </c>
      <c r="AE95" s="266">
        <v>0</v>
      </c>
      <c r="AF95" s="266">
        <v>0</v>
      </c>
      <c r="AG95" s="266">
        <v>0</v>
      </c>
      <c r="AH95" s="266">
        <v>0</v>
      </c>
      <c r="AI95" s="266">
        <v>0</v>
      </c>
      <c r="AJ95" s="266">
        <v>0</v>
      </c>
      <c r="AK95" s="266">
        <v>0</v>
      </c>
      <c r="AL95" s="266">
        <v>0</v>
      </c>
      <c r="AM95" s="266">
        <v>0</v>
      </c>
      <c r="AN95" s="266">
        <v>0</v>
      </c>
      <c r="AO95" s="266">
        <v>0</v>
      </c>
      <c r="AP95" s="266">
        <v>0</v>
      </c>
      <c r="AQ95" s="266">
        <v>0</v>
      </c>
      <c r="AR95" s="266">
        <v>0</v>
      </c>
      <c r="AS95" s="266">
        <v>0</v>
      </c>
      <c r="AT95" s="266">
        <v>0</v>
      </c>
      <c r="AU95" s="266">
        <v>0</v>
      </c>
      <c r="AV95" s="266">
        <v>0</v>
      </c>
      <c r="AW95" s="266"/>
      <c r="AX95" s="266"/>
      <c r="AY95" s="269">
        <f t="shared" si="11"/>
        <v>97953.854720000018</v>
      </c>
      <c r="AZ95" s="232">
        <f t="shared" si="7"/>
        <v>0</v>
      </c>
      <c r="BA95" s="268">
        <f t="shared" si="8"/>
        <v>5724.7396800000006</v>
      </c>
      <c r="BB95" s="269">
        <f t="shared" si="12"/>
        <v>97953.854720000018</v>
      </c>
      <c r="BD95" s="248" t="b">
        <f t="shared" si="9"/>
        <v>1</v>
      </c>
    </row>
    <row r="96" spans="2:57" s="248" customFormat="1" hidden="1" outlineLevel="1" x14ac:dyDescent="0.25">
      <c r="B96" s="249" t="s">
        <v>789</v>
      </c>
      <c r="C96" s="249">
        <v>46</v>
      </c>
      <c r="D96" s="249" t="s">
        <v>1009</v>
      </c>
      <c r="E96" s="250" t="s">
        <v>1010</v>
      </c>
      <c r="F96" s="249" t="s">
        <v>1011</v>
      </c>
      <c r="G96" s="251" t="s">
        <v>1012</v>
      </c>
      <c r="H96" s="251" t="s">
        <v>1013</v>
      </c>
      <c r="I96" s="251" t="s">
        <v>748</v>
      </c>
      <c r="J96" s="252">
        <v>247902</v>
      </c>
      <c r="K96" s="253">
        <v>216916</v>
      </c>
      <c r="L96" s="253"/>
      <c r="M96" s="253"/>
      <c r="N96" s="254"/>
      <c r="O96" s="254">
        <v>3.6269999999999998</v>
      </c>
      <c r="P96" s="254"/>
      <c r="Q96" s="254" t="s">
        <v>749</v>
      </c>
      <c r="R96" s="255">
        <v>30988</v>
      </c>
      <c r="S96" s="255">
        <v>30988</v>
      </c>
      <c r="T96" s="256">
        <f t="shared" si="10"/>
        <v>61976</v>
      </c>
      <c r="U96" s="256">
        <v>61976</v>
      </c>
      <c r="V96" s="256">
        <v>61976</v>
      </c>
      <c r="W96" s="256">
        <v>61976</v>
      </c>
      <c r="X96" s="256">
        <v>0</v>
      </c>
      <c r="Y96" s="256">
        <v>0</v>
      </c>
      <c r="Z96" s="256">
        <v>0</v>
      </c>
      <c r="AA96" s="256">
        <v>0</v>
      </c>
      <c r="AB96" s="256">
        <v>0</v>
      </c>
      <c r="AC96" s="256">
        <v>0</v>
      </c>
      <c r="AD96" s="256">
        <v>0</v>
      </c>
      <c r="AE96" s="256">
        <v>0</v>
      </c>
      <c r="AF96" s="256">
        <v>0</v>
      </c>
      <c r="AG96" s="256">
        <v>0</v>
      </c>
      <c r="AH96" s="256">
        <v>0</v>
      </c>
      <c r="AI96" s="256">
        <v>0</v>
      </c>
      <c r="AJ96" s="256">
        <v>0</v>
      </c>
      <c r="AK96" s="256">
        <v>0</v>
      </c>
      <c r="AL96" s="256">
        <v>0</v>
      </c>
      <c r="AM96" s="256">
        <v>0</v>
      </c>
      <c r="AN96" s="256">
        <v>0</v>
      </c>
      <c r="AO96" s="256">
        <v>0</v>
      </c>
      <c r="AP96" s="256">
        <v>0</v>
      </c>
      <c r="AQ96" s="256">
        <v>0</v>
      </c>
      <c r="AR96" s="256">
        <v>0</v>
      </c>
      <c r="AS96" s="256">
        <v>0</v>
      </c>
      <c r="AT96" s="256">
        <v>0</v>
      </c>
      <c r="AU96" s="256">
        <v>0</v>
      </c>
      <c r="AV96" s="256">
        <v>0</v>
      </c>
      <c r="AW96" s="256"/>
      <c r="AX96" s="256"/>
      <c r="AY96" s="259">
        <f t="shared" si="11"/>
        <v>247904</v>
      </c>
      <c r="AZ96" s="232">
        <f t="shared" si="7"/>
        <v>0</v>
      </c>
      <c r="BA96" s="258">
        <f t="shared" si="8"/>
        <v>0</v>
      </c>
      <c r="BB96" s="259">
        <f t="shared" si="12"/>
        <v>247904</v>
      </c>
      <c r="BD96" s="248" t="b">
        <f t="shared" si="9"/>
        <v>1</v>
      </c>
      <c r="BE96" s="260">
        <f>BB96-K96-R96</f>
        <v>0</v>
      </c>
    </row>
    <row r="97" spans="2:57" hidden="1" outlineLevel="1" x14ac:dyDescent="0.25">
      <c r="B97" s="261" t="s">
        <v>789</v>
      </c>
      <c r="C97" s="261"/>
      <c r="D97" s="272" t="s">
        <v>1014</v>
      </c>
      <c r="E97" s="262"/>
      <c r="F97" s="261"/>
      <c r="G97" s="261"/>
      <c r="H97" s="261"/>
      <c r="I97" s="261"/>
      <c r="J97" s="263"/>
      <c r="K97" s="263"/>
      <c r="L97" s="263" t="s">
        <v>1015</v>
      </c>
      <c r="M97" s="263"/>
      <c r="N97" s="264">
        <f t="shared" si="13"/>
        <v>4.0999999999999996</v>
      </c>
      <c r="O97" s="271">
        <v>4.0999999999999996</v>
      </c>
      <c r="P97" s="264">
        <f>$P$4</f>
        <v>0</v>
      </c>
      <c r="Q97" s="264" t="s">
        <v>751</v>
      </c>
      <c r="R97" s="265">
        <v>4671.8600000000006</v>
      </c>
      <c r="S97" s="265">
        <v>1993.43</v>
      </c>
      <c r="T97" s="266">
        <f t="shared" si="10"/>
        <v>6665.2900000000009</v>
      </c>
      <c r="U97" s="266">
        <f>SUM(U96:$AV96)*$N97/100</f>
        <v>7623.0479999999989</v>
      </c>
      <c r="V97" s="266">
        <v>5336.22</v>
      </c>
      <c r="W97" s="266">
        <v>2449.1499999999996</v>
      </c>
      <c r="X97" s="266">
        <v>160.5</v>
      </c>
      <c r="Y97" s="266">
        <v>0</v>
      </c>
      <c r="Z97" s="266">
        <v>0</v>
      </c>
      <c r="AA97" s="266">
        <v>0</v>
      </c>
      <c r="AB97" s="266">
        <v>0</v>
      </c>
      <c r="AC97" s="266">
        <v>0</v>
      </c>
      <c r="AD97" s="266">
        <v>0</v>
      </c>
      <c r="AE97" s="266">
        <v>0</v>
      </c>
      <c r="AF97" s="266">
        <v>0</v>
      </c>
      <c r="AG97" s="266">
        <v>0</v>
      </c>
      <c r="AH97" s="266">
        <v>0</v>
      </c>
      <c r="AI97" s="266">
        <v>0</v>
      </c>
      <c r="AJ97" s="266">
        <v>0</v>
      </c>
      <c r="AK97" s="266">
        <v>0</v>
      </c>
      <c r="AL97" s="266">
        <v>0</v>
      </c>
      <c r="AM97" s="266">
        <v>0</v>
      </c>
      <c r="AN97" s="266">
        <v>0</v>
      </c>
      <c r="AO97" s="266">
        <v>0</v>
      </c>
      <c r="AP97" s="266">
        <v>0</v>
      </c>
      <c r="AQ97" s="266">
        <v>0</v>
      </c>
      <c r="AR97" s="266">
        <v>0</v>
      </c>
      <c r="AS97" s="266">
        <v>0</v>
      </c>
      <c r="AT97" s="266">
        <v>0</v>
      </c>
      <c r="AU97" s="266">
        <v>0</v>
      </c>
      <c r="AV97" s="266">
        <v>0</v>
      </c>
      <c r="AW97" s="266"/>
      <c r="AX97" s="266"/>
      <c r="AY97" s="269">
        <f t="shared" si="11"/>
        <v>22234.207999999999</v>
      </c>
      <c r="AZ97" s="232">
        <f t="shared" si="7"/>
        <v>0</v>
      </c>
      <c r="BA97" s="268">
        <f t="shared" si="8"/>
        <v>0</v>
      </c>
      <c r="BB97" s="269">
        <f t="shared" si="12"/>
        <v>22234.207999999999</v>
      </c>
      <c r="BD97" s="248" t="b">
        <f t="shared" si="9"/>
        <v>1</v>
      </c>
    </row>
    <row r="98" spans="2:57" s="248" customFormat="1" hidden="1" outlineLevel="1" x14ac:dyDescent="0.25">
      <c r="B98" s="249" t="s">
        <v>789</v>
      </c>
      <c r="C98" s="249">
        <v>47</v>
      </c>
      <c r="D98" s="249" t="s">
        <v>1016</v>
      </c>
      <c r="E98" s="250" t="s">
        <v>1017</v>
      </c>
      <c r="F98" s="249" t="s">
        <v>1018</v>
      </c>
      <c r="G98" s="251" t="s">
        <v>1019</v>
      </c>
      <c r="H98" s="251" t="s">
        <v>1020</v>
      </c>
      <c r="I98" s="251" t="s">
        <v>748</v>
      </c>
      <c r="J98" s="252">
        <v>178121</v>
      </c>
      <c r="K98" s="253">
        <v>99533.52</v>
      </c>
      <c r="L98" s="253"/>
      <c r="M98" s="253"/>
      <c r="N98" s="254"/>
      <c r="O98" s="254"/>
      <c r="P98" s="254"/>
      <c r="Q98" s="254" t="s">
        <v>749</v>
      </c>
      <c r="R98" s="255">
        <f>6250+72338</f>
        <v>78588</v>
      </c>
      <c r="S98" s="255">
        <v>6250</v>
      </c>
      <c r="T98" s="256">
        <f t="shared" si="10"/>
        <v>84838</v>
      </c>
      <c r="U98" s="256">
        <v>12500</v>
      </c>
      <c r="V98" s="256">
        <v>12500</v>
      </c>
      <c r="W98" s="256">
        <v>12500</v>
      </c>
      <c r="X98" s="256">
        <v>12500</v>
      </c>
      <c r="Y98" s="256">
        <v>12500</v>
      </c>
      <c r="Z98" s="256">
        <v>12500</v>
      </c>
      <c r="AA98" s="256">
        <v>12500</v>
      </c>
      <c r="AB98" s="256">
        <v>5783.52</v>
      </c>
      <c r="AC98" s="256">
        <v>0</v>
      </c>
      <c r="AD98" s="256">
        <v>0</v>
      </c>
      <c r="AE98" s="256">
        <v>0</v>
      </c>
      <c r="AF98" s="256">
        <v>0</v>
      </c>
      <c r="AG98" s="256">
        <v>0</v>
      </c>
      <c r="AH98" s="256">
        <v>0</v>
      </c>
      <c r="AI98" s="256">
        <v>0</v>
      </c>
      <c r="AJ98" s="256">
        <v>0</v>
      </c>
      <c r="AK98" s="256">
        <v>0</v>
      </c>
      <c r="AL98" s="256">
        <v>0</v>
      </c>
      <c r="AM98" s="256">
        <v>0</v>
      </c>
      <c r="AN98" s="256">
        <v>0</v>
      </c>
      <c r="AO98" s="256">
        <v>0</v>
      </c>
      <c r="AP98" s="256">
        <v>0</v>
      </c>
      <c r="AQ98" s="256">
        <v>0</v>
      </c>
      <c r="AR98" s="256">
        <v>0</v>
      </c>
      <c r="AS98" s="256">
        <v>0</v>
      </c>
      <c r="AT98" s="256">
        <v>0</v>
      </c>
      <c r="AU98" s="256">
        <v>0</v>
      </c>
      <c r="AV98" s="256">
        <v>0</v>
      </c>
      <c r="AW98" s="256"/>
      <c r="AX98" s="256"/>
      <c r="AY98" s="259">
        <f t="shared" si="11"/>
        <v>178121.52</v>
      </c>
      <c r="AZ98" s="232">
        <f t="shared" si="7"/>
        <v>0</v>
      </c>
      <c r="BA98" s="258">
        <f t="shared" si="8"/>
        <v>18283.52</v>
      </c>
      <c r="BB98" s="259">
        <f t="shared" si="12"/>
        <v>178121.52</v>
      </c>
      <c r="BD98" s="248" t="b">
        <f t="shared" si="9"/>
        <v>1</v>
      </c>
      <c r="BE98" s="260">
        <f>BB98-K98-R98</f>
        <v>0</v>
      </c>
    </row>
    <row r="99" spans="2:57" hidden="1" outlineLevel="1" x14ac:dyDescent="0.25">
      <c r="B99" s="261" t="s">
        <v>789</v>
      </c>
      <c r="C99" s="261"/>
      <c r="D99" s="272" t="s">
        <v>1021</v>
      </c>
      <c r="E99" s="262"/>
      <c r="F99" s="261"/>
      <c r="G99" s="261"/>
      <c r="H99" s="261"/>
      <c r="I99" s="261"/>
      <c r="J99" s="263"/>
      <c r="K99" s="263"/>
      <c r="L99" s="263" t="s">
        <v>1022</v>
      </c>
      <c r="M99" s="263"/>
      <c r="N99" s="264">
        <f t="shared" si="13"/>
        <v>3.9020000000000001</v>
      </c>
      <c r="O99" s="264">
        <v>3.9020000000000001</v>
      </c>
      <c r="P99" s="264">
        <f>$P$4</f>
        <v>0</v>
      </c>
      <c r="Q99" s="264" t="s">
        <v>751</v>
      </c>
      <c r="R99" s="265">
        <v>1807.31</v>
      </c>
      <c r="S99" s="265">
        <v>988.8</v>
      </c>
      <c r="T99" s="266">
        <f t="shared" si="10"/>
        <v>2796.1099999999997</v>
      </c>
      <c r="U99" s="266">
        <f>SUM(U98:$AV98)*$N99/100</f>
        <v>3639.9229504000004</v>
      </c>
      <c r="V99" s="266">
        <f>SUM(V98:$AV98)*$N99/100</f>
        <v>3152.1729504000004</v>
      </c>
      <c r="W99" s="266">
        <f>SUM(W98:$AV98)*$N99/100</f>
        <v>2664.4229504</v>
      </c>
      <c r="X99" s="266">
        <f>SUM(X98:$AV98)*$N99/100</f>
        <v>2176.6729504000004</v>
      </c>
      <c r="Y99" s="266">
        <f>SUM(Y98:$AV98)*$N99/100</f>
        <v>1688.9229504000002</v>
      </c>
      <c r="Z99" s="266">
        <f>SUM(Z98:$AV98)*$N99/100</f>
        <v>1201.1729504000002</v>
      </c>
      <c r="AA99" s="266">
        <f>SUM(AA98:$AV98)*$N99/100</f>
        <v>713.42295039999999</v>
      </c>
      <c r="AB99" s="266">
        <f>SUM(AB98:$AV98)*$N99/100</f>
        <v>225.67295040000002</v>
      </c>
      <c r="AC99" s="266">
        <v>0</v>
      </c>
      <c r="AD99" s="266">
        <v>0</v>
      </c>
      <c r="AE99" s="266">
        <v>0</v>
      </c>
      <c r="AF99" s="266">
        <v>0</v>
      </c>
      <c r="AG99" s="266">
        <v>0</v>
      </c>
      <c r="AH99" s="266">
        <v>0</v>
      </c>
      <c r="AI99" s="266">
        <v>0</v>
      </c>
      <c r="AJ99" s="266">
        <v>0</v>
      </c>
      <c r="AK99" s="266">
        <v>0</v>
      </c>
      <c r="AL99" s="266">
        <v>0</v>
      </c>
      <c r="AM99" s="266">
        <v>0</v>
      </c>
      <c r="AN99" s="266">
        <v>0</v>
      </c>
      <c r="AO99" s="266">
        <v>0</v>
      </c>
      <c r="AP99" s="266">
        <v>0</v>
      </c>
      <c r="AQ99" s="266">
        <v>0</v>
      </c>
      <c r="AR99" s="266">
        <v>0</v>
      </c>
      <c r="AS99" s="266">
        <v>0</v>
      </c>
      <c r="AT99" s="266">
        <v>0</v>
      </c>
      <c r="AU99" s="266">
        <v>0</v>
      </c>
      <c r="AV99" s="266">
        <v>0</v>
      </c>
      <c r="AW99" s="266"/>
      <c r="AX99" s="266"/>
      <c r="AY99" s="269">
        <f t="shared" si="11"/>
        <v>18258.493603199997</v>
      </c>
      <c r="AZ99" s="232">
        <f t="shared" si="7"/>
        <v>0</v>
      </c>
      <c r="BA99" s="268">
        <f t="shared" si="8"/>
        <v>939.09590079999998</v>
      </c>
      <c r="BB99" s="269">
        <f t="shared" si="12"/>
        <v>18258.493603199997</v>
      </c>
      <c r="BD99" s="248" t="b">
        <f t="shared" si="9"/>
        <v>1</v>
      </c>
    </row>
    <row r="100" spans="2:57" s="248" customFormat="1" hidden="1" outlineLevel="1" x14ac:dyDescent="0.25">
      <c r="B100" s="249" t="s">
        <v>789</v>
      </c>
      <c r="C100" s="249">
        <v>48</v>
      </c>
      <c r="D100" s="249" t="s">
        <v>1023</v>
      </c>
      <c r="E100" s="250" t="s">
        <v>1024</v>
      </c>
      <c r="F100" s="249" t="s">
        <v>1025</v>
      </c>
      <c r="G100" s="251" t="s">
        <v>1019</v>
      </c>
      <c r="H100" s="251" t="s">
        <v>1026</v>
      </c>
      <c r="I100" s="251" t="s">
        <v>748</v>
      </c>
      <c r="J100" s="252">
        <v>48155</v>
      </c>
      <c r="K100" s="253">
        <v>1701.58</v>
      </c>
      <c r="L100" s="253"/>
      <c r="M100" s="253"/>
      <c r="N100" s="254"/>
      <c r="O100" s="254"/>
      <c r="P100" s="254"/>
      <c r="Q100" s="254" t="s">
        <v>749</v>
      </c>
      <c r="R100" s="255">
        <v>3568</v>
      </c>
      <c r="S100" s="255">
        <v>1701.58</v>
      </c>
      <c r="T100" s="256">
        <f t="shared" si="10"/>
        <v>5269.58</v>
      </c>
      <c r="U100" s="256">
        <v>0</v>
      </c>
      <c r="V100" s="256">
        <v>0</v>
      </c>
      <c r="W100" s="256">
        <v>0</v>
      </c>
      <c r="X100" s="256">
        <v>0</v>
      </c>
      <c r="Y100" s="256">
        <v>0</v>
      </c>
      <c r="Z100" s="256">
        <v>0</v>
      </c>
      <c r="AA100" s="256">
        <v>0</v>
      </c>
      <c r="AB100" s="256">
        <v>0</v>
      </c>
      <c r="AC100" s="256">
        <v>0</v>
      </c>
      <c r="AD100" s="256">
        <v>0</v>
      </c>
      <c r="AE100" s="256">
        <v>0</v>
      </c>
      <c r="AF100" s="256">
        <v>0</v>
      </c>
      <c r="AG100" s="256">
        <v>0</v>
      </c>
      <c r="AH100" s="256">
        <v>0</v>
      </c>
      <c r="AI100" s="256">
        <v>0</v>
      </c>
      <c r="AJ100" s="256">
        <v>0</v>
      </c>
      <c r="AK100" s="256">
        <v>0</v>
      </c>
      <c r="AL100" s="256">
        <v>0</v>
      </c>
      <c r="AM100" s="256">
        <v>0</v>
      </c>
      <c r="AN100" s="256">
        <v>0</v>
      </c>
      <c r="AO100" s="256">
        <v>0</v>
      </c>
      <c r="AP100" s="256">
        <v>0</v>
      </c>
      <c r="AQ100" s="256">
        <v>0</v>
      </c>
      <c r="AR100" s="256">
        <v>0</v>
      </c>
      <c r="AS100" s="256">
        <v>0</v>
      </c>
      <c r="AT100" s="256">
        <v>0</v>
      </c>
      <c r="AU100" s="256">
        <v>0</v>
      </c>
      <c r="AV100" s="256">
        <v>0</v>
      </c>
      <c r="AW100" s="256"/>
      <c r="AX100" s="256"/>
      <c r="AY100" s="259">
        <f t="shared" si="11"/>
        <v>5269.58</v>
      </c>
      <c r="AZ100" s="232">
        <f t="shared" si="7"/>
        <v>0</v>
      </c>
      <c r="BA100" s="258">
        <f t="shared" si="8"/>
        <v>0</v>
      </c>
      <c r="BB100" s="259">
        <f t="shared" si="12"/>
        <v>5269.58</v>
      </c>
      <c r="BD100" s="248" t="b">
        <f t="shared" si="9"/>
        <v>1</v>
      </c>
      <c r="BE100" s="260">
        <f>BB100-K100-R100</f>
        <v>0</v>
      </c>
    </row>
    <row r="101" spans="2:57" hidden="1" outlineLevel="1" x14ac:dyDescent="0.25">
      <c r="B101" s="261" t="s">
        <v>789</v>
      </c>
      <c r="C101" s="261"/>
      <c r="D101" s="272" t="s">
        <v>1027</v>
      </c>
      <c r="E101" s="262"/>
      <c r="F101" s="261"/>
      <c r="G101" s="261"/>
      <c r="H101" s="261"/>
      <c r="I101" s="261"/>
      <c r="J101" s="263"/>
      <c r="K101" s="263"/>
      <c r="L101" s="263" t="s">
        <v>1022</v>
      </c>
      <c r="M101" s="263"/>
      <c r="N101" s="264">
        <f t="shared" si="13"/>
        <v>3.7269999999999999</v>
      </c>
      <c r="O101" s="264">
        <v>3.7269999999999999</v>
      </c>
      <c r="P101" s="264">
        <f>$P$4</f>
        <v>0</v>
      </c>
      <c r="Q101" s="264" t="s">
        <v>751</v>
      </c>
      <c r="R101" s="265">
        <v>90.08</v>
      </c>
      <c r="S101" s="265">
        <v>14.27</v>
      </c>
      <c r="T101" s="266">
        <f t="shared" si="10"/>
        <v>104.35</v>
      </c>
      <c r="U101" s="266">
        <v>0</v>
      </c>
      <c r="V101" s="266">
        <v>0</v>
      </c>
      <c r="W101" s="266">
        <v>0</v>
      </c>
      <c r="X101" s="266">
        <v>0</v>
      </c>
      <c r="Y101" s="266">
        <v>0</v>
      </c>
      <c r="Z101" s="266">
        <v>0</v>
      </c>
      <c r="AA101" s="266">
        <v>0</v>
      </c>
      <c r="AB101" s="266">
        <v>0</v>
      </c>
      <c r="AC101" s="266">
        <v>0</v>
      </c>
      <c r="AD101" s="266">
        <v>0</v>
      </c>
      <c r="AE101" s="266">
        <v>0</v>
      </c>
      <c r="AF101" s="266">
        <v>0</v>
      </c>
      <c r="AG101" s="266">
        <v>0</v>
      </c>
      <c r="AH101" s="266">
        <v>0</v>
      </c>
      <c r="AI101" s="266">
        <v>0</v>
      </c>
      <c r="AJ101" s="266">
        <v>0</v>
      </c>
      <c r="AK101" s="266">
        <v>0</v>
      </c>
      <c r="AL101" s="266">
        <v>0</v>
      </c>
      <c r="AM101" s="266">
        <v>0</v>
      </c>
      <c r="AN101" s="266">
        <v>0</v>
      </c>
      <c r="AO101" s="266">
        <v>0</v>
      </c>
      <c r="AP101" s="266">
        <v>0</v>
      </c>
      <c r="AQ101" s="266">
        <v>0</v>
      </c>
      <c r="AR101" s="266">
        <v>0</v>
      </c>
      <c r="AS101" s="266">
        <v>0</v>
      </c>
      <c r="AT101" s="266">
        <v>0</v>
      </c>
      <c r="AU101" s="266">
        <v>0</v>
      </c>
      <c r="AV101" s="266">
        <v>0</v>
      </c>
      <c r="AW101" s="266"/>
      <c r="AX101" s="266"/>
      <c r="AY101" s="269">
        <f t="shared" si="11"/>
        <v>104.35</v>
      </c>
      <c r="AZ101" s="232">
        <f t="shared" si="7"/>
        <v>0</v>
      </c>
      <c r="BA101" s="268">
        <f t="shared" si="8"/>
        <v>0</v>
      </c>
      <c r="BB101" s="269">
        <f t="shared" si="12"/>
        <v>104.35</v>
      </c>
      <c r="BD101" s="248" t="b">
        <f t="shared" si="9"/>
        <v>1</v>
      </c>
    </row>
    <row r="102" spans="2:57" s="248" customFormat="1" hidden="1" outlineLevel="1" x14ac:dyDescent="0.25">
      <c r="B102" s="249" t="s">
        <v>742</v>
      </c>
      <c r="C102" s="249">
        <v>49</v>
      </c>
      <c r="D102" s="249" t="s">
        <v>1028</v>
      </c>
      <c r="E102" s="250" t="s">
        <v>1029</v>
      </c>
      <c r="F102" s="249" t="s">
        <v>1030</v>
      </c>
      <c r="G102" s="251" t="s">
        <v>1031</v>
      </c>
      <c r="H102" s="251" t="s">
        <v>1032</v>
      </c>
      <c r="I102" s="251" t="s">
        <v>748</v>
      </c>
      <c r="J102" s="252">
        <v>1230506</v>
      </c>
      <c r="K102" s="253">
        <v>873506.23</v>
      </c>
      <c r="L102" s="253"/>
      <c r="M102" s="253"/>
      <c r="N102" s="254"/>
      <c r="O102" s="254"/>
      <c r="P102" s="254"/>
      <c r="Q102" s="254" t="s">
        <v>749</v>
      </c>
      <c r="R102" s="255">
        <v>21578</v>
      </c>
      <c r="S102" s="255">
        <v>43176</v>
      </c>
      <c r="T102" s="256">
        <f t="shared" si="10"/>
        <v>64754</v>
      </c>
      <c r="U102" s="256">
        <v>86352</v>
      </c>
      <c r="V102" s="256">
        <v>86352</v>
      </c>
      <c r="W102" s="256">
        <v>86352</v>
      </c>
      <c r="X102" s="256">
        <v>86352</v>
      </c>
      <c r="Y102" s="256">
        <v>86352</v>
      </c>
      <c r="Z102" s="256">
        <v>86352</v>
      </c>
      <c r="AA102" s="256">
        <v>86352</v>
      </c>
      <c r="AB102" s="256">
        <v>86352</v>
      </c>
      <c r="AC102" s="256">
        <v>86352</v>
      </c>
      <c r="AD102" s="256">
        <v>53162.229999999996</v>
      </c>
      <c r="AE102" s="256">
        <v>0</v>
      </c>
      <c r="AF102" s="256">
        <v>0</v>
      </c>
      <c r="AG102" s="256">
        <v>0</v>
      </c>
      <c r="AH102" s="256">
        <v>0</v>
      </c>
      <c r="AI102" s="256">
        <v>0</v>
      </c>
      <c r="AJ102" s="256">
        <v>0</v>
      </c>
      <c r="AK102" s="256">
        <v>0</v>
      </c>
      <c r="AL102" s="256">
        <v>0</v>
      </c>
      <c r="AM102" s="256">
        <v>0</v>
      </c>
      <c r="AN102" s="256">
        <v>0</v>
      </c>
      <c r="AO102" s="256">
        <v>0</v>
      </c>
      <c r="AP102" s="256">
        <v>0</v>
      </c>
      <c r="AQ102" s="256">
        <v>0</v>
      </c>
      <c r="AR102" s="256">
        <v>0</v>
      </c>
      <c r="AS102" s="256">
        <v>0</v>
      </c>
      <c r="AT102" s="256">
        <v>0</v>
      </c>
      <c r="AU102" s="256">
        <v>0</v>
      </c>
      <c r="AV102" s="256">
        <v>0</v>
      </c>
      <c r="AW102" s="256"/>
      <c r="AX102" s="256"/>
      <c r="AY102" s="259">
        <f t="shared" si="11"/>
        <v>895084.23</v>
      </c>
      <c r="AZ102" s="232">
        <f t="shared" si="7"/>
        <v>0</v>
      </c>
      <c r="BA102" s="258">
        <f t="shared" si="8"/>
        <v>312218.23</v>
      </c>
      <c r="BB102" s="259">
        <f t="shared" si="12"/>
        <v>895084.23</v>
      </c>
      <c r="BD102" s="248" t="b">
        <f t="shared" si="9"/>
        <v>1</v>
      </c>
      <c r="BE102" s="260">
        <f>BB102-K102-R102</f>
        <v>0</v>
      </c>
    </row>
    <row r="103" spans="2:57" hidden="1" outlineLevel="1" x14ac:dyDescent="0.25">
      <c r="B103" s="261" t="s">
        <v>742</v>
      </c>
      <c r="C103" s="261"/>
      <c r="D103" s="272" t="s">
        <v>1033</v>
      </c>
      <c r="E103" s="262"/>
      <c r="F103" s="261"/>
      <c r="G103" s="261"/>
      <c r="H103" s="261"/>
      <c r="I103" s="261"/>
      <c r="J103" s="263"/>
      <c r="K103" s="263"/>
      <c r="L103" s="263" t="s">
        <v>1034</v>
      </c>
      <c r="M103" s="263"/>
      <c r="N103" s="264">
        <f t="shared" si="13"/>
        <v>5.0529999999999999</v>
      </c>
      <c r="O103" s="264">
        <v>5.0529999999999999</v>
      </c>
      <c r="P103" s="264">
        <f>$P$4</f>
        <v>0</v>
      </c>
      <c r="Q103" s="264" t="s">
        <v>751</v>
      </c>
      <c r="R103" s="265">
        <v>11211.34</v>
      </c>
      <c r="S103" s="265">
        <v>11246.45</v>
      </c>
      <c r="T103" s="266">
        <f t="shared" si="10"/>
        <v>22457.79</v>
      </c>
      <c r="U103" s="266">
        <f>SUM(U102:$AV102)*$N103/100</f>
        <v>41956.586521899997</v>
      </c>
      <c r="V103" s="266">
        <f>SUM(V102:$AV102)*$N103/100</f>
        <v>37593.219961900002</v>
      </c>
      <c r="W103" s="266">
        <f>SUM(W102:$AV102)*$N103/100</f>
        <v>33229.8534019</v>
      </c>
      <c r="X103" s="266">
        <f>SUM(X102:$AV102)*$N103/100</f>
        <v>28866.486841899998</v>
      </c>
      <c r="Y103" s="266">
        <f>SUM(Y102:$AV102)*$N103/100</f>
        <v>24503.120281899999</v>
      </c>
      <c r="Z103" s="266">
        <f>SUM(Z102:$AV102)*$N103/100</f>
        <v>20139.753721899997</v>
      </c>
      <c r="AA103" s="266">
        <f>SUM(AA102:$AV102)*$N103/100</f>
        <v>15776.387161899998</v>
      </c>
      <c r="AB103" s="266">
        <f>SUM(AB102:$AV102)*$N103/100</f>
        <v>11413.020601899998</v>
      </c>
      <c r="AC103" s="266">
        <f>SUM(AC102:$AV102)*$N103/100</f>
        <v>7049.6540418999994</v>
      </c>
      <c r="AD103" s="266">
        <f>SUM(AD102:$AV102)*$N103/100</f>
        <v>2686.2874818999994</v>
      </c>
      <c r="AE103" s="266">
        <v>0</v>
      </c>
      <c r="AF103" s="266">
        <v>0</v>
      </c>
      <c r="AG103" s="266">
        <v>0</v>
      </c>
      <c r="AH103" s="266">
        <v>0</v>
      </c>
      <c r="AI103" s="266">
        <v>0</v>
      </c>
      <c r="AJ103" s="266">
        <v>0</v>
      </c>
      <c r="AK103" s="266">
        <v>0</v>
      </c>
      <c r="AL103" s="266">
        <v>0</v>
      </c>
      <c r="AM103" s="266">
        <v>0</v>
      </c>
      <c r="AN103" s="266">
        <v>0</v>
      </c>
      <c r="AO103" s="266">
        <v>0</v>
      </c>
      <c r="AP103" s="266">
        <v>0</v>
      </c>
      <c r="AQ103" s="266">
        <v>0</v>
      </c>
      <c r="AR103" s="266">
        <v>0</v>
      </c>
      <c r="AS103" s="266">
        <v>0</v>
      </c>
      <c r="AT103" s="266">
        <v>0</v>
      </c>
      <c r="AU103" s="266">
        <v>0</v>
      </c>
      <c r="AV103" s="266">
        <v>0</v>
      </c>
      <c r="AW103" s="266"/>
      <c r="AX103" s="266"/>
      <c r="AY103" s="269">
        <f t="shared" si="11"/>
        <v>245672.160019</v>
      </c>
      <c r="AZ103" s="232">
        <f t="shared" si="7"/>
        <v>0</v>
      </c>
      <c r="BA103" s="268">
        <f t="shared" si="8"/>
        <v>36925.349287599995</v>
      </c>
      <c r="BB103" s="269">
        <f t="shared" si="12"/>
        <v>245672.16001899997</v>
      </c>
      <c r="BD103" s="248" t="b">
        <f t="shared" si="9"/>
        <v>1</v>
      </c>
    </row>
    <row r="104" spans="2:57" s="248" customFormat="1" hidden="1" outlineLevel="1" x14ac:dyDescent="0.25">
      <c r="B104" s="249" t="s">
        <v>742</v>
      </c>
      <c r="C104" s="249">
        <v>50</v>
      </c>
      <c r="D104" s="249" t="s">
        <v>1035</v>
      </c>
      <c r="E104" s="250" t="s">
        <v>1036</v>
      </c>
      <c r="F104" s="249" t="s">
        <v>1037</v>
      </c>
      <c r="G104" s="251" t="s">
        <v>1038</v>
      </c>
      <c r="H104" s="251" t="s">
        <v>1039</v>
      </c>
      <c r="I104" s="251" t="s">
        <v>748</v>
      </c>
      <c r="J104" s="252">
        <v>156436.10999999999</v>
      </c>
      <c r="K104" s="253">
        <v>137903.10999999999</v>
      </c>
      <c r="L104" s="253"/>
      <c r="M104" s="253"/>
      <c r="N104" s="254"/>
      <c r="O104" s="254"/>
      <c r="P104" s="254"/>
      <c r="Q104" s="254" t="s">
        <v>749</v>
      </c>
      <c r="R104" s="255">
        <v>18533</v>
      </c>
      <c r="S104" s="255">
        <v>18538</v>
      </c>
      <c r="T104" s="256">
        <f t="shared" si="10"/>
        <v>37071</v>
      </c>
      <c r="U104" s="256">
        <v>37076</v>
      </c>
      <c r="V104" s="256">
        <v>37076</v>
      </c>
      <c r="W104" s="256">
        <v>37076</v>
      </c>
      <c r="X104" s="256">
        <v>8137.11</v>
      </c>
      <c r="Y104" s="256">
        <v>0</v>
      </c>
      <c r="Z104" s="256">
        <v>0</v>
      </c>
      <c r="AA104" s="256">
        <v>0</v>
      </c>
      <c r="AB104" s="256">
        <v>0</v>
      </c>
      <c r="AC104" s="256">
        <v>0</v>
      </c>
      <c r="AD104" s="256">
        <v>0</v>
      </c>
      <c r="AE104" s="256">
        <v>0</v>
      </c>
      <c r="AF104" s="256">
        <v>0</v>
      </c>
      <c r="AG104" s="256">
        <v>0</v>
      </c>
      <c r="AH104" s="256">
        <v>0</v>
      </c>
      <c r="AI104" s="256">
        <v>0</v>
      </c>
      <c r="AJ104" s="256">
        <v>0</v>
      </c>
      <c r="AK104" s="256">
        <v>0</v>
      </c>
      <c r="AL104" s="256">
        <v>0</v>
      </c>
      <c r="AM104" s="256">
        <v>0</v>
      </c>
      <c r="AN104" s="256">
        <v>0</v>
      </c>
      <c r="AO104" s="256">
        <v>0</v>
      </c>
      <c r="AP104" s="256">
        <v>0</v>
      </c>
      <c r="AQ104" s="256">
        <v>0</v>
      </c>
      <c r="AR104" s="256">
        <v>0</v>
      </c>
      <c r="AS104" s="256">
        <v>0</v>
      </c>
      <c r="AT104" s="256">
        <v>0</v>
      </c>
      <c r="AU104" s="256">
        <v>0</v>
      </c>
      <c r="AV104" s="256">
        <v>0</v>
      </c>
      <c r="AW104" s="256"/>
      <c r="AX104" s="256"/>
      <c r="AY104" s="259">
        <f t="shared" si="11"/>
        <v>156436.10999999999</v>
      </c>
      <c r="AZ104" s="232">
        <f t="shared" si="7"/>
        <v>0</v>
      </c>
      <c r="BA104" s="258">
        <f t="shared" si="8"/>
        <v>0</v>
      </c>
      <c r="BB104" s="259">
        <f t="shared" si="12"/>
        <v>156436.10999999999</v>
      </c>
      <c r="BD104" s="248" t="b">
        <f t="shared" si="9"/>
        <v>1</v>
      </c>
      <c r="BE104" s="260">
        <f>BB104-K104-R104</f>
        <v>0</v>
      </c>
    </row>
    <row r="105" spans="2:57" hidden="1" outlineLevel="1" x14ac:dyDescent="0.25">
      <c r="B105" s="261" t="s">
        <v>742</v>
      </c>
      <c r="C105" s="261"/>
      <c r="D105" s="261"/>
      <c r="E105" s="262"/>
      <c r="F105" s="261"/>
      <c r="G105" s="261"/>
      <c r="H105" s="261"/>
      <c r="I105" s="261"/>
      <c r="J105" s="263"/>
      <c r="K105" s="263"/>
      <c r="L105" s="263" t="s">
        <v>1040</v>
      </c>
      <c r="M105" s="263"/>
      <c r="N105" s="264">
        <f t="shared" si="13"/>
        <v>5.0449999999999999</v>
      </c>
      <c r="O105" s="264">
        <v>5.0449999999999999</v>
      </c>
      <c r="P105" s="264">
        <f>$P$4</f>
        <v>0</v>
      </c>
      <c r="Q105" s="264" t="s">
        <v>751</v>
      </c>
      <c r="R105" s="265">
        <v>1897.61</v>
      </c>
      <c r="S105" s="265">
        <v>1727.08</v>
      </c>
      <c r="T105" s="266">
        <f t="shared" si="10"/>
        <v>3624.6899999999996</v>
      </c>
      <c r="U105" s="266">
        <f>SUM(U104:$AV104)*$N105/100</f>
        <v>6021.9697994999997</v>
      </c>
      <c r="V105" s="266">
        <f>SUM(V104:$AV104)*$N105/100</f>
        <v>4151.4855994999998</v>
      </c>
      <c r="W105" s="266">
        <f>SUM(W104:$AV104)*$N105/100</f>
        <v>2281.0013994999999</v>
      </c>
      <c r="X105" s="266">
        <f>SUM(X104:$AV104)*$N105/100</f>
        <v>410.5171995</v>
      </c>
      <c r="Y105" s="266">
        <v>0</v>
      </c>
      <c r="Z105" s="266">
        <v>0</v>
      </c>
      <c r="AA105" s="266">
        <v>0</v>
      </c>
      <c r="AB105" s="266">
        <v>0</v>
      </c>
      <c r="AC105" s="266">
        <v>0</v>
      </c>
      <c r="AD105" s="266">
        <v>0</v>
      </c>
      <c r="AE105" s="266">
        <v>0</v>
      </c>
      <c r="AF105" s="266">
        <v>0</v>
      </c>
      <c r="AG105" s="266">
        <v>0</v>
      </c>
      <c r="AH105" s="266">
        <v>0</v>
      </c>
      <c r="AI105" s="266">
        <v>0</v>
      </c>
      <c r="AJ105" s="266">
        <v>0</v>
      </c>
      <c r="AK105" s="266">
        <v>0</v>
      </c>
      <c r="AL105" s="266">
        <v>0</v>
      </c>
      <c r="AM105" s="266">
        <v>0</v>
      </c>
      <c r="AN105" s="266">
        <v>0</v>
      </c>
      <c r="AO105" s="266">
        <v>0</v>
      </c>
      <c r="AP105" s="266">
        <v>0</v>
      </c>
      <c r="AQ105" s="266">
        <v>0</v>
      </c>
      <c r="AR105" s="266">
        <v>0</v>
      </c>
      <c r="AS105" s="266">
        <v>0</v>
      </c>
      <c r="AT105" s="266">
        <v>0</v>
      </c>
      <c r="AU105" s="266">
        <v>0</v>
      </c>
      <c r="AV105" s="266">
        <v>0</v>
      </c>
      <c r="AW105" s="266"/>
      <c r="AX105" s="266"/>
      <c r="AY105" s="269">
        <f t="shared" si="11"/>
        <v>16489.663997999996</v>
      </c>
      <c r="AZ105" s="232">
        <f t="shared" si="7"/>
        <v>0</v>
      </c>
      <c r="BA105" s="268">
        <f t="shared" si="8"/>
        <v>0</v>
      </c>
      <c r="BB105" s="269">
        <f t="shared" si="12"/>
        <v>16489.663997999996</v>
      </c>
      <c r="BD105" s="248" t="b">
        <f t="shared" si="9"/>
        <v>1</v>
      </c>
    </row>
    <row r="106" spans="2:57" s="248" customFormat="1" hidden="1" outlineLevel="1" x14ac:dyDescent="0.25">
      <c r="B106" s="249" t="s">
        <v>742</v>
      </c>
      <c r="C106" s="249">
        <v>51</v>
      </c>
      <c r="D106" s="249" t="s">
        <v>1041</v>
      </c>
      <c r="E106" s="250" t="s">
        <v>1042</v>
      </c>
      <c r="F106" s="249" t="s">
        <v>1043</v>
      </c>
      <c r="G106" s="251" t="s">
        <v>1044</v>
      </c>
      <c r="H106" s="251" t="s">
        <v>1045</v>
      </c>
      <c r="I106" s="251" t="s">
        <v>748</v>
      </c>
      <c r="J106" s="252">
        <v>90861.19</v>
      </c>
      <c r="K106" s="253">
        <v>80676.19</v>
      </c>
      <c r="L106" s="253"/>
      <c r="M106" s="253"/>
      <c r="N106" s="254"/>
      <c r="O106" s="254">
        <v>2.1520000000000001</v>
      </c>
      <c r="P106" s="254"/>
      <c r="Q106" s="254" t="s">
        <v>749</v>
      </c>
      <c r="R106" s="255">
        <v>10185</v>
      </c>
      <c r="S106" s="255">
        <v>10190</v>
      </c>
      <c r="T106" s="256">
        <f t="shared" si="10"/>
        <v>20375</v>
      </c>
      <c r="U106" s="256">
        <v>20380</v>
      </c>
      <c r="V106" s="256">
        <v>20380</v>
      </c>
      <c r="W106" s="256">
        <v>20380</v>
      </c>
      <c r="X106" s="256">
        <v>9346.1899999999987</v>
      </c>
      <c r="Y106" s="256">
        <v>0</v>
      </c>
      <c r="Z106" s="256">
        <v>0</v>
      </c>
      <c r="AA106" s="256">
        <v>0</v>
      </c>
      <c r="AB106" s="256">
        <v>0</v>
      </c>
      <c r="AC106" s="256">
        <v>0</v>
      </c>
      <c r="AD106" s="256">
        <v>0</v>
      </c>
      <c r="AE106" s="256">
        <v>0</v>
      </c>
      <c r="AF106" s="256">
        <v>0</v>
      </c>
      <c r="AG106" s="256">
        <v>0</v>
      </c>
      <c r="AH106" s="256">
        <v>0</v>
      </c>
      <c r="AI106" s="256">
        <v>0</v>
      </c>
      <c r="AJ106" s="256">
        <v>0</v>
      </c>
      <c r="AK106" s="256">
        <v>0</v>
      </c>
      <c r="AL106" s="256">
        <v>0</v>
      </c>
      <c r="AM106" s="256">
        <v>0</v>
      </c>
      <c r="AN106" s="256">
        <v>0</v>
      </c>
      <c r="AO106" s="256">
        <v>0</v>
      </c>
      <c r="AP106" s="256">
        <v>0</v>
      </c>
      <c r="AQ106" s="256">
        <v>0</v>
      </c>
      <c r="AR106" s="256">
        <v>0</v>
      </c>
      <c r="AS106" s="256">
        <v>0</v>
      </c>
      <c r="AT106" s="256">
        <v>0</v>
      </c>
      <c r="AU106" s="256">
        <v>0</v>
      </c>
      <c r="AV106" s="256">
        <v>0</v>
      </c>
      <c r="AW106" s="256"/>
      <c r="AX106" s="256"/>
      <c r="AY106" s="259">
        <f t="shared" si="11"/>
        <v>90861.19</v>
      </c>
      <c r="AZ106" s="232">
        <f t="shared" si="7"/>
        <v>0</v>
      </c>
      <c r="BA106" s="258">
        <f t="shared" si="8"/>
        <v>0</v>
      </c>
      <c r="BB106" s="259">
        <f t="shared" si="12"/>
        <v>90861.19</v>
      </c>
      <c r="BD106" s="248" t="b">
        <f t="shared" si="9"/>
        <v>1</v>
      </c>
      <c r="BE106" s="260">
        <f>BB106-K106-R106</f>
        <v>0</v>
      </c>
    </row>
    <row r="107" spans="2:57" hidden="1" outlineLevel="1" x14ac:dyDescent="0.25">
      <c r="B107" s="261" t="s">
        <v>742</v>
      </c>
      <c r="C107" s="261"/>
      <c r="D107" s="261"/>
      <c r="E107" s="262"/>
      <c r="F107" s="261"/>
      <c r="G107" s="261"/>
      <c r="H107" s="261"/>
      <c r="I107" s="261"/>
      <c r="J107" s="263"/>
      <c r="K107" s="263"/>
      <c r="L107" s="263" t="s">
        <v>1046</v>
      </c>
      <c r="M107" s="263"/>
      <c r="N107" s="264">
        <f t="shared" si="13"/>
        <v>5.2210000000000001</v>
      </c>
      <c r="O107" s="271">
        <v>5.2210000000000001</v>
      </c>
      <c r="P107" s="264">
        <f>$P$4</f>
        <v>0</v>
      </c>
      <c r="Q107" s="264" t="s">
        <v>751</v>
      </c>
      <c r="R107" s="265">
        <v>1431.26</v>
      </c>
      <c r="S107" s="265">
        <v>937.63</v>
      </c>
      <c r="T107" s="266">
        <f t="shared" si="10"/>
        <v>2368.89</v>
      </c>
      <c r="U107" s="266">
        <f>SUM(U106:$AV106)*$N107/100</f>
        <v>3680.0839799000005</v>
      </c>
      <c r="V107" s="266">
        <f>SUM(V106:$AV106)*$N107/100</f>
        <v>2616.0441799</v>
      </c>
      <c r="W107" s="266">
        <f>SUM(W106:$AV106)*$N107/100</f>
        <v>1552.0043799</v>
      </c>
      <c r="X107" s="266">
        <f>SUM(X106:$AV106)*$N107/100</f>
        <v>487.96457989999993</v>
      </c>
      <c r="Y107" s="266">
        <v>0</v>
      </c>
      <c r="Z107" s="266">
        <v>0</v>
      </c>
      <c r="AA107" s="266">
        <v>0</v>
      </c>
      <c r="AB107" s="266">
        <v>0</v>
      </c>
      <c r="AC107" s="266">
        <v>0</v>
      </c>
      <c r="AD107" s="266">
        <v>0</v>
      </c>
      <c r="AE107" s="266">
        <v>0</v>
      </c>
      <c r="AF107" s="266">
        <v>0</v>
      </c>
      <c r="AG107" s="266">
        <v>0</v>
      </c>
      <c r="AH107" s="266">
        <v>0</v>
      </c>
      <c r="AI107" s="266">
        <v>0</v>
      </c>
      <c r="AJ107" s="266">
        <v>0</v>
      </c>
      <c r="AK107" s="266">
        <v>0</v>
      </c>
      <c r="AL107" s="266">
        <v>0</v>
      </c>
      <c r="AM107" s="266">
        <v>0</v>
      </c>
      <c r="AN107" s="266">
        <v>0</v>
      </c>
      <c r="AO107" s="266">
        <v>0</v>
      </c>
      <c r="AP107" s="266">
        <v>0</v>
      </c>
      <c r="AQ107" s="266">
        <v>0</v>
      </c>
      <c r="AR107" s="266">
        <v>0</v>
      </c>
      <c r="AS107" s="266">
        <v>0</v>
      </c>
      <c r="AT107" s="266">
        <v>0</v>
      </c>
      <c r="AU107" s="266">
        <v>0</v>
      </c>
      <c r="AV107" s="266">
        <v>0</v>
      </c>
      <c r="AW107" s="266"/>
      <c r="AX107" s="266"/>
      <c r="AY107" s="269">
        <f t="shared" si="11"/>
        <v>10704.987119599999</v>
      </c>
      <c r="AZ107" s="232">
        <f t="shared" si="7"/>
        <v>0</v>
      </c>
      <c r="BA107" s="268">
        <f t="shared" si="8"/>
        <v>0</v>
      </c>
      <c r="BB107" s="269">
        <f t="shared" si="12"/>
        <v>10704.987119599999</v>
      </c>
      <c r="BD107" s="248" t="b">
        <f t="shared" si="9"/>
        <v>1</v>
      </c>
    </row>
    <row r="108" spans="2:57" s="248" customFormat="1" hidden="1" outlineLevel="1" x14ac:dyDescent="0.25">
      <c r="B108" s="249" t="s">
        <v>742</v>
      </c>
      <c r="C108" s="249">
        <v>52</v>
      </c>
      <c r="D108" s="249" t="s">
        <v>1047</v>
      </c>
      <c r="E108" s="250" t="s">
        <v>1048</v>
      </c>
      <c r="F108" s="249" t="s">
        <v>1049</v>
      </c>
      <c r="G108" s="251" t="s">
        <v>1050</v>
      </c>
      <c r="H108" s="251" t="s">
        <v>1051</v>
      </c>
      <c r="I108" s="251" t="s">
        <v>748</v>
      </c>
      <c r="J108" s="252">
        <v>496340</v>
      </c>
      <c r="K108" s="253">
        <v>491872</v>
      </c>
      <c r="L108" s="253"/>
      <c r="M108" s="253"/>
      <c r="N108" s="254"/>
      <c r="O108" s="254"/>
      <c r="P108" s="254"/>
      <c r="Q108" s="254" t="s">
        <v>749</v>
      </c>
      <c r="R108" s="255">
        <v>4468</v>
      </c>
      <c r="S108" s="255">
        <v>22347</v>
      </c>
      <c r="T108" s="256">
        <f t="shared" si="10"/>
        <v>26815</v>
      </c>
      <c r="U108" s="256">
        <v>53660</v>
      </c>
      <c r="V108" s="256">
        <v>53660</v>
      </c>
      <c r="W108" s="256">
        <v>53660</v>
      </c>
      <c r="X108" s="256">
        <v>53660</v>
      </c>
      <c r="Y108" s="256">
        <v>53660</v>
      </c>
      <c r="Z108" s="256">
        <v>53660</v>
      </c>
      <c r="AA108" s="256">
        <v>53660</v>
      </c>
      <c r="AB108" s="256">
        <v>53660</v>
      </c>
      <c r="AC108" s="256">
        <v>40245</v>
      </c>
      <c r="AD108" s="256">
        <v>0</v>
      </c>
      <c r="AE108" s="256">
        <v>0</v>
      </c>
      <c r="AF108" s="256">
        <v>0</v>
      </c>
      <c r="AG108" s="256">
        <v>0</v>
      </c>
      <c r="AH108" s="256">
        <v>0</v>
      </c>
      <c r="AI108" s="256">
        <v>0</v>
      </c>
      <c r="AJ108" s="256">
        <v>0</v>
      </c>
      <c r="AK108" s="256">
        <v>0</v>
      </c>
      <c r="AL108" s="256">
        <v>0</v>
      </c>
      <c r="AM108" s="256">
        <v>0</v>
      </c>
      <c r="AN108" s="256">
        <v>0</v>
      </c>
      <c r="AO108" s="256">
        <v>0</v>
      </c>
      <c r="AP108" s="256">
        <v>0</v>
      </c>
      <c r="AQ108" s="256">
        <v>0</v>
      </c>
      <c r="AR108" s="256">
        <v>0</v>
      </c>
      <c r="AS108" s="256">
        <v>0</v>
      </c>
      <c r="AT108" s="256">
        <v>0</v>
      </c>
      <c r="AU108" s="256">
        <v>0</v>
      </c>
      <c r="AV108" s="256">
        <v>0</v>
      </c>
      <c r="AW108" s="256"/>
      <c r="AX108" s="256"/>
      <c r="AY108" s="259">
        <f t="shared" si="11"/>
        <v>496340</v>
      </c>
      <c r="AZ108" s="232">
        <f t="shared" si="7"/>
        <v>0</v>
      </c>
      <c r="BA108" s="258">
        <f t="shared" si="8"/>
        <v>147565</v>
      </c>
      <c r="BB108" s="259">
        <f t="shared" si="12"/>
        <v>496340</v>
      </c>
      <c r="BD108" s="248" t="b">
        <f t="shared" si="9"/>
        <v>1</v>
      </c>
      <c r="BE108" s="260">
        <f>BB108-K108-R108</f>
        <v>0</v>
      </c>
    </row>
    <row r="109" spans="2:57" hidden="1" outlineLevel="1" x14ac:dyDescent="0.25">
      <c r="B109" s="261" t="s">
        <v>742</v>
      </c>
      <c r="C109" s="261"/>
      <c r="D109" s="272" t="s">
        <v>1052</v>
      </c>
      <c r="E109" s="262"/>
      <c r="F109" s="261"/>
      <c r="G109" s="261"/>
      <c r="H109" s="261"/>
      <c r="I109" s="261"/>
      <c r="J109" s="263"/>
      <c r="K109" s="263"/>
      <c r="L109" s="263" t="s">
        <v>1053</v>
      </c>
      <c r="M109" s="263"/>
      <c r="N109" s="264">
        <f t="shared" si="13"/>
        <v>5.5309999999999997</v>
      </c>
      <c r="O109" s="264">
        <v>5.5309999999999997</v>
      </c>
      <c r="P109" s="264">
        <f>$P$4</f>
        <v>0</v>
      </c>
      <c r="Q109" s="264" t="s">
        <v>751</v>
      </c>
      <c r="R109" s="265">
        <v>8391.08</v>
      </c>
      <c r="S109" s="265">
        <v>5533.52</v>
      </c>
      <c r="T109" s="266">
        <f t="shared" si="10"/>
        <v>13924.6</v>
      </c>
      <c r="U109" s="266">
        <f>SUM(U108:$AV108)*$N109/100</f>
        <v>25969.427749999999</v>
      </c>
      <c r="V109" s="266">
        <f>SUM(V108:$AV108)*$N109/100</f>
        <v>23001.493149999998</v>
      </c>
      <c r="W109" s="266">
        <f>SUM(W108:$AV108)*$N109/100</f>
        <v>20033.558550000002</v>
      </c>
      <c r="X109" s="266">
        <f>SUM(X108:$AV108)*$N109/100</f>
        <v>17065.623950000001</v>
      </c>
      <c r="Y109" s="266">
        <f>SUM(Y108:$AV108)*$N109/100</f>
        <v>14097.689349999999</v>
      </c>
      <c r="Z109" s="266">
        <f>SUM(Z108:$AV108)*$N109/100</f>
        <v>11129.754749999998</v>
      </c>
      <c r="AA109" s="266">
        <f>SUM(AA108:$AV108)*$N109/100</f>
        <v>8161.8201499999986</v>
      </c>
      <c r="AB109" s="266">
        <f>SUM(AB108:$AV108)*$N109/100</f>
        <v>5193.88555</v>
      </c>
      <c r="AC109" s="266">
        <f>SUM(AC108:$AV108)*$N109/100</f>
        <v>2225.9509499999999</v>
      </c>
      <c r="AD109" s="266">
        <v>0</v>
      </c>
      <c r="AE109" s="266">
        <v>0</v>
      </c>
      <c r="AF109" s="266">
        <v>0</v>
      </c>
      <c r="AG109" s="266">
        <v>0</v>
      </c>
      <c r="AH109" s="266">
        <v>0</v>
      </c>
      <c r="AI109" s="266">
        <v>0</v>
      </c>
      <c r="AJ109" s="266">
        <v>0</v>
      </c>
      <c r="AK109" s="266">
        <v>0</v>
      </c>
      <c r="AL109" s="266">
        <v>0</v>
      </c>
      <c r="AM109" s="266">
        <v>0</v>
      </c>
      <c r="AN109" s="266">
        <v>0</v>
      </c>
      <c r="AO109" s="266">
        <v>0</v>
      </c>
      <c r="AP109" s="266">
        <v>0</v>
      </c>
      <c r="AQ109" s="266">
        <v>0</v>
      </c>
      <c r="AR109" s="266">
        <v>0</v>
      </c>
      <c r="AS109" s="266">
        <v>0</v>
      </c>
      <c r="AT109" s="266">
        <v>0</v>
      </c>
      <c r="AU109" s="266">
        <v>0</v>
      </c>
      <c r="AV109" s="266">
        <v>0</v>
      </c>
      <c r="AW109" s="266"/>
      <c r="AX109" s="266"/>
      <c r="AY109" s="269">
        <f t="shared" si="11"/>
        <v>140803.80414999998</v>
      </c>
      <c r="AZ109" s="232">
        <f t="shared" si="7"/>
        <v>0</v>
      </c>
      <c r="BA109" s="268">
        <f t="shared" si="8"/>
        <v>15581.656649999999</v>
      </c>
      <c r="BB109" s="269">
        <f t="shared" si="12"/>
        <v>140803.80414999998</v>
      </c>
      <c r="BD109" s="248" t="b">
        <f t="shared" si="9"/>
        <v>1</v>
      </c>
    </row>
    <row r="110" spans="2:57" s="248" customFormat="1" hidden="1" outlineLevel="1" x14ac:dyDescent="0.25">
      <c r="B110" s="249" t="s">
        <v>789</v>
      </c>
      <c r="C110" s="249">
        <v>53</v>
      </c>
      <c r="D110" s="249" t="s">
        <v>1054</v>
      </c>
      <c r="E110" s="250" t="s">
        <v>1055</v>
      </c>
      <c r="F110" s="249" t="s">
        <v>1056</v>
      </c>
      <c r="G110" s="251" t="s">
        <v>1057</v>
      </c>
      <c r="H110" s="251" t="s">
        <v>1058</v>
      </c>
      <c r="I110" s="251" t="s">
        <v>748</v>
      </c>
      <c r="J110" s="252">
        <v>6469</v>
      </c>
      <c r="K110" s="253">
        <v>5800</v>
      </c>
      <c r="L110" s="253"/>
      <c r="M110" s="253"/>
      <c r="N110" s="254"/>
      <c r="O110" s="254">
        <v>2.403</v>
      </c>
      <c r="P110" s="254"/>
      <c r="Q110" s="254" t="s">
        <v>749</v>
      </c>
      <c r="R110" s="255">
        <v>464</v>
      </c>
      <c r="S110" s="255">
        <v>464</v>
      </c>
      <c r="T110" s="256">
        <f t="shared" si="10"/>
        <v>928</v>
      </c>
      <c r="U110" s="256">
        <v>928</v>
      </c>
      <c r="V110" s="256">
        <v>928</v>
      </c>
      <c r="W110" s="256">
        <v>928</v>
      </c>
      <c r="X110" s="256">
        <v>928</v>
      </c>
      <c r="Y110" s="256">
        <v>928</v>
      </c>
      <c r="Z110" s="256">
        <v>696</v>
      </c>
      <c r="AA110" s="256">
        <v>0</v>
      </c>
      <c r="AB110" s="256">
        <v>0</v>
      </c>
      <c r="AC110" s="256">
        <v>0</v>
      </c>
      <c r="AD110" s="256">
        <v>0</v>
      </c>
      <c r="AE110" s="256">
        <v>0</v>
      </c>
      <c r="AF110" s="256">
        <v>0</v>
      </c>
      <c r="AG110" s="256">
        <v>0</v>
      </c>
      <c r="AH110" s="256">
        <v>0</v>
      </c>
      <c r="AI110" s="256">
        <v>0</v>
      </c>
      <c r="AJ110" s="256">
        <v>0</v>
      </c>
      <c r="AK110" s="256">
        <v>0</v>
      </c>
      <c r="AL110" s="256">
        <v>0</v>
      </c>
      <c r="AM110" s="256">
        <v>0</v>
      </c>
      <c r="AN110" s="256">
        <v>0</v>
      </c>
      <c r="AO110" s="256">
        <v>0</v>
      </c>
      <c r="AP110" s="256">
        <v>0</v>
      </c>
      <c r="AQ110" s="256">
        <v>0</v>
      </c>
      <c r="AR110" s="256">
        <v>0</v>
      </c>
      <c r="AS110" s="256">
        <v>0</v>
      </c>
      <c r="AT110" s="256">
        <v>0</v>
      </c>
      <c r="AU110" s="256">
        <v>0</v>
      </c>
      <c r="AV110" s="256">
        <v>0</v>
      </c>
      <c r="AW110" s="256"/>
      <c r="AX110" s="256"/>
      <c r="AY110" s="259">
        <f t="shared" si="11"/>
        <v>6264</v>
      </c>
      <c r="AZ110" s="232">
        <f t="shared" si="7"/>
        <v>0</v>
      </c>
      <c r="BA110" s="258">
        <f t="shared" si="8"/>
        <v>0</v>
      </c>
      <c r="BB110" s="259">
        <f t="shared" si="12"/>
        <v>6264</v>
      </c>
      <c r="BD110" s="248" t="b">
        <f t="shared" si="9"/>
        <v>1</v>
      </c>
      <c r="BE110" s="260">
        <f>BB110-K110-R110</f>
        <v>0</v>
      </c>
    </row>
    <row r="111" spans="2:57" hidden="1" outlineLevel="1" x14ac:dyDescent="0.25">
      <c r="B111" s="261" t="s">
        <v>789</v>
      </c>
      <c r="C111" s="261"/>
      <c r="D111" s="272" t="s">
        <v>1059</v>
      </c>
      <c r="E111" s="262"/>
      <c r="F111" s="261"/>
      <c r="G111" s="261"/>
      <c r="H111" s="261"/>
      <c r="I111" s="261"/>
      <c r="J111" s="263"/>
      <c r="K111" s="263"/>
      <c r="L111" s="263" t="s">
        <v>1060</v>
      </c>
      <c r="M111" s="263"/>
      <c r="N111" s="264">
        <f t="shared" si="13"/>
        <v>5.4349999999999996</v>
      </c>
      <c r="O111" s="271">
        <v>5.4349999999999996</v>
      </c>
      <c r="P111" s="264">
        <f>$P$4</f>
        <v>0</v>
      </c>
      <c r="Q111" s="264" t="s">
        <v>751</v>
      </c>
      <c r="R111" s="265">
        <v>113.34</v>
      </c>
      <c r="S111" s="265">
        <v>61.61</v>
      </c>
      <c r="T111" s="266">
        <f t="shared" si="10"/>
        <v>174.95</v>
      </c>
      <c r="U111" s="266">
        <f>SUM(U110:$AV110)*$N111/100</f>
        <v>290.01159999999999</v>
      </c>
      <c r="V111" s="266">
        <f>SUM(V110:$AV110)*$N111/100</f>
        <v>239.57479999999998</v>
      </c>
      <c r="W111" s="266">
        <f>SUM(W110:$AV110)*$N111/100</f>
        <v>189.13800000000001</v>
      </c>
      <c r="X111" s="266">
        <f>SUM(X110:$AV110)*$N111/100</f>
        <v>138.7012</v>
      </c>
      <c r="Y111" s="266">
        <f>SUM(Y110:$AV110)*$N111/100</f>
        <v>88.264399999999981</v>
      </c>
      <c r="Z111" s="266">
        <f>SUM(Z110:$AV110)*$N111/100</f>
        <v>37.827599999999997</v>
      </c>
      <c r="AA111" s="266">
        <v>0</v>
      </c>
      <c r="AB111" s="266">
        <v>0</v>
      </c>
      <c r="AC111" s="266">
        <v>0</v>
      </c>
      <c r="AD111" s="266">
        <v>0</v>
      </c>
      <c r="AE111" s="266">
        <v>0</v>
      </c>
      <c r="AF111" s="266">
        <v>0</v>
      </c>
      <c r="AG111" s="266">
        <v>0</v>
      </c>
      <c r="AH111" s="266">
        <v>0</v>
      </c>
      <c r="AI111" s="266">
        <v>0</v>
      </c>
      <c r="AJ111" s="266">
        <v>0</v>
      </c>
      <c r="AK111" s="266">
        <v>0</v>
      </c>
      <c r="AL111" s="266">
        <v>0</v>
      </c>
      <c r="AM111" s="266">
        <v>0</v>
      </c>
      <c r="AN111" s="266">
        <v>0</v>
      </c>
      <c r="AO111" s="266">
        <v>0</v>
      </c>
      <c r="AP111" s="266">
        <v>0</v>
      </c>
      <c r="AQ111" s="266">
        <v>0</v>
      </c>
      <c r="AR111" s="266">
        <v>0</v>
      </c>
      <c r="AS111" s="266">
        <v>0</v>
      </c>
      <c r="AT111" s="266">
        <v>0</v>
      </c>
      <c r="AU111" s="266">
        <v>0</v>
      </c>
      <c r="AV111" s="266">
        <v>0</v>
      </c>
      <c r="AW111" s="266"/>
      <c r="AX111" s="266"/>
      <c r="AY111" s="269">
        <f t="shared" si="11"/>
        <v>1158.4676000000002</v>
      </c>
      <c r="AZ111" s="232">
        <f t="shared" si="7"/>
        <v>0</v>
      </c>
      <c r="BA111" s="268">
        <f t="shared" si="8"/>
        <v>0</v>
      </c>
      <c r="BB111" s="269">
        <f t="shared" si="12"/>
        <v>1158.4676000000002</v>
      </c>
      <c r="BD111" s="248" t="b">
        <f t="shared" si="9"/>
        <v>1</v>
      </c>
    </row>
    <row r="112" spans="2:57" s="248" customFormat="1" hidden="1" outlineLevel="1" x14ac:dyDescent="0.25">
      <c r="B112" s="249" t="s">
        <v>789</v>
      </c>
      <c r="C112" s="249">
        <v>54</v>
      </c>
      <c r="D112" s="249" t="s">
        <v>331</v>
      </c>
      <c r="E112" s="250" t="s">
        <v>1061</v>
      </c>
      <c r="F112" s="249" t="s">
        <v>1062</v>
      </c>
      <c r="G112" s="251" t="s">
        <v>1063</v>
      </c>
      <c r="H112" s="251" t="s">
        <v>1064</v>
      </c>
      <c r="I112" s="251" t="s">
        <v>748</v>
      </c>
      <c r="J112" s="252">
        <v>503660</v>
      </c>
      <c r="K112" s="253">
        <v>503660</v>
      </c>
      <c r="L112" s="253"/>
      <c r="M112" s="253"/>
      <c r="N112" s="254"/>
      <c r="O112" s="254"/>
      <c r="P112" s="254"/>
      <c r="Q112" s="254" t="s">
        <v>749</v>
      </c>
      <c r="R112" s="255"/>
      <c r="S112" s="255">
        <v>8788</v>
      </c>
      <c r="T112" s="256">
        <f t="shared" si="10"/>
        <v>8788</v>
      </c>
      <c r="U112" s="256">
        <v>35348</v>
      </c>
      <c r="V112" s="256">
        <v>35348</v>
      </c>
      <c r="W112" s="256">
        <v>35348</v>
      </c>
      <c r="X112" s="256">
        <v>35348</v>
      </c>
      <c r="Y112" s="256">
        <v>35348</v>
      </c>
      <c r="Z112" s="256">
        <v>35348</v>
      </c>
      <c r="AA112" s="256">
        <v>35348</v>
      </c>
      <c r="AB112" s="256">
        <v>35348</v>
      </c>
      <c r="AC112" s="256">
        <v>35348</v>
      </c>
      <c r="AD112" s="256">
        <v>35348</v>
      </c>
      <c r="AE112" s="256">
        <v>35348</v>
      </c>
      <c r="AF112" s="256">
        <v>35348</v>
      </c>
      <c r="AG112" s="256">
        <v>35348</v>
      </c>
      <c r="AH112" s="256">
        <v>35348</v>
      </c>
      <c r="AI112" s="256">
        <v>0</v>
      </c>
      <c r="AJ112" s="256">
        <v>0</v>
      </c>
      <c r="AK112" s="256">
        <v>0</v>
      </c>
      <c r="AL112" s="256">
        <v>0</v>
      </c>
      <c r="AM112" s="256">
        <v>0</v>
      </c>
      <c r="AN112" s="256">
        <v>0</v>
      </c>
      <c r="AO112" s="256">
        <v>0</v>
      </c>
      <c r="AP112" s="256">
        <v>0</v>
      </c>
      <c r="AQ112" s="256">
        <v>0</v>
      </c>
      <c r="AR112" s="256">
        <v>0</v>
      </c>
      <c r="AS112" s="256">
        <v>0</v>
      </c>
      <c r="AT112" s="256">
        <v>0</v>
      </c>
      <c r="AU112" s="256">
        <v>0</v>
      </c>
      <c r="AV112" s="256">
        <v>0</v>
      </c>
      <c r="AW112" s="256"/>
      <c r="AX112" s="256"/>
      <c r="AY112" s="259">
        <f t="shared" si="11"/>
        <v>503660</v>
      </c>
      <c r="AZ112" s="232">
        <f t="shared" si="7"/>
        <v>0</v>
      </c>
      <c r="BA112" s="258">
        <f t="shared" si="8"/>
        <v>282784</v>
      </c>
      <c r="BB112" s="259">
        <f t="shared" si="12"/>
        <v>503660</v>
      </c>
      <c r="BD112" s="248" t="b">
        <f t="shared" si="9"/>
        <v>1</v>
      </c>
      <c r="BE112" s="260">
        <f>BB112-K112-R112</f>
        <v>0</v>
      </c>
    </row>
    <row r="113" spans="2:57" hidden="1" outlineLevel="1" x14ac:dyDescent="0.25">
      <c r="B113" s="261" t="s">
        <v>789</v>
      </c>
      <c r="C113" s="261"/>
      <c r="D113" s="272" t="s">
        <v>1065</v>
      </c>
      <c r="E113" s="262"/>
      <c r="F113" s="261"/>
      <c r="G113" s="261"/>
      <c r="H113" s="261"/>
      <c r="I113" s="261"/>
      <c r="J113" s="263"/>
      <c r="K113" s="263"/>
      <c r="L113" s="263">
        <v>0</v>
      </c>
      <c r="M113" s="263" t="s">
        <v>934</v>
      </c>
      <c r="N113" s="264">
        <f t="shared" si="13"/>
        <v>4.6120000000000001</v>
      </c>
      <c r="O113" s="264">
        <v>4.6120000000000001</v>
      </c>
      <c r="P113" s="264">
        <f>$P$4</f>
        <v>0</v>
      </c>
      <c r="Q113" s="264" t="s">
        <v>751</v>
      </c>
      <c r="R113" s="265">
        <v>13106.650000000001</v>
      </c>
      <c r="S113" s="265">
        <v>5936.25</v>
      </c>
      <c r="T113" s="266">
        <f t="shared" si="10"/>
        <v>19042.900000000001</v>
      </c>
      <c r="U113" s="266">
        <f>SUM(U112:$AV112)*$N113/100</f>
        <v>22823.496639999998</v>
      </c>
      <c r="V113" s="266">
        <f>SUM(V112:$AV112)*$N113/100</f>
        <v>21193.246880000002</v>
      </c>
      <c r="W113" s="266">
        <f>SUM(W112:$AV112)*$N113/100</f>
        <v>19562.99712</v>
      </c>
      <c r="X113" s="266">
        <f>SUM(X112:$AV112)*$N113/100</f>
        <v>17932.747360000001</v>
      </c>
      <c r="Y113" s="266">
        <f>SUM(Y112:$AV112)*$N113/100</f>
        <v>16302.497600000001</v>
      </c>
      <c r="Z113" s="266">
        <f>SUM(Z112:$AV112)*$N113/100</f>
        <v>14672.24784</v>
      </c>
      <c r="AA113" s="266">
        <f>SUM(AA112:$AV112)*$N113/100</f>
        <v>13041.998079999999</v>
      </c>
      <c r="AB113" s="266">
        <f>SUM(AB112:$AV112)*$N113/100</f>
        <v>11411.748319999999</v>
      </c>
      <c r="AC113" s="266">
        <f>SUM(AC112:$AV112)*$N113/100</f>
        <v>9781.49856</v>
      </c>
      <c r="AD113" s="266">
        <f>SUM(AD112:$AV112)*$N113/100</f>
        <v>8151.2488000000003</v>
      </c>
      <c r="AE113" s="266">
        <f>SUM(AE112:$AV112)*$N113/100</f>
        <v>6520.9990399999997</v>
      </c>
      <c r="AF113" s="266">
        <f>SUM(AF112:$AV112)*$N113/100</f>
        <v>4890.74928</v>
      </c>
      <c r="AG113" s="266">
        <f>SUM(AG112:$AV112)*$N113/100</f>
        <v>3260.4995199999998</v>
      </c>
      <c r="AH113" s="266">
        <f>SUM(AH112:$AV112)*$N113/100</f>
        <v>1630.2497599999999</v>
      </c>
      <c r="AI113" s="266">
        <v>0</v>
      </c>
      <c r="AJ113" s="266">
        <v>0</v>
      </c>
      <c r="AK113" s="266">
        <v>0</v>
      </c>
      <c r="AL113" s="266">
        <v>0</v>
      </c>
      <c r="AM113" s="266">
        <v>0</v>
      </c>
      <c r="AN113" s="266">
        <v>0</v>
      </c>
      <c r="AO113" s="266">
        <v>0</v>
      </c>
      <c r="AP113" s="266">
        <v>0</v>
      </c>
      <c r="AQ113" s="266">
        <v>0</v>
      </c>
      <c r="AR113" s="266">
        <v>0</v>
      </c>
      <c r="AS113" s="266">
        <v>0</v>
      </c>
      <c r="AT113" s="266">
        <v>0</v>
      </c>
      <c r="AU113" s="266">
        <v>0</v>
      </c>
      <c r="AV113" s="266">
        <v>0</v>
      </c>
      <c r="AW113" s="266"/>
      <c r="AX113" s="266"/>
      <c r="AY113" s="269">
        <f t="shared" si="11"/>
        <v>190219.12480000002</v>
      </c>
      <c r="AZ113" s="232">
        <f t="shared" si="7"/>
        <v>0</v>
      </c>
      <c r="BA113" s="268">
        <f t="shared" si="8"/>
        <v>58688.991359999993</v>
      </c>
      <c r="BB113" s="269">
        <f t="shared" si="12"/>
        <v>190219.12479999999</v>
      </c>
      <c r="BD113" s="248" t="b">
        <f t="shared" si="9"/>
        <v>1</v>
      </c>
    </row>
    <row r="114" spans="2:57" s="248" customFormat="1" hidden="1" outlineLevel="1" x14ac:dyDescent="0.25">
      <c r="B114" s="249" t="s">
        <v>789</v>
      </c>
      <c r="C114" s="249">
        <v>55</v>
      </c>
      <c r="D114" s="249" t="s">
        <v>331</v>
      </c>
      <c r="E114" s="250" t="s">
        <v>1066</v>
      </c>
      <c r="F114" s="249" t="s">
        <v>1067</v>
      </c>
      <c r="G114" s="251" t="s">
        <v>1063</v>
      </c>
      <c r="H114" s="251" t="s">
        <v>1068</v>
      </c>
      <c r="I114" s="251" t="s">
        <v>748</v>
      </c>
      <c r="J114" s="252">
        <v>300000</v>
      </c>
      <c r="K114" s="253">
        <v>300000</v>
      </c>
      <c r="L114" s="253"/>
      <c r="M114" s="253"/>
      <c r="N114" s="254"/>
      <c r="O114" s="254"/>
      <c r="P114" s="254"/>
      <c r="Q114" s="254" t="s">
        <v>749</v>
      </c>
      <c r="R114" s="255"/>
      <c r="S114" s="255">
        <v>8076</v>
      </c>
      <c r="T114" s="256">
        <f t="shared" si="10"/>
        <v>8076</v>
      </c>
      <c r="U114" s="256">
        <v>32436</v>
      </c>
      <c r="V114" s="256">
        <v>32436</v>
      </c>
      <c r="W114" s="256">
        <v>32436</v>
      </c>
      <c r="X114" s="256">
        <v>32436</v>
      </c>
      <c r="Y114" s="256">
        <v>32436</v>
      </c>
      <c r="Z114" s="256">
        <v>32436</v>
      </c>
      <c r="AA114" s="256">
        <v>32436</v>
      </c>
      <c r="AB114" s="256">
        <v>32436</v>
      </c>
      <c r="AC114" s="256">
        <v>32436</v>
      </c>
      <c r="AD114" s="256">
        <v>0</v>
      </c>
      <c r="AE114" s="256">
        <v>0</v>
      </c>
      <c r="AF114" s="256">
        <v>0</v>
      </c>
      <c r="AG114" s="256">
        <v>0</v>
      </c>
      <c r="AH114" s="256">
        <v>0</v>
      </c>
      <c r="AI114" s="256">
        <v>0</v>
      </c>
      <c r="AJ114" s="256">
        <v>0</v>
      </c>
      <c r="AK114" s="256">
        <v>0</v>
      </c>
      <c r="AL114" s="256">
        <v>0</v>
      </c>
      <c r="AM114" s="256">
        <v>0</v>
      </c>
      <c r="AN114" s="256">
        <v>0</v>
      </c>
      <c r="AO114" s="256">
        <v>0</v>
      </c>
      <c r="AP114" s="256">
        <v>0</v>
      </c>
      <c r="AQ114" s="256">
        <v>0</v>
      </c>
      <c r="AR114" s="256">
        <v>0</v>
      </c>
      <c r="AS114" s="256">
        <v>0</v>
      </c>
      <c r="AT114" s="256">
        <v>0</v>
      </c>
      <c r="AU114" s="256">
        <v>0</v>
      </c>
      <c r="AV114" s="256">
        <v>0</v>
      </c>
      <c r="AW114" s="256"/>
      <c r="AX114" s="256"/>
      <c r="AY114" s="259">
        <f t="shared" si="11"/>
        <v>300000</v>
      </c>
      <c r="AZ114" s="232">
        <f t="shared" si="7"/>
        <v>0</v>
      </c>
      <c r="BA114" s="258">
        <f t="shared" si="8"/>
        <v>97308</v>
      </c>
      <c r="BB114" s="259">
        <f t="shared" si="12"/>
        <v>300000</v>
      </c>
      <c r="BD114" s="248" t="b">
        <f t="shared" si="9"/>
        <v>1</v>
      </c>
      <c r="BE114" s="260">
        <f>BB114-K114-R114</f>
        <v>0</v>
      </c>
    </row>
    <row r="115" spans="2:57" hidden="1" outlineLevel="1" x14ac:dyDescent="0.25">
      <c r="B115" s="261" t="s">
        <v>789</v>
      </c>
      <c r="C115" s="261"/>
      <c r="D115" s="272" t="s">
        <v>1069</v>
      </c>
      <c r="E115" s="262"/>
      <c r="F115" s="261"/>
      <c r="G115" s="261"/>
      <c r="H115" s="261"/>
      <c r="I115" s="261"/>
      <c r="J115" s="263"/>
      <c r="K115" s="263"/>
      <c r="L115" s="263">
        <v>0</v>
      </c>
      <c r="M115" s="263" t="s">
        <v>934</v>
      </c>
      <c r="N115" s="264">
        <f t="shared" si="13"/>
        <v>4.3979999999999997</v>
      </c>
      <c r="O115" s="264">
        <v>4.3979999999999997</v>
      </c>
      <c r="P115" s="264">
        <f>$P$4</f>
        <v>0</v>
      </c>
      <c r="Q115" s="264" t="s">
        <v>751</v>
      </c>
      <c r="R115" s="265">
        <v>7541.8600000000006</v>
      </c>
      <c r="S115" s="265">
        <v>3371.8</v>
      </c>
      <c r="T115" s="266">
        <f t="shared" si="10"/>
        <v>10913.66</v>
      </c>
      <c r="U115" s="266">
        <f>SUM(U114:$AV114)*$N115/100</f>
        <v>12838.817519999999</v>
      </c>
      <c r="V115" s="266">
        <f>SUM(V114:$AV114)*$N115/100</f>
        <v>11412.282239999999</v>
      </c>
      <c r="W115" s="266">
        <f>SUM(W114:$AV114)*$N115/100</f>
        <v>9985.7469599999986</v>
      </c>
      <c r="X115" s="266">
        <f>SUM(X114:$AV114)*$N115/100</f>
        <v>8559.2116800000003</v>
      </c>
      <c r="Y115" s="266">
        <f>SUM(Y114:$AV114)*$N115/100</f>
        <v>7132.6763999999994</v>
      </c>
      <c r="Z115" s="266">
        <f>SUM(Z114:$AV114)*$N115/100</f>
        <v>5706.1411199999993</v>
      </c>
      <c r="AA115" s="266">
        <f>SUM(AA114:$AV114)*$N115/100</f>
        <v>4279.6058400000002</v>
      </c>
      <c r="AB115" s="266">
        <f>SUM(AB114:$AV114)*$N115/100</f>
        <v>2853.0705599999997</v>
      </c>
      <c r="AC115" s="266">
        <f>SUM(AC114:$AV114)*$N115/100</f>
        <v>1426.5352799999998</v>
      </c>
      <c r="AD115" s="266">
        <v>0</v>
      </c>
      <c r="AE115" s="266">
        <v>0</v>
      </c>
      <c r="AF115" s="266">
        <v>0</v>
      </c>
      <c r="AG115" s="266">
        <v>0</v>
      </c>
      <c r="AH115" s="266">
        <v>0</v>
      </c>
      <c r="AI115" s="266">
        <v>0</v>
      </c>
      <c r="AJ115" s="266">
        <v>0</v>
      </c>
      <c r="AK115" s="266">
        <v>0</v>
      </c>
      <c r="AL115" s="266">
        <v>0</v>
      </c>
      <c r="AM115" s="266">
        <v>0</v>
      </c>
      <c r="AN115" s="266">
        <v>0</v>
      </c>
      <c r="AO115" s="266">
        <v>0</v>
      </c>
      <c r="AP115" s="266">
        <v>0</v>
      </c>
      <c r="AQ115" s="266">
        <v>0</v>
      </c>
      <c r="AR115" s="266">
        <v>0</v>
      </c>
      <c r="AS115" s="266">
        <v>0</v>
      </c>
      <c r="AT115" s="266">
        <v>0</v>
      </c>
      <c r="AU115" s="266">
        <v>0</v>
      </c>
      <c r="AV115" s="266">
        <v>0</v>
      </c>
      <c r="AW115" s="266"/>
      <c r="AX115" s="266"/>
      <c r="AY115" s="269">
        <f t="shared" si="11"/>
        <v>75107.747599999988</v>
      </c>
      <c r="AZ115" s="232">
        <f t="shared" si="7"/>
        <v>0</v>
      </c>
      <c r="BA115" s="268">
        <f t="shared" si="8"/>
        <v>8559.2116800000003</v>
      </c>
      <c r="BB115" s="269">
        <f t="shared" si="12"/>
        <v>75107.747600000002</v>
      </c>
      <c r="BD115" s="248" t="b">
        <f t="shared" si="9"/>
        <v>1</v>
      </c>
    </row>
    <row r="116" spans="2:57" s="248" customFormat="1" collapsed="1" x14ac:dyDescent="0.25">
      <c r="B116" s="249" t="s">
        <v>742</v>
      </c>
      <c r="C116" s="249">
        <v>56</v>
      </c>
      <c r="D116" s="249" t="s">
        <v>1070</v>
      </c>
      <c r="E116" s="250" t="s">
        <v>1071</v>
      </c>
      <c r="F116" s="249" t="s">
        <v>1072</v>
      </c>
      <c r="G116" s="251" t="s">
        <v>1073</v>
      </c>
      <c r="H116" s="251" t="s">
        <v>1074</v>
      </c>
      <c r="I116" s="251" t="s">
        <v>748</v>
      </c>
      <c r="J116" s="252">
        <v>292889</v>
      </c>
      <c r="K116" s="253">
        <v>126903.87</v>
      </c>
      <c r="L116" s="253"/>
      <c r="M116" s="253"/>
      <c r="N116" s="254"/>
      <c r="O116" s="254"/>
      <c r="P116" s="254"/>
      <c r="Q116" s="254" t="s">
        <v>749</v>
      </c>
      <c r="R116" s="255">
        <v>1681</v>
      </c>
      <c r="S116" s="255">
        <v>8408</v>
      </c>
      <c r="T116" s="256">
        <f t="shared" si="10"/>
        <v>10089</v>
      </c>
      <c r="U116" s="256">
        <v>20200</v>
      </c>
      <c r="V116" s="256">
        <v>20200</v>
      </c>
      <c r="W116" s="256">
        <v>20200</v>
      </c>
      <c r="X116" s="256">
        <v>20200</v>
      </c>
      <c r="Y116" s="256">
        <v>20200</v>
      </c>
      <c r="Z116" s="256">
        <v>20200</v>
      </c>
      <c r="AA116" s="256">
        <v>20200</v>
      </c>
      <c r="AB116" s="256">
        <v>20200</v>
      </c>
      <c r="AC116" s="256">
        <v>20200</v>
      </c>
      <c r="AD116" s="256">
        <v>20200</v>
      </c>
      <c r="AE116" s="256">
        <v>20200</v>
      </c>
      <c r="AF116" s="256">
        <v>20200</v>
      </c>
      <c r="AG116" s="256">
        <v>20200</v>
      </c>
      <c r="AH116" s="256">
        <f>J116-AG116-AF116-AE116-AD116-AC116-AB116-AA116-Z116-Y116-X116-W116-V116-U116-T116</f>
        <v>20200</v>
      </c>
      <c r="AI116" s="256">
        <v>0</v>
      </c>
      <c r="AJ116" s="256">
        <v>0</v>
      </c>
      <c r="AK116" s="256">
        <v>0</v>
      </c>
      <c r="AL116" s="256">
        <v>0</v>
      </c>
      <c r="AM116" s="256">
        <v>0</v>
      </c>
      <c r="AN116" s="256">
        <v>0</v>
      </c>
      <c r="AO116" s="256">
        <v>0</v>
      </c>
      <c r="AP116" s="256">
        <v>0</v>
      </c>
      <c r="AQ116" s="256">
        <v>0</v>
      </c>
      <c r="AR116" s="256">
        <v>0</v>
      </c>
      <c r="AS116" s="256">
        <v>0</v>
      </c>
      <c r="AT116" s="256">
        <v>0</v>
      </c>
      <c r="AU116" s="256">
        <v>0</v>
      </c>
      <c r="AV116" s="256">
        <v>0</v>
      </c>
      <c r="AW116" s="256"/>
      <c r="AX116" s="256"/>
      <c r="AY116" s="259">
        <f t="shared" si="11"/>
        <v>292889</v>
      </c>
      <c r="AZ116" s="232">
        <f t="shared" si="7"/>
        <v>0</v>
      </c>
      <c r="BA116" s="258">
        <f t="shared" si="8"/>
        <v>161600</v>
      </c>
      <c r="BB116" s="259">
        <f t="shared" si="12"/>
        <v>292889</v>
      </c>
      <c r="BD116" s="248" t="b">
        <f t="shared" si="9"/>
        <v>1</v>
      </c>
      <c r="BE116" s="260">
        <f>BB116-J116</f>
        <v>0</v>
      </c>
    </row>
    <row r="117" spans="2:57" x14ac:dyDescent="0.25">
      <c r="B117" s="261" t="s">
        <v>742</v>
      </c>
      <c r="C117" s="261"/>
      <c r="D117" s="272" t="s">
        <v>1075</v>
      </c>
      <c r="E117" s="262"/>
      <c r="F117" s="261"/>
      <c r="G117" s="261"/>
      <c r="H117" s="261"/>
      <c r="I117" s="261"/>
      <c r="J117" s="263"/>
      <c r="K117" s="263"/>
      <c r="L117" s="263">
        <v>0</v>
      </c>
      <c r="M117" s="263" t="s">
        <v>934</v>
      </c>
      <c r="N117" s="264">
        <f t="shared" si="13"/>
        <v>4.6100000000000003</v>
      </c>
      <c r="O117" s="264">
        <v>4.6100000000000003</v>
      </c>
      <c r="P117" s="264">
        <f>$P$4</f>
        <v>0</v>
      </c>
      <c r="Q117" s="264" t="s">
        <v>751</v>
      </c>
      <c r="R117" s="265">
        <v>85.43</v>
      </c>
      <c r="S117" s="265">
        <v>438.67</v>
      </c>
      <c r="T117" s="266">
        <f t="shared" si="10"/>
        <v>524.1</v>
      </c>
      <c r="U117" s="266">
        <f>SUM(U116:$AV116)*$N117/100</f>
        <v>13037.08</v>
      </c>
      <c r="V117" s="266">
        <f>SUM(V116:$AV116)*$N117/100</f>
        <v>12105.86</v>
      </c>
      <c r="W117" s="266">
        <f>SUM(W116:$AV116)*$N117/100</f>
        <v>11174.64</v>
      </c>
      <c r="X117" s="266">
        <f>SUM(X116:$AV116)*$N117/100</f>
        <v>10243.420000000002</v>
      </c>
      <c r="Y117" s="266">
        <f>SUM(Y116:$AV116)*$N117/100</f>
        <v>9312.2000000000007</v>
      </c>
      <c r="Z117" s="266">
        <f>SUM(Z116:$AV116)*$N117/100</f>
        <v>8380.98</v>
      </c>
      <c r="AA117" s="266">
        <f>SUM(AA116:$AV116)*$N117/100</f>
        <v>7449.76</v>
      </c>
      <c r="AB117" s="266">
        <f>SUM(AB116:$AV116)*$N117/100</f>
        <v>6518.54</v>
      </c>
      <c r="AC117" s="266">
        <f>SUM(AC116:$AV116)*$N117/100</f>
        <v>5587.32</v>
      </c>
      <c r="AD117" s="266">
        <f>SUM(AD116:$AV116)*$N117/100</f>
        <v>4656.1000000000004</v>
      </c>
      <c r="AE117" s="266">
        <f>SUM(AE116:$AV116)*$N117/100</f>
        <v>3724.88</v>
      </c>
      <c r="AF117" s="266">
        <f>SUM(AF116:$AV116)*$N117/100</f>
        <v>2793.66</v>
      </c>
      <c r="AG117" s="266">
        <f>SUM(AG116:$AV116)*$N117/100</f>
        <v>1862.44</v>
      </c>
      <c r="AH117" s="266">
        <f>SUM(AH116:$AV116)*$N117/100</f>
        <v>931.22</v>
      </c>
      <c r="AI117" s="266">
        <v>0</v>
      </c>
      <c r="AJ117" s="266">
        <v>0</v>
      </c>
      <c r="AK117" s="266">
        <v>0</v>
      </c>
      <c r="AL117" s="266">
        <v>0</v>
      </c>
      <c r="AM117" s="266">
        <v>0</v>
      </c>
      <c r="AN117" s="266">
        <v>0</v>
      </c>
      <c r="AO117" s="266">
        <v>0</v>
      </c>
      <c r="AP117" s="266">
        <v>0</v>
      </c>
      <c r="AQ117" s="266">
        <v>0</v>
      </c>
      <c r="AR117" s="266">
        <v>0</v>
      </c>
      <c r="AS117" s="266">
        <v>0</v>
      </c>
      <c r="AT117" s="266">
        <v>0</v>
      </c>
      <c r="AU117" s="266">
        <v>0</v>
      </c>
      <c r="AV117" s="266">
        <v>0</v>
      </c>
      <c r="AW117" s="266"/>
      <c r="AX117" s="266"/>
      <c r="AY117" s="269">
        <f t="shared" si="11"/>
        <v>98302.200000000012</v>
      </c>
      <c r="AZ117" s="232">
        <f t="shared" si="7"/>
        <v>0</v>
      </c>
      <c r="BA117" s="268">
        <f t="shared" si="8"/>
        <v>33523.919999999998</v>
      </c>
      <c r="BB117" s="269">
        <f t="shared" si="12"/>
        <v>98302.2</v>
      </c>
      <c r="BD117" s="248" t="b">
        <f t="shared" si="9"/>
        <v>1</v>
      </c>
    </row>
    <row r="118" spans="2:57" s="248" customFormat="1" x14ac:dyDescent="0.25">
      <c r="B118" s="249" t="s">
        <v>789</v>
      </c>
      <c r="C118" s="249">
        <v>57</v>
      </c>
      <c r="D118" s="249" t="s">
        <v>1076</v>
      </c>
      <c r="E118" s="250" t="s">
        <v>1077</v>
      </c>
      <c r="F118" s="249" t="s">
        <v>1078</v>
      </c>
      <c r="G118" s="251" t="s">
        <v>1079</v>
      </c>
      <c r="H118" s="251" t="s">
        <v>973</v>
      </c>
      <c r="I118" s="251" t="s">
        <v>748</v>
      </c>
      <c r="J118" s="252">
        <v>37335</v>
      </c>
      <c r="K118" s="253">
        <v>37335</v>
      </c>
      <c r="L118" s="253"/>
      <c r="M118" s="253"/>
      <c r="N118" s="254"/>
      <c r="O118" s="254"/>
      <c r="P118" s="254"/>
      <c r="Q118" s="254" t="s">
        <v>749</v>
      </c>
      <c r="R118" s="255"/>
      <c r="S118" s="255">
        <v>37335</v>
      </c>
      <c r="T118" s="256">
        <f t="shared" si="10"/>
        <v>37335</v>
      </c>
      <c r="U118" s="256">
        <v>0</v>
      </c>
      <c r="V118" s="256">
        <v>0</v>
      </c>
      <c r="W118" s="256">
        <v>0</v>
      </c>
      <c r="X118" s="256">
        <v>0</v>
      </c>
      <c r="Y118" s="256">
        <v>0</v>
      </c>
      <c r="Z118" s="256">
        <v>0</v>
      </c>
      <c r="AA118" s="256">
        <v>0</v>
      </c>
      <c r="AB118" s="256">
        <v>0</v>
      </c>
      <c r="AC118" s="256">
        <v>0</v>
      </c>
      <c r="AD118" s="256">
        <v>0</v>
      </c>
      <c r="AE118" s="256">
        <v>0</v>
      </c>
      <c r="AF118" s="256">
        <v>0</v>
      </c>
      <c r="AG118" s="256">
        <v>0</v>
      </c>
      <c r="AH118" s="256">
        <v>0</v>
      </c>
      <c r="AI118" s="256">
        <v>0</v>
      </c>
      <c r="AJ118" s="256">
        <v>0</v>
      </c>
      <c r="AK118" s="256">
        <v>0</v>
      </c>
      <c r="AL118" s="256">
        <v>0</v>
      </c>
      <c r="AM118" s="256">
        <v>0</v>
      </c>
      <c r="AN118" s="256">
        <v>0</v>
      </c>
      <c r="AO118" s="256">
        <v>0</v>
      </c>
      <c r="AP118" s="256">
        <v>0</v>
      </c>
      <c r="AQ118" s="256">
        <v>0</v>
      </c>
      <c r="AR118" s="256">
        <v>0</v>
      </c>
      <c r="AS118" s="256">
        <v>0</v>
      </c>
      <c r="AT118" s="256">
        <v>0</v>
      </c>
      <c r="AU118" s="256">
        <v>0</v>
      </c>
      <c r="AV118" s="256">
        <v>0</v>
      </c>
      <c r="AW118" s="256"/>
      <c r="AX118" s="256"/>
      <c r="AY118" s="259">
        <f t="shared" si="11"/>
        <v>37335</v>
      </c>
      <c r="AZ118" s="232">
        <f t="shared" si="7"/>
        <v>0</v>
      </c>
      <c r="BA118" s="258">
        <f t="shared" si="8"/>
        <v>0</v>
      </c>
      <c r="BB118" s="259">
        <f t="shared" si="12"/>
        <v>37335</v>
      </c>
      <c r="BD118" s="248" t="b">
        <f t="shared" si="9"/>
        <v>1</v>
      </c>
      <c r="BE118" s="260">
        <f>BB118-K118-R118</f>
        <v>0</v>
      </c>
    </row>
    <row r="119" spans="2:57" x14ac:dyDescent="0.25">
      <c r="B119" s="261" t="s">
        <v>789</v>
      </c>
      <c r="C119" s="261"/>
      <c r="D119" s="272" t="s">
        <v>1080</v>
      </c>
      <c r="E119" s="262"/>
      <c r="F119" s="261"/>
      <c r="G119" s="261"/>
      <c r="H119" s="261"/>
      <c r="I119" s="261"/>
      <c r="J119" s="263"/>
      <c r="K119" s="263"/>
      <c r="L119" s="263" t="s">
        <v>1081</v>
      </c>
      <c r="M119" s="263"/>
      <c r="N119" s="264">
        <f t="shared" si="13"/>
        <v>3.605</v>
      </c>
      <c r="O119" s="264">
        <v>3.605</v>
      </c>
      <c r="P119" s="264">
        <f>$P$4</f>
        <v>0</v>
      </c>
      <c r="Q119" s="264" t="s">
        <v>751</v>
      </c>
      <c r="R119" s="265">
        <v>119.64</v>
      </c>
      <c r="S119" s="265">
        <v>343.96</v>
      </c>
      <c r="T119" s="266">
        <f t="shared" si="10"/>
        <v>463.59999999999997</v>
      </c>
      <c r="U119" s="266">
        <f>SUM(U118:$AV118)*$N119/100</f>
        <v>0</v>
      </c>
      <c r="V119" s="266">
        <v>0</v>
      </c>
      <c r="W119" s="266">
        <v>0</v>
      </c>
      <c r="X119" s="266">
        <v>0</v>
      </c>
      <c r="Y119" s="266">
        <v>0</v>
      </c>
      <c r="Z119" s="266">
        <v>0</v>
      </c>
      <c r="AA119" s="266">
        <v>0</v>
      </c>
      <c r="AB119" s="266">
        <v>0</v>
      </c>
      <c r="AC119" s="266">
        <v>0</v>
      </c>
      <c r="AD119" s="266">
        <v>0</v>
      </c>
      <c r="AE119" s="266">
        <v>0</v>
      </c>
      <c r="AF119" s="266">
        <v>0</v>
      </c>
      <c r="AG119" s="266">
        <v>0</v>
      </c>
      <c r="AH119" s="266">
        <v>0</v>
      </c>
      <c r="AI119" s="266">
        <v>0</v>
      </c>
      <c r="AJ119" s="266">
        <v>0</v>
      </c>
      <c r="AK119" s="266">
        <v>0</v>
      </c>
      <c r="AL119" s="266">
        <v>0</v>
      </c>
      <c r="AM119" s="266">
        <v>0</v>
      </c>
      <c r="AN119" s="266">
        <v>0</v>
      </c>
      <c r="AO119" s="266">
        <v>0</v>
      </c>
      <c r="AP119" s="266">
        <v>0</v>
      </c>
      <c r="AQ119" s="266">
        <v>0</v>
      </c>
      <c r="AR119" s="266">
        <v>0</v>
      </c>
      <c r="AS119" s="266">
        <v>0</v>
      </c>
      <c r="AT119" s="266">
        <v>0</v>
      </c>
      <c r="AU119" s="266">
        <v>0</v>
      </c>
      <c r="AV119" s="266">
        <v>0</v>
      </c>
      <c r="AW119" s="266"/>
      <c r="AX119" s="266"/>
      <c r="AY119" s="269">
        <f t="shared" si="11"/>
        <v>463.59999999999997</v>
      </c>
      <c r="AZ119" s="232">
        <f t="shared" si="7"/>
        <v>0</v>
      </c>
      <c r="BA119" s="268">
        <f t="shared" si="8"/>
        <v>0</v>
      </c>
      <c r="BB119" s="269">
        <f t="shared" si="12"/>
        <v>463.59999999999997</v>
      </c>
      <c r="BD119" s="248" t="b">
        <f t="shared" si="9"/>
        <v>1</v>
      </c>
    </row>
    <row r="120" spans="2:57" s="248" customFormat="1" x14ac:dyDescent="0.25">
      <c r="B120" s="249" t="s">
        <v>789</v>
      </c>
      <c r="C120" s="249">
        <v>58</v>
      </c>
      <c r="D120" s="249" t="s">
        <v>1082</v>
      </c>
      <c r="E120" s="250" t="s">
        <v>1083</v>
      </c>
      <c r="F120" s="249" t="s">
        <v>1084</v>
      </c>
      <c r="G120" s="251" t="s">
        <v>1085</v>
      </c>
      <c r="H120" s="251" t="s">
        <v>971</v>
      </c>
      <c r="I120" s="251" t="s">
        <v>748</v>
      </c>
      <c r="J120" s="252">
        <v>495501</v>
      </c>
      <c r="K120" s="273">
        <v>296400.88</v>
      </c>
      <c r="L120" s="253"/>
      <c r="M120" s="253"/>
      <c r="N120" s="254"/>
      <c r="O120" s="254"/>
      <c r="P120" s="254"/>
      <c r="Q120" s="254" t="s">
        <v>749</v>
      </c>
      <c r="R120" s="255"/>
      <c r="S120" s="255">
        <v>0</v>
      </c>
      <c r="T120" s="256">
        <f t="shared" si="10"/>
        <v>0</v>
      </c>
      <c r="U120" s="256">
        <v>26079</v>
      </c>
      <c r="V120" s="256">
        <v>34772</v>
      </c>
      <c r="W120" s="256">
        <v>34772</v>
      </c>
      <c r="X120" s="256">
        <v>34772</v>
      </c>
      <c r="Y120" s="256">
        <v>34772</v>
      </c>
      <c r="Z120" s="256">
        <v>34772</v>
      </c>
      <c r="AA120" s="256">
        <v>34772</v>
      </c>
      <c r="AB120" s="256">
        <v>34772</v>
      </c>
      <c r="AC120" s="256">
        <v>34772</v>
      </c>
      <c r="AD120" s="256">
        <v>34772</v>
      </c>
      <c r="AE120" s="256">
        <v>34772</v>
      </c>
      <c r="AF120" s="256">
        <v>34772</v>
      </c>
      <c r="AG120" s="256">
        <v>34772</v>
      </c>
      <c r="AH120" s="256">
        <v>34772</v>
      </c>
      <c r="AI120" s="256">
        <v>17386</v>
      </c>
      <c r="AJ120" s="256">
        <v>0</v>
      </c>
      <c r="AK120" s="256">
        <v>0</v>
      </c>
      <c r="AL120" s="256">
        <v>0</v>
      </c>
      <c r="AM120" s="256">
        <v>0</v>
      </c>
      <c r="AN120" s="256">
        <v>0</v>
      </c>
      <c r="AO120" s="256">
        <v>0</v>
      </c>
      <c r="AP120" s="256">
        <v>0</v>
      </c>
      <c r="AQ120" s="256">
        <v>0</v>
      </c>
      <c r="AR120" s="256">
        <v>0</v>
      </c>
      <c r="AS120" s="256">
        <v>0</v>
      </c>
      <c r="AT120" s="256">
        <v>0</v>
      </c>
      <c r="AU120" s="256">
        <v>0</v>
      </c>
      <c r="AV120" s="256">
        <v>0</v>
      </c>
      <c r="AW120" s="256"/>
      <c r="AX120" s="256"/>
      <c r="AY120" s="259">
        <f t="shared" si="11"/>
        <v>495501</v>
      </c>
      <c r="AZ120" s="232">
        <f t="shared" si="7"/>
        <v>0</v>
      </c>
      <c r="BA120" s="258">
        <f t="shared" si="8"/>
        <v>295562</v>
      </c>
      <c r="BB120" s="259">
        <f t="shared" si="12"/>
        <v>495501</v>
      </c>
      <c r="BD120" s="248" t="b">
        <f t="shared" si="9"/>
        <v>1</v>
      </c>
      <c r="BE120" s="260">
        <f>BB120-K120-R120</f>
        <v>199100.12</v>
      </c>
    </row>
    <row r="121" spans="2:57" x14ac:dyDescent="0.25">
      <c r="B121" s="261" t="s">
        <v>789</v>
      </c>
      <c r="C121" s="261"/>
      <c r="D121" s="272" t="s">
        <v>1086</v>
      </c>
      <c r="E121" s="262"/>
      <c r="F121" s="261"/>
      <c r="G121" s="261"/>
      <c r="H121" s="261"/>
      <c r="I121" s="261"/>
      <c r="J121" s="263"/>
      <c r="K121" s="270"/>
      <c r="L121" s="263" t="s">
        <v>1087</v>
      </c>
      <c r="M121" s="263"/>
      <c r="N121" s="264">
        <f t="shared" si="13"/>
        <v>5.524</v>
      </c>
      <c r="O121" s="264">
        <v>5.524</v>
      </c>
      <c r="P121" s="264">
        <f>$P$4</f>
        <v>0</v>
      </c>
      <c r="Q121" s="264" t="s">
        <v>751</v>
      </c>
      <c r="R121" s="265">
        <v>20.170000000000002</v>
      </c>
      <c r="S121" s="265">
        <v>2283.11</v>
      </c>
      <c r="T121" s="266">
        <f t="shared" si="10"/>
        <v>2303.2800000000002</v>
      </c>
      <c r="U121" s="266">
        <f>SUM(U120:$AV120)*$N121/100</f>
        <v>27371.475240000003</v>
      </c>
      <c r="V121" s="266">
        <f>SUM(V120:$AV120)*$N121/100</f>
        <v>25930.871279999999</v>
      </c>
      <c r="W121" s="266">
        <f>SUM(W120:$AV120)*$N121/100</f>
        <v>24010.066000000003</v>
      </c>
      <c r="X121" s="266">
        <f>SUM(X120:$AV120)*$N121/100</f>
        <v>22089.260720000002</v>
      </c>
      <c r="Y121" s="266">
        <f>SUM(Y120:$AV120)*$N121/100</f>
        <v>20168.455440000002</v>
      </c>
      <c r="Z121" s="266">
        <f>SUM(Z120:$AV120)*$N121/100</f>
        <v>18247.650160000001</v>
      </c>
      <c r="AA121" s="266">
        <f>SUM(AA120:$AV120)*$N121/100</f>
        <v>16326.844879999999</v>
      </c>
      <c r="AB121" s="266">
        <f>SUM(AB120:$AV120)*$N121/100</f>
        <v>14406.0396</v>
      </c>
      <c r="AC121" s="266">
        <f>SUM(AC120:$AV120)*$N121/100</f>
        <v>12485.23432</v>
      </c>
      <c r="AD121" s="266">
        <f>SUM(AD120:$AV120)*$N121/100</f>
        <v>10564.429040000001</v>
      </c>
      <c r="AE121" s="266">
        <f>SUM(AE120:$AV120)*$N121/100</f>
        <v>8643.6237600000004</v>
      </c>
      <c r="AF121" s="266">
        <f>SUM(AF120:$AV120)*$N121/100</f>
        <v>6722.8184799999999</v>
      </c>
      <c r="AG121" s="266">
        <f>SUM(AG120:$AV120)*$N121/100</f>
        <v>4802.0132000000003</v>
      </c>
      <c r="AH121" s="266">
        <f>SUM(AH120:$AV120)*$N121/100</f>
        <v>2881.2079200000003</v>
      </c>
      <c r="AI121" s="266">
        <f>SUM(AI120:$AV120)*$N121/100</f>
        <v>960.40263999999991</v>
      </c>
      <c r="AJ121" s="266">
        <v>0</v>
      </c>
      <c r="AK121" s="266">
        <v>0</v>
      </c>
      <c r="AL121" s="266">
        <v>0</v>
      </c>
      <c r="AM121" s="266">
        <v>0</v>
      </c>
      <c r="AN121" s="266">
        <v>0</v>
      </c>
      <c r="AO121" s="266">
        <v>0</v>
      </c>
      <c r="AP121" s="266">
        <v>0</v>
      </c>
      <c r="AQ121" s="266">
        <v>0</v>
      </c>
      <c r="AR121" s="266">
        <v>0</v>
      </c>
      <c r="AS121" s="266">
        <v>0</v>
      </c>
      <c r="AT121" s="266">
        <v>0</v>
      </c>
      <c r="AU121" s="266">
        <v>0</v>
      </c>
      <c r="AV121" s="266">
        <v>0</v>
      </c>
      <c r="AW121" s="266"/>
      <c r="AX121" s="266"/>
      <c r="AY121" s="269">
        <f t="shared" si="11"/>
        <v>217913.6726799999</v>
      </c>
      <c r="AZ121" s="232">
        <f t="shared" si="7"/>
        <v>0</v>
      </c>
      <c r="BA121" s="268">
        <f t="shared" si="8"/>
        <v>77792.613840000005</v>
      </c>
      <c r="BB121" s="269">
        <f t="shared" si="12"/>
        <v>217913.67268000002</v>
      </c>
      <c r="BD121" s="248" t="b">
        <f t="shared" si="9"/>
        <v>1</v>
      </c>
    </row>
    <row r="122" spans="2:57" s="248" customFormat="1" x14ac:dyDescent="0.25">
      <c r="B122" s="249" t="s">
        <v>789</v>
      </c>
      <c r="C122" s="249">
        <v>59</v>
      </c>
      <c r="D122" s="249" t="s">
        <v>1088</v>
      </c>
      <c r="E122" s="250" t="s">
        <v>1089</v>
      </c>
      <c r="F122" s="249" t="s">
        <v>1090</v>
      </c>
      <c r="G122" s="251" t="s">
        <v>1091</v>
      </c>
      <c r="H122" s="251" t="s">
        <v>1092</v>
      </c>
      <c r="I122" s="251" t="s">
        <v>748</v>
      </c>
      <c r="J122" s="252">
        <v>167687</v>
      </c>
      <c r="K122" s="273">
        <v>167687</v>
      </c>
      <c r="L122" s="253"/>
      <c r="M122" s="253"/>
      <c r="N122" s="254"/>
      <c r="O122" s="254"/>
      <c r="P122" s="254"/>
      <c r="Q122" s="254" t="s">
        <v>749</v>
      </c>
      <c r="R122" s="255"/>
      <c r="S122" s="255">
        <v>133641</v>
      </c>
      <c r="T122" s="256">
        <f t="shared" si="10"/>
        <v>133641</v>
      </c>
      <c r="U122" s="256">
        <f>167687-133641</f>
        <v>34046</v>
      </c>
      <c r="V122" s="256">
        <v>0</v>
      </c>
      <c r="W122" s="256">
        <v>0</v>
      </c>
      <c r="X122" s="256">
        <v>0</v>
      </c>
      <c r="Y122" s="256">
        <v>0</v>
      </c>
      <c r="Z122" s="256">
        <v>0</v>
      </c>
      <c r="AA122" s="256">
        <v>0</v>
      </c>
      <c r="AB122" s="256">
        <v>0</v>
      </c>
      <c r="AC122" s="256">
        <v>0</v>
      </c>
      <c r="AD122" s="256">
        <v>0</v>
      </c>
      <c r="AE122" s="256">
        <v>0</v>
      </c>
      <c r="AF122" s="256">
        <v>0</v>
      </c>
      <c r="AG122" s="256">
        <v>0</v>
      </c>
      <c r="AH122" s="256">
        <v>0</v>
      </c>
      <c r="AI122" s="256">
        <v>0</v>
      </c>
      <c r="AJ122" s="256">
        <v>0</v>
      </c>
      <c r="AK122" s="256">
        <v>0</v>
      </c>
      <c r="AL122" s="256">
        <v>0</v>
      </c>
      <c r="AM122" s="256">
        <v>0</v>
      </c>
      <c r="AN122" s="256">
        <v>0</v>
      </c>
      <c r="AO122" s="256">
        <v>0</v>
      </c>
      <c r="AP122" s="256">
        <v>0</v>
      </c>
      <c r="AQ122" s="256">
        <v>0</v>
      </c>
      <c r="AR122" s="256">
        <v>0</v>
      </c>
      <c r="AS122" s="256">
        <v>0</v>
      </c>
      <c r="AT122" s="256">
        <v>0</v>
      </c>
      <c r="AU122" s="256">
        <v>0</v>
      </c>
      <c r="AV122" s="256">
        <v>0</v>
      </c>
      <c r="AW122" s="256"/>
      <c r="AX122" s="256"/>
      <c r="AY122" s="259">
        <f t="shared" si="11"/>
        <v>167687</v>
      </c>
      <c r="AZ122" s="232">
        <f t="shared" si="7"/>
        <v>0</v>
      </c>
      <c r="BA122" s="258">
        <f t="shared" si="8"/>
        <v>0</v>
      </c>
      <c r="BB122" s="259">
        <f t="shared" si="12"/>
        <v>167687</v>
      </c>
      <c r="BD122" s="248" t="b">
        <f t="shared" si="9"/>
        <v>1</v>
      </c>
      <c r="BE122" s="260">
        <f>BB122-K122-R122</f>
        <v>0</v>
      </c>
    </row>
    <row r="123" spans="2:57" x14ac:dyDescent="0.25">
      <c r="B123" s="261" t="s">
        <v>789</v>
      </c>
      <c r="C123" s="261"/>
      <c r="D123" s="272" t="s">
        <v>1093</v>
      </c>
      <c r="E123" s="262"/>
      <c r="F123" s="261"/>
      <c r="G123" s="261"/>
      <c r="H123" s="261"/>
      <c r="I123" s="261"/>
      <c r="J123" s="263"/>
      <c r="K123" s="263"/>
      <c r="L123" s="263" t="s">
        <v>1022</v>
      </c>
      <c r="M123" s="263"/>
      <c r="N123" s="264">
        <f t="shared" si="13"/>
        <v>4.718</v>
      </c>
      <c r="O123" s="264">
        <v>4.718</v>
      </c>
      <c r="P123" s="264">
        <f>$P$4</f>
        <v>0</v>
      </c>
      <c r="Q123" s="264" t="s">
        <v>751</v>
      </c>
      <c r="R123" s="265"/>
      <c r="S123" s="265">
        <v>313.27</v>
      </c>
      <c r="T123" s="266">
        <f>SUM(R123:S123)+100</f>
        <v>413.27</v>
      </c>
      <c r="U123" s="266">
        <f>SUM(U122:$AV122)*$N123/100</f>
        <v>1606.2902799999999</v>
      </c>
      <c r="V123" s="266">
        <f>SUM(V122:$AV122)*$N123/100</f>
        <v>0</v>
      </c>
      <c r="W123" s="266">
        <f>SUM(W122:$AV122)*$N123/100</f>
        <v>0</v>
      </c>
      <c r="X123" s="266">
        <v>0</v>
      </c>
      <c r="Y123" s="266">
        <v>0</v>
      </c>
      <c r="Z123" s="266">
        <v>0</v>
      </c>
      <c r="AA123" s="266">
        <v>0</v>
      </c>
      <c r="AB123" s="266">
        <v>0</v>
      </c>
      <c r="AC123" s="266">
        <v>0</v>
      </c>
      <c r="AD123" s="266">
        <v>0</v>
      </c>
      <c r="AE123" s="266">
        <v>0</v>
      </c>
      <c r="AF123" s="266">
        <v>0</v>
      </c>
      <c r="AG123" s="266">
        <v>0</v>
      </c>
      <c r="AH123" s="266">
        <v>0</v>
      </c>
      <c r="AI123" s="266">
        <v>0</v>
      </c>
      <c r="AJ123" s="266">
        <v>0</v>
      </c>
      <c r="AK123" s="266">
        <v>0</v>
      </c>
      <c r="AL123" s="266">
        <v>0</v>
      </c>
      <c r="AM123" s="266">
        <v>0</v>
      </c>
      <c r="AN123" s="266">
        <v>0</v>
      </c>
      <c r="AO123" s="266">
        <v>0</v>
      </c>
      <c r="AP123" s="266">
        <v>0</v>
      </c>
      <c r="AQ123" s="266">
        <v>0</v>
      </c>
      <c r="AR123" s="266">
        <v>0</v>
      </c>
      <c r="AS123" s="266">
        <v>0</v>
      </c>
      <c r="AT123" s="266">
        <v>0</v>
      </c>
      <c r="AU123" s="266">
        <v>0</v>
      </c>
      <c r="AV123" s="266">
        <v>0</v>
      </c>
      <c r="AW123" s="266"/>
      <c r="AX123" s="266"/>
      <c r="AY123" s="269">
        <f t="shared" si="11"/>
        <v>2019.5602799999999</v>
      </c>
      <c r="AZ123" s="232">
        <f t="shared" si="7"/>
        <v>0</v>
      </c>
      <c r="BA123" s="268">
        <f t="shared" si="8"/>
        <v>0</v>
      </c>
      <c r="BB123" s="269">
        <f t="shared" si="12"/>
        <v>2019.5602799999999</v>
      </c>
      <c r="BD123" s="248" t="b">
        <f t="shared" si="9"/>
        <v>1</v>
      </c>
    </row>
    <row r="124" spans="2:57" s="278" customFormat="1" x14ac:dyDescent="0.25">
      <c r="B124" s="250" t="s">
        <v>742</v>
      </c>
      <c r="C124" s="250">
        <v>60</v>
      </c>
      <c r="D124" s="250" t="s">
        <v>1094</v>
      </c>
      <c r="E124" s="250" t="s">
        <v>1095</v>
      </c>
      <c r="F124" s="250" t="s">
        <v>1096</v>
      </c>
      <c r="G124" s="274">
        <v>45159</v>
      </c>
      <c r="H124" s="275" t="s">
        <v>1097</v>
      </c>
      <c r="I124" s="275" t="s">
        <v>748</v>
      </c>
      <c r="J124" s="252">
        <v>287500</v>
      </c>
      <c r="K124" s="253">
        <v>0</v>
      </c>
      <c r="L124" s="253"/>
      <c r="M124" s="253"/>
      <c r="N124" s="254"/>
      <c r="O124" s="254"/>
      <c r="P124" s="254"/>
      <c r="Q124" s="254" t="s">
        <v>749</v>
      </c>
      <c r="R124" s="276"/>
      <c r="S124" s="256"/>
      <c r="T124" s="256"/>
      <c r="U124" s="256">
        <v>15542</v>
      </c>
      <c r="V124" s="256">
        <v>31084</v>
      </c>
      <c r="W124" s="256">
        <v>31084</v>
      </c>
      <c r="X124" s="256">
        <v>31084</v>
      </c>
      <c r="Y124" s="256">
        <v>31084</v>
      </c>
      <c r="Z124" s="256">
        <v>31084</v>
      </c>
      <c r="AA124" s="256">
        <v>31084</v>
      </c>
      <c r="AB124" s="256">
        <v>31084</v>
      </c>
      <c r="AC124" s="256">
        <v>31084</v>
      </c>
      <c r="AD124" s="256">
        <f>J124-AC124-AB124-AA124-Z124-Y124-X124-W124-V124-U124</f>
        <v>23286</v>
      </c>
      <c r="AE124" s="256"/>
      <c r="AF124" s="256"/>
      <c r="AG124" s="256"/>
      <c r="AH124" s="256"/>
      <c r="AI124" s="256"/>
      <c r="AJ124" s="256"/>
      <c r="AK124" s="256"/>
      <c r="AL124" s="256"/>
      <c r="AM124" s="256"/>
      <c r="AN124" s="256"/>
      <c r="AO124" s="256"/>
      <c r="AP124" s="256"/>
      <c r="AQ124" s="256"/>
      <c r="AR124" s="256"/>
      <c r="AS124" s="256"/>
      <c r="AT124" s="256"/>
      <c r="AU124" s="256"/>
      <c r="AV124" s="256"/>
      <c r="AW124" s="256"/>
      <c r="AX124" s="256"/>
      <c r="AY124" s="259">
        <f t="shared" si="11"/>
        <v>287500</v>
      </c>
      <c r="AZ124" s="277">
        <f t="shared" si="7"/>
        <v>0</v>
      </c>
      <c r="BA124" s="258">
        <f t="shared" si="8"/>
        <v>116538</v>
      </c>
      <c r="BB124" s="259">
        <f t="shared" si="12"/>
        <v>287500</v>
      </c>
      <c r="BD124" s="278" t="b">
        <f t="shared" si="9"/>
        <v>1</v>
      </c>
      <c r="BE124" s="277">
        <f>BB124-K124-R124</f>
        <v>287500</v>
      </c>
    </row>
    <row r="125" spans="2:57" s="227" customFormat="1" x14ac:dyDescent="0.25">
      <c r="B125" s="262" t="s">
        <v>742</v>
      </c>
      <c r="C125" s="262"/>
      <c r="D125" s="279" t="s">
        <v>1098</v>
      </c>
      <c r="E125" s="262"/>
      <c r="F125" s="262"/>
      <c r="G125" s="262"/>
      <c r="H125" s="262"/>
      <c r="I125" s="262"/>
      <c r="J125" s="263"/>
      <c r="K125" s="263"/>
      <c r="L125" s="263"/>
      <c r="M125" s="263"/>
      <c r="N125" s="264">
        <f t="shared" si="13"/>
        <v>5.2960000000000003</v>
      </c>
      <c r="O125" s="264">
        <v>5.2960000000000003</v>
      </c>
      <c r="P125" s="264">
        <f>$P$4</f>
        <v>0</v>
      </c>
      <c r="Q125" s="264" t="s">
        <v>751</v>
      </c>
      <c r="R125" s="280"/>
      <c r="S125" s="266"/>
      <c r="T125" s="266"/>
      <c r="U125" s="266">
        <f>SUM(U124:$AV124)*$N125/100</f>
        <v>15226</v>
      </c>
      <c r="V125" s="266">
        <f>SUM(V124:$AV124)*$N125/100</f>
        <v>14402.89568</v>
      </c>
      <c r="W125" s="266">
        <f>SUM(W124:$AV124)*$N125/100</f>
        <v>12756.687040000001</v>
      </c>
      <c r="X125" s="266">
        <f>SUM(X124:$AV124)*$N125/100</f>
        <v>11110.4784</v>
      </c>
      <c r="Y125" s="266">
        <f>SUM(Y124:$AV124)*$N125/100</f>
        <v>9464.269760000001</v>
      </c>
      <c r="Z125" s="266">
        <f>SUM(Z124:$AV124)*$N125/100</f>
        <v>7818.0611200000012</v>
      </c>
      <c r="AA125" s="266">
        <f>SUM(AA124:$AV124)*$N125/100</f>
        <v>6171.8524800000005</v>
      </c>
      <c r="AB125" s="266">
        <f>SUM(AB124:$AV124)*$N125/100</f>
        <v>4525.6438400000006</v>
      </c>
      <c r="AC125" s="266">
        <f>SUM(AC124:$AV124)*$N125/100</f>
        <v>2879.4352000000003</v>
      </c>
      <c r="AD125" s="266">
        <f>SUM(AD124:$AV124)*$N125/100</f>
        <v>1233.2265600000001</v>
      </c>
      <c r="AE125" s="266"/>
      <c r="AF125" s="266"/>
      <c r="AG125" s="266"/>
      <c r="AH125" s="266"/>
      <c r="AI125" s="266"/>
      <c r="AJ125" s="266"/>
      <c r="AK125" s="266"/>
      <c r="AL125" s="266"/>
      <c r="AM125" s="266"/>
      <c r="AN125" s="266"/>
      <c r="AO125" s="266"/>
      <c r="AP125" s="266"/>
      <c r="AQ125" s="266"/>
      <c r="AR125" s="266"/>
      <c r="AS125" s="266"/>
      <c r="AT125" s="266"/>
      <c r="AU125" s="266"/>
      <c r="AV125" s="266"/>
      <c r="AW125" s="266"/>
      <c r="AX125" s="266"/>
      <c r="AY125" s="269">
        <f t="shared" si="11"/>
        <v>85588.550080000015</v>
      </c>
      <c r="AZ125" s="281">
        <f t="shared" si="7"/>
        <v>0</v>
      </c>
      <c r="BA125" s="268">
        <f t="shared" si="8"/>
        <v>14810.158080000001</v>
      </c>
      <c r="BB125" s="269">
        <f t="shared" si="12"/>
        <v>85588.550080000015</v>
      </c>
      <c r="BD125" s="278" t="b">
        <f t="shared" si="9"/>
        <v>1</v>
      </c>
    </row>
    <row r="126" spans="2:57" s="278" customFormat="1" x14ac:dyDescent="0.25">
      <c r="B126" s="250" t="s">
        <v>742</v>
      </c>
      <c r="C126" s="250">
        <v>61</v>
      </c>
      <c r="D126" s="250" t="s">
        <v>1099</v>
      </c>
      <c r="E126" s="250" t="s">
        <v>1100</v>
      </c>
      <c r="F126" s="250" t="s">
        <v>1101</v>
      </c>
      <c r="G126" s="274">
        <v>45215</v>
      </c>
      <c r="H126" s="274">
        <v>49572</v>
      </c>
      <c r="I126" s="275" t="s">
        <v>748</v>
      </c>
      <c r="J126" s="252">
        <v>353750</v>
      </c>
      <c r="K126" s="253">
        <v>353750</v>
      </c>
      <c r="L126" s="253"/>
      <c r="M126" s="253"/>
      <c r="N126" s="254"/>
      <c r="O126" s="254"/>
      <c r="P126" s="254"/>
      <c r="Q126" s="254" t="s">
        <v>749</v>
      </c>
      <c r="R126" s="276"/>
      <c r="S126" s="256"/>
      <c r="T126" s="256"/>
      <c r="U126" s="256">
        <f>7527*4</f>
        <v>30108</v>
      </c>
      <c r="V126" s="256">
        <f t="shared" ref="V126:AE126" si="14">7527*4</f>
        <v>30108</v>
      </c>
      <c r="W126" s="256">
        <f t="shared" si="14"/>
        <v>30108</v>
      </c>
      <c r="X126" s="256">
        <f t="shared" si="14"/>
        <v>30108</v>
      </c>
      <c r="Y126" s="256">
        <f t="shared" si="14"/>
        <v>30108</v>
      </c>
      <c r="Z126" s="256">
        <f t="shared" si="14"/>
        <v>30108</v>
      </c>
      <c r="AA126" s="256">
        <f t="shared" si="14"/>
        <v>30108</v>
      </c>
      <c r="AB126" s="256">
        <f t="shared" si="14"/>
        <v>30108</v>
      </c>
      <c r="AC126" s="256">
        <f t="shared" si="14"/>
        <v>30108</v>
      </c>
      <c r="AD126" s="256">
        <f t="shared" si="14"/>
        <v>30108</v>
      </c>
      <c r="AE126" s="256">
        <f t="shared" si="14"/>
        <v>30108</v>
      </c>
      <c r="AF126" s="256">
        <f>7527*2+7508</f>
        <v>22562</v>
      </c>
      <c r="AG126" s="256"/>
      <c r="AH126" s="256"/>
      <c r="AI126" s="256"/>
      <c r="AJ126" s="256"/>
      <c r="AK126" s="256"/>
      <c r="AL126" s="256"/>
      <c r="AM126" s="256"/>
      <c r="AN126" s="256"/>
      <c r="AO126" s="256"/>
      <c r="AP126" s="256"/>
      <c r="AQ126" s="256"/>
      <c r="AR126" s="256"/>
      <c r="AS126" s="256"/>
      <c r="AT126" s="256"/>
      <c r="AU126" s="256"/>
      <c r="AV126" s="256"/>
      <c r="AW126" s="256"/>
      <c r="AX126" s="256"/>
      <c r="AY126" s="259">
        <f t="shared" si="11"/>
        <v>353750</v>
      </c>
      <c r="AZ126" s="277">
        <f t="shared" si="7"/>
        <v>0</v>
      </c>
      <c r="BA126" s="258">
        <f t="shared" si="8"/>
        <v>173102</v>
      </c>
      <c r="BB126" s="259">
        <f t="shared" si="12"/>
        <v>353750</v>
      </c>
      <c r="BD126" s="278" t="b">
        <f t="shared" si="9"/>
        <v>1</v>
      </c>
      <c r="BE126" s="277">
        <f>BB126-K126-R126</f>
        <v>0</v>
      </c>
    </row>
    <row r="127" spans="2:57" s="227" customFormat="1" x14ac:dyDescent="0.25">
      <c r="B127" s="262" t="s">
        <v>742</v>
      </c>
      <c r="C127" s="262"/>
      <c r="D127" s="279" t="s">
        <v>1102</v>
      </c>
      <c r="E127" s="262"/>
      <c r="F127" s="262"/>
      <c r="G127" s="262"/>
      <c r="H127" s="262"/>
      <c r="I127" s="262"/>
      <c r="J127" s="263"/>
      <c r="K127" s="263"/>
      <c r="L127" s="263"/>
      <c r="M127" s="263"/>
      <c r="N127" s="264">
        <f t="shared" si="13"/>
        <v>4.5910000000000002</v>
      </c>
      <c r="O127" s="264">
        <v>4.5910000000000002</v>
      </c>
      <c r="P127" s="264"/>
      <c r="Q127" s="264" t="s">
        <v>751</v>
      </c>
      <c r="R127" s="280"/>
      <c r="S127" s="266"/>
      <c r="T127" s="266"/>
      <c r="U127" s="266">
        <f>SUM(U126:$AV126)*$N127/100+261</f>
        <v>16501.662499999999</v>
      </c>
      <c r="V127" s="266">
        <f>SUM(V126:$AV126)*$N127/100</f>
        <v>14858.40422</v>
      </c>
      <c r="W127" s="266">
        <f>SUM(W126:$AV126)*$N127/100</f>
        <v>13476.14594</v>
      </c>
      <c r="X127" s="266">
        <f>SUM(X126:$AV126)*$N127/100</f>
        <v>12093.88766</v>
      </c>
      <c r="Y127" s="266">
        <f>SUM(Y126:$AV126)*$N127/100</f>
        <v>10711.62938</v>
      </c>
      <c r="Z127" s="266">
        <f>SUM(Z126:$AV126)*$N127/100</f>
        <v>9329.3711000000003</v>
      </c>
      <c r="AA127" s="266">
        <f>SUM(AA126:$AV126)*$N127/100</f>
        <v>7947.1128200000003</v>
      </c>
      <c r="AB127" s="266">
        <f>SUM(AB126:$AV126)*$N127/100</f>
        <v>6564.8545400000003</v>
      </c>
      <c r="AC127" s="266">
        <f>SUM(AC126:$AV126)*$N127/100</f>
        <v>5182.5962600000003</v>
      </c>
      <c r="AD127" s="266">
        <f>SUM(AD126:$AV126)*$N127/100</f>
        <v>3800.3379800000002</v>
      </c>
      <c r="AE127" s="266">
        <f>SUM(AE126:$AV126)*$N127/100</f>
        <v>2418.0797000000002</v>
      </c>
      <c r="AF127" s="266">
        <f>SUM(AF126:$AV126)*$N127/100</f>
        <v>1035.82142</v>
      </c>
      <c r="AG127" s="266"/>
      <c r="AH127" s="266"/>
      <c r="AI127" s="266"/>
      <c r="AJ127" s="266"/>
      <c r="AK127" s="266"/>
      <c r="AL127" s="266"/>
      <c r="AM127" s="266"/>
      <c r="AN127" s="266"/>
      <c r="AO127" s="266"/>
      <c r="AP127" s="266"/>
      <c r="AQ127" s="266"/>
      <c r="AR127" s="266"/>
      <c r="AS127" s="266"/>
      <c r="AT127" s="266"/>
      <c r="AU127" s="266"/>
      <c r="AV127" s="266"/>
      <c r="AW127" s="266"/>
      <c r="AX127" s="266"/>
      <c r="AY127" s="269">
        <f t="shared" si="11"/>
        <v>103919.90351999999</v>
      </c>
      <c r="AZ127" s="281">
        <f t="shared" si="7"/>
        <v>0</v>
      </c>
      <c r="BA127" s="268">
        <f t="shared" si="8"/>
        <v>26948.80272</v>
      </c>
      <c r="BB127" s="269">
        <f t="shared" si="12"/>
        <v>103919.90351999999</v>
      </c>
      <c r="BD127" s="278" t="b">
        <f t="shared" si="9"/>
        <v>1</v>
      </c>
    </row>
    <row r="128" spans="2:57" s="227" customFormat="1" x14ac:dyDescent="0.25">
      <c r="B128" s="250" t="s">
        <v>789</v>
      </c>
      <c r="C128" s="250">
        <v>62</v>
      </c>
      <c r="D128" s="250" t="s">
        <v>1103</v>
      </c>
      <c r="E128" s="275" t="s">
        <v>1104</v>
      </c>
      <c r="F128" s="275"/>
      <c r="G128" s="275">
        <v>2024</v>
      </c>
      <c r="H128" s="275">
        <v>2029</v>
      </c>
      <c r="I128" s="275" t="s">
        <v>748</v>
      </c>
      <c r="J128" s="252">
        <v>196584</v>
      </c>
      <c r="K128" s="252"/>
      <c r="L128" s="252"/>
      <c r="M128" s="252"/>
      <c r="N128" s="282"/>
      <c r="O128" s="282"/>
      <c r="P128" s="282"/>
      <c r="Q128" s="254" t="s">
        <v>749</v>
      </c>
      <c r="R128" s="276"/>
      <c r="S128" s="256"/>
      <c r="T128" s="256"/>
      <c r="U128" s="256"/>
      <c r="V128" s="256"/>
      <c r="W128" s="256">
        <f>$J$128/5</f>
        <v>39316.800000000003</v>
      </c>
      <c r="X128" s="256">
        <f t="shared" ref="X128:AA128" si="15">$J$128/5</f>
        <v>39316.800000000003</v>
      </c>
      <c r="Y128" s="256">
        <f t="shared" si="15"/>
        <v>39316.800000000003</v>
      </c>
      <c r="Z128" s="256">
        <f t="shared" si="15"/>
        <v>39316.800000000003</v>
      </c>
      <c r="AA128" s="256">
        <f t="shared" si="15"/>
        <v>39316.800000000003</v>
      </c>
      <c r="AB128" s="256"/>
      <c r="AC128" s="256"/>
      <c r="AD128" s="256"/>
      <c r="AE128" s="256"/>
      <c r="AF128" s="256"/>
      <c r="AG128" s="256"/>
      <c r="AH128" s="256"/>
      <c r="AI128" s="256"/>
      <c r="AJ128" s="256"/>
      <c r="AK128" s="256"/>
      <c r="AL128" s="256"/>
      <c r="AM128" s="256"/>
      <c r="AN128" s="256"/>
      <c r="AO128" s="256"/>
      <c r="AP128" s="256"/>
      <c r="AQ128" s="256"/>
      <c r="AR128" s="256"/>
      <c r="AS128" s="256"/>
      <c r="AT128" s="256"/>
      <c r="AU128" s="256"/>
      <c r="AV128" s="256"/>
      <c r="AW128" s="256"/>
      <c r="AX128" s="256"/>
      <c r="AY128" s="259">
        <f t="shared" si="11"/>
        <v>196584</v>
      </c>
      <c r="AZ128" s="281">
        <f t="shared" si="7"/>
        <v>0</v>
      </c>
      <c r="BA128" s="258">
        <f t="shared" si="8"/>
        <v>39316.800000000003</v>
      </c>
      <c r="BB128" s="259">
        <f t="shared" si="12"/>
        <v>196584</v>
      </c>
      <c r="BD128" s="278" t="b">
        <f t="shared" si="9"/>
        <v>1</v>
      </c>
      <c r="BE128" s="277">
        <f>BB128-K128-R128</f>
        <v>196584</v>
      </c>
    </row>
    <row r="129" spans="2:57" s="227" customFormat="1" x14ac:dyDescent="0.25">
      <c r="B129" s="262" t="s">
        <v>789</v>
      </c>
      <c r="C129" s="279"/>
      <c r="D129" s="279" t="s">
        <v>1105</v>
      </c>
      <c r="E129" s="262"/>
      <c r="F129" s="262"/>
      <c r="G129" s="262"/>
      <c r="H129" s="262"/>
      <c r="I129" s="262"/>
      <c r="J129" s="263"/>
      <c r="K129" s="263"/>
      <c r="L129" s="263"/>
      <c r="M129" s="263"/>
      <c r="N129" s="264">
        <f t="shared" si="13"/>
        <v>4.4470000000000001</v>
      </c>
      <c r="O129" s="264">
        <v>4.4470000000000001</v>
      </c>
      <c r="P129" s="264">
        <f>$P$4</f>
        <v>0</v>
      </c>
      <c r="Q129" s="264" t="s">
        <v>751</v>
      </c>
      <c r="R129" s="280"/>
      <c r="S129" s="266"/>
      <c r="T129" s="266"/>
      <c r="U129" s="266"/>
      <c r="V129" s="266">
        <f>SUM(V128:$AV128)*$N129/100</f>
        <v>8742.0904800000008</v>
      </c>
      <c r="W129" s="266">
        <f>SUM(W128:$AV128)*$N129/100</f>
        <v>8742.0904800000008</v>
      </c>
      <c r="X129" s="266">
        <f>SUM(X128:$AV128)*$N129/100</f>
        <v>6993.6723840000004</v>
      </c>
      <c r="Y129" s="266">
        <f>SUM(Y128:$AV128)*$N129/100</f>
        <v>5245.2542880000001</v>
      </c>
      <c r="Z129" s="266">
        <f>SUM(Z128:$AV128)*$N129/100</f>
        <v>3496.8361920000002</v>
      </c>
      <c r="AA129" s="266">
        <f>SUM(AA128:$AV128)*$N129/100</f>
        <v>1748.4180960000001</v>
      </c>
      <c r="AB129" s="266"/>
      <c r="AC129" s="266"/>
      <c r="AD129" s="266"/>
      <c r="AE129" s="266"/>
      <c r="AF129" s="266"/>
      <c r="AG129" s="266"/>
      <c r="AH129" s="266"/>
      <c r="AI129" s="266"/>
      <c r="AJ129" s="266"/>
      <c r="AK129" s="266"/>
      <c r="AL129" s="266"/>
      <c r="AM129" s="266"/>
      <c r="AN129" s="266"/>
      <c r="AO129" s="266"/>
      <c r="AP129" s="266"/>
      <c r="AQ129" s="266"/>
      <c r="AR129" s="266"/>
      <c r="AS129" s="266"/>
      <c r="AT129" s="266"/>
      <c r="AU129" s="266"/>
      <c r="AV129" s="266"/>
      <c r="AW129" s="266"/>
      <c r="AX129" s="266"/>
      <c r="AY129" s="269">
        <f t="shared" si="11"/>
        <v>34968.361920000003</v>
      </c>
      <c r="AZ129" s="281">
        <f t="shared" si="7"/>
        <v>0</v>
      </c>
      <c r="BA129" s="268">
        <f t="shared" si="8"/>
        <v>1748.4180960000001</v>
      </c>
      <c r="BB129" s="269">
        <f t="shared" si="12"/>
        <v>34968.361920000003</v>
      </c>
      <c r="BD129" s="278" t="b">
        <f t="shared" si="9"/>
        <v>1</v>
      </c>
    </row>
    <row r="130" spans="2:57" s="227" customFormat="1" x14ac:dyDescent="0.25">
      <c r="B130" s="250" t="s">
        <v>789</v>
      </c>
      <c r="C130" s="250">
        <v>63</v>
      </c>
      <c r="D130" s="250" t="s">
        <v>247</v>
      </c>
      <c r="E130" s="275" t="s">
        <v>1104</v>
      </c>
      <c r="F130" s="275"/>
      <c r="G130" s="275">
        <v>2024</v>
      </c>
      <c r="H130" s="275">
        <v>2039</v>
      </c>
      <c r="I130" s="275" t="s">
        <v>748</v>
      </c>
      <c r="J130" s="252">
        <v>787514</v>
      </c>
      <c r="K130" s="252"/>
      <c r="L130" s="252"/>
      <c r="M130" s="252"/>
      <c r="N130" s="282"/>
      <c r="O130" s="282"/>
      <c r="P130" s="282"/>
      <c r="Q130" s="254" t="s">
        <v>749</v>
      </c>
      <c r="R130" s="276"/>
      <c r="S130" s="256"/>
      <c r="T130" s="256"/>
      <c r="U130" s="256"/>
      <c r="V130" s="256"/>
      <c r="W130" s="256"/>
      <c r="X130" s="256">
        <f>$J$130/15</f>
        <v>52500.933333333334</v>
      </c>
      <c r="Y130" s="256">
        <f t="shared" ref="Y130:AL130" si="16">$J$130/15</f>
        <v>52500.933333333334</v>
      </c>
      <c r="Z130" s="256">
        <f t="shared" si="16"/>
        <v>52500.933333333334</v>
      </c>
      <c r="AA130" s="256">
        <f t="shared" si="16"/>
        <v>52500.933333333334</v>
      </c>
      <c r="AB130" s="256">
        <f t="shared" si="16"/>
        <v>52500.933333333334</v>
      </c>
      <c r="AC130" s="256">
        <f t="shared" si="16"/>
        <v>52500.933333333334</v>
      </c>
      <c r="AD130" s="256">
        <f t="shared" si="16"/>
        <v>52500.933333333334</v>
      </c>
      <c r="AE130" s="256">
        <f t="shared" si="16"/>
        <v>52500.933333333334</v>
      </c>
      <c r="AF130" s="256">
        <f t="shared" si="16"/>
        <v>52500.933333333334</v>
      </c>
      <c r="AG130" s="256">
        <f t="shared" si="16"/>
        <v>52500.933333333334</v>
      </c>
      <c r="AH130" s="256">
        <f t="shared" si="16"/>
        <v>52500.933333333334</v>
      </c>
      <c r="AI130" s="256">
        <f t="shared" si="16"/>
        <v>52500.933333333334</v>
      </c>
      <c r="AJ130" s="256">
        <f t="shared" si="16"/>
        <v>52500.933333333334</v>
      </c>
      <c r="AK130" s="256">
        <f t="shared" si="16"/>
        <v>52500.933333333334</v>
      </c>
      <c r="AL130" s="256">
        <f t="shared" si="16"/>
        <v>52500.933333333334</v>
      </c>
      <c r="AM130" s="256"/>
      <c r="AN130" s="256"/>
      <c r="AO130" s="256"/>
      <c r="AP130" s="256"/>
      <c r="AQ130" s="256"/>
      <c r="AR130" s="256"/>
      <c r="AS130" s="256"/>
      <c r="AT130" s="256"/>
      <c r="AU130" s="256"/>
      <c r="AV130" s="256"/>
      <c r="AW130" s="256"/>
      <c r="AX130" s="256"/>
      <c r="AY130" s="259">
        <f t="shared" si="11"/>
        <v>787514.00000000012</v>
      </c>
      <c r="AZ130" s="281">
        <f t="shared" si="7"/>
        <v>0</v>
      </c>
      <c r="BA130" s="258">
        <f t="shared" si="8"/>
        <v>630011.20000000007</v>
      </c>
      <c r="BB130" s="259">
        <f t="shared" si="12"/>
        <v>787514</v>
      </c>
      <c r="BD130" s="278" t="b">
        <f t="shared" si="9"/>
        <v>1</v>
      </c>
      <c r="BE130" s="277">
        <f>BB130-K130-R130</f>
        <v>787514</v>
      </c>
    </row>
    <row r="131" spans="2:57" s="227" customFormat="1" x14ac:dyDescent="0.25">
      <c r="B131" s="262" t="s">
        <v>789</v>
      </c>
      <c r="C131" s="279"/>
      <c r="D131" s="279"/>
      <c r="E131" s="262"/>
      <c r="F131" s="262"/>
      <c r="G131" s="262"/>
      <c r="H131" s="262"/>
      <c r="I131" s="262"/>
      <c r="J131" s="262"/>
      <c r="K131" s="263"/>
      <c r="L131" s="263"/>
      <c r="M131" s="263"/>
      <c r="N131" s="264">
        <f t="shared" ref="N131" si="17">SUM(O131:P131)</f>
        <v>4.944</v>
      </c>
      <c r="O131" s="264">
        <v>4.944</v>
      </c>
      <c r="P131" s="264">
        <f>$P$4</f>
        <v>0</v>
      </c>
      <c r="Q131" s="264" t="s">
        <v>751</v>
      </c>
      <c r="R131" s="280"/>
      <c r="S131" s="266"/>
      <c r="T131" s="266"/>
      <c r="U131" s="266"/>
      <c r="V131" s="266">
        <f>SUM(V130:$AV130)*$N131/100</f>
        <v>38934.692160000006</v>
      </c>
      <c r="W131" s="266">
        <f>SUM(W130:$AV130)*$N131/100</f>
        <v>38934.692160000006</v>
      </c>
      <c r="X131" s="266">
        <f>SUM(X130:$AV130)*$N131/100</f>
        <v>38934.692160000006</v>
      </c>
      <c r="Y131" s="266">
        <f>SUM(Y130:$AV130)*$N131/100</f>
        <v>36339.046016000008</v>
      </c>
      <c r="Z131" s="266">
        <f>SUM(Z130:$AV130)*$N131/100</f>
        <v>33743.399872000002</v>
      </c>
      <c r="AA131" s="266">
        <f>SUM(AA130:$AV130)*$N131/100</f>
        <v>31147.753728000003</v>
      </c>
      <c r="AB131" s="266">
        <f>SUM(AB130:$AV130)*$N131/100</f>
        <v>28552.107584000001</v>
      </c>
      <c r="AC131" s="266">
        <f>SUM(AC130:$AV130)*$N131/100</f>
        <v>25956.461440000003</v>
      </c>
      <c r="AD131" s="266">
        <f>SUM(AD130:$AV130)*$N131/100</f>
        <v>23360.815296000004</v>
      </c>
      <c r="AE131" s="266">
        <f>SUM(AE130:$AV130)*$N131/100</f>
        <v>20765.169152000002</v>
      </c>
      <c r="AF131" s="266">
        <f>SUM(AF130:$AV130)*$N131/100</f>
        <v>18169.523008000004</v>
      </c>
      <c r="AG131" s="266">
        <f>SUM(AG130:$AV130)*$N131/100</f>
        <v>15573.876864000002</v>
      </c>
      <c r="AH131" s="266">
        <f>SUM(AH130:$AV130)*$N131/100</f>
        <v>12978.230720000001</v>
      </c>
      <c r="AI131" s="266">
        <f>SUM(AI130:$AV130)*$N131/100</f>
        <v>10382.584575999999</v>
      </c>
      <c r="AJ131" s="266">
        <f>SUM(AJ130:$AV130)*$N131/100</f>
        <v>7786.938431999999</v>
      </c>
      <c r="AK131" s="266">
        <f>SUM(AK130:$AV130)*$N131/100</f>
        <v>5191.2922879999996</v>
      </c>
      <c r="AL131" s="266">
        <f>SUM(AL130:$AV130)*$N131/100</f>
        <v>2595.6461439999998</v>
      </c>
      <c r="AM131" s="266"/>
      <c r="AN131" s="266"/>
      <c r="AO131" s="266"/>
      <c r="AP131" s="266"/>
      <c r="AQ131" s="266"/>
      <c r="AR131" s="266"/>
      <c r="AS131" s="266"/>
      <c r="AT131" s="266"/>
      <c r="AU131" s="266"/>
      <c r="AV131" s="266"/>
      <c r="AW131" s="266"/>
      <c r="AX131" s="266"/>
      <c r="AY131" s="269">
        <f t="shared" si="11"/>
        <v>389346.9216</v>
      </c>
      <c r="AZ131" s="281">
        <f t="shared" si="7"/>
        <v>0</v>
      </c>
      <c r="BA131" s="268">
        <f t="shared" si="8"/>
        <v>202460.399232</v>
      </c>
      <c r="BB131" s="269">
        <f t="shared" si="12"/>
        <v>389346.9216</v>
      </c>
      <c r="BD131" s="278" t="b">
        <f t="shared" si="9"/>
        <v>1</v>
      </c>
    </row>
    <row r="132" spans="2:57" s="227" customFormat="1" x14ac:dyDescent="0.25">
      <c r="B132" s="250" t="s">
        <v>742</v>
      </c>
      <c r="C132" s="250">
        <v>64</v>
      </c>
      <c r="D132" s="250" t="s">
        <v>252</v>
      </c>
      <c r="E132" s="275" t="s">
        <v>1104</v>
      </c>
      <c r="F132" s="275"/>
      <c r="G132" s="275">
        <v>2024</v>
      </c>
      <c r="H132" s="275">
        <v>2031</v>
      </c>
      <c r="I132" s="275" t="s">
        <v>748</v>
      </c>
      <c r="J132" s="252"/>
      <c r="K132" s="252"/>
      <c r="L132" s="252"/>
      <c r="M132" s="252"/>
      <c r="N132" s="282"/>
      <c r="O132" s="282"/>
      <c r="P132" s="282"/>
      <c r="Q132" s="254" t="s">
        <v>749</v>
      </c>
      <c r="R132" s="276"/>
      <c r="S132" s="256"/>
      <c r="T132" s="256"/>
      <c r="U132" s="256">
        <f>$J$132/7</f>
        <v>0</v>
      </c>
      <c r="V132" s="256">
        <f t="shared" ref="V132:AA132" si="18">$J$132/7</f>
        <v>0</v>
      </c>
      <c r="W132" s="256">
        <f t="shared" si="18"/>
        <v>0</v>
      </c>
      <c r="X132" s="256">
        <f t="shared" si="18"/>
        <v>0</v>
      </c>
      <c r="Y132" s="256">
        <f t="shared" si="18"/>
        <v>0</v>
      </c>
      <c r="Z132" s="256">
        <f t="shared" si="18"/>
        <v>0</v>
      </c>
      <c r="AA132" s="256">
        <f t="shared" si="18"/>
        <v>0</v>
      </c>
      <c r="AB132" s="256"/>
      <c r="AC132" s="256"/>
      <c r="AD132" s="256"/>
      <c r="AE132" s="256"/>
      <c r="AF132" s="256"/>
      <c r="AG132" s="256"/>
      <c r="AH132" s="256"/>
      <c r="AI132" s="256"/>
      <c r="AJ132" s="256"/>
      <c r="AK132" s="256"/>
      <c r="AL132" s="256"/>
      <c r="AM132" s="256"/>
      <c r="AN132" s="256"/>
      <c r="AO132" s="256"/>
      <c r="AP132" s="256"/>
      <c r="AQ132" s="256"/>
      <c r="AR132" s="256"/>
      <c r="AS132" s="256"/>
      <c r="AT132" s="256"/>
      <c r="AU132" s="256"/>
      <c r="AV132" s="256"/>
      <c r="AW132" s="256"/>
      <c r="AX132" s="256"/>
      <c r="AY132" s="259">
        <f t="shared" si="11"/>
        <v>0</v>
      </c>
      <c r="AZ132" s="281">
        <f t="shared" si="7"/>
        <v>0</v>
      </c>
      <c r="BA132" s="258">
        <f t="shared" si="8"/>
        <v>0</v>
      </c>
      <c r="BB132" s="259">
        <f t="shared" si="12"/>
        <v>0</v>
      </c>
      <c r="BD132" s="278" t="b">
        <f t="shared" si="9"/>
        <v>1</v>
      </c>
      <c r="BE132" s="277">
        <f>BB132-K132-R132</f>
        <v>0</v>
      </c>
    </row>
    <row r="133" spans="2:57" s="227" customFormat="1" x14ac:dyDescent="0.25">
      <c r="B133" s="262" t="s">
        <v>742</v>
      </c>
      <c r="C133" s="279"/>
      <c r="D133" s="279"/>
      <c r="E133" s="262"/>
      <c r="F133" s="262"/>
      <c r="G133" s="262"/>
      <c r="H133" s="262"/>
      <c r="I133" s="262"/>
      <c r="J133" s="263"/>
      <c r="K133" s="263"/>
      <c r="L133" s="263"/>
      <c r="M133" s="263"/>
      <c r="N133" s="264">
        <f t="shared" ref="N133:N135" si="19">SUM(O133:P133)</f>
        <v>4.4470000000000001</v>
      </c>
      <c r="O133" s="264">
        <v>4.4470000000000001</v>
      </c>
      <c r="P133" s="264">
        <f>$P$4</f>
        <v>0</v>
      </c>
      <c r="Q133" s="264" t="s">
        <v>751</v>
      </c>
      <c r="R133" s="280"/>
      <c r="S133" s="266"/>
      <c r="T133" s="266"/>
      <c r="U133" s="266">
        <f>SUM(U132:$AV132)*$N133/100</f>
        <v>0</v>
      </c>
      <c r="V133" s="266">
        <f>SUM(V132:$AV132)*$N133/100</f>
        <v>0</v>
      </c>
      <c r="W133" s="266">
        <f>SUM(W132:$AV132)*$N133/100</f>
        <v>0</v>
      </c>
      <c r="X133" s="266">
        <f>SUM(X132:$AV132)*$N133/100</f>
        <v>0</v>
      </c>
      <c r="Y133" s="266">
        <f>SUM(Y132:$AV132)*$N133/100</f>
        <v>0</v>
      </c>
      <c r="Z133" s="266">
        <f>SUM(Z132:$AV132)*$N133/100</f>
        <v>0</v>
      </c>
      <c r="AA133" s="266">
        <f>SUM(AA132:$AV132)*$N133/100</f>
        <v>0</v>
      </c>
      <c r="AB133" s="266"/>
      <c r="AC133" s="266"/>
      <c r="AD133" s="266"/>
      <c r="AE133" s="266"/>
      <c r="AF133" s="266"/>
      <c r="AG133" s="266"/>
      <c r="AH133" s="266"/>
      <c r="AI133" s="266"/>
      <c r="AJ133" s="266"/>
      <c r="AK133" s="266"/>
      <c r="AL133" s="266"/>
      <c r="AM133" s="266"/>
      <c r="AN133" s="266"/>
      <c r="AO133" s="266"/>
      <c r="AP133" s="266"/>
      <c r="AQ133" s="266"/>
      <c r="AR133" s="266"/>
      <c r="AS133" s="266"/>
      <c r="AT133" s="266"/>
      <c r="AU133" s="266"/>
      <c r="AV133" s="266"/>
      <c r="AW133" s="266"/>
      <c r="AX133" s="266"/>
      <c r="AY133" s="269">
        <f t="shared" si="11"/>
        <v>0</v>
      </c>
      <c r="AZ133" s="281">
        <f t="shared" si="7"/>
        <v>0</v>
      </c>
      <c r="BA133" s="268">
        <f t="shared" si="8"/>
        <v>0</v>
      </c>
      <c r="BB133" s="269">
        <f t="shared" si="12"/>
        <v>0</v>
      </c>
      <c r="BD133" s="278" t="b">
        <f t="shared" si="9"/>
        <v>1</v>
      </c>
    </row>
    <row r="134" spans="2:57" s="227" customFormat="1" x14ac:dyDescent="0.25">
      <c r="B134" s="250" t="s">
        <v>742</v>
      </c>
      <c r="C134" s="250">
        <v>65</v>
      </c>
      <c r="D134" s="250" t="s">
        <v>1106</v>
      </c>
      <c r="E134" s="275" t="s">
        <v>1104</v>
      </c>
      <c r="F134" s="275"/>
      <c r="G134" s="275">
        <v>2025</v>
      </c>
      <c r="H134" s="275">
        <v>2045</v>
      </c>
      <c r="I134" s="275" t="s">
        <v>748</v>
      </c>
      <c r="J134" s="252">
        <f>4890000+800000</f>
        <v>5690000</v>
      </c>
      <c r="K134" s="252"/>
      <c r="L134" s="252"/>
      <c r="M134" s="252"/>
      <c r="N134" s="282"/>
      <c r="O134" s="282"/>
      <c r="P134" s="282"/>
      <c r="Q134" s="254" t="s">
        <v>749</v>
      </c>
      <c r="R134" s="276"/>
      <c r="S134" s="256"/>
      <c r="T134" s="256"/>
      <c r="U134" s="256"/>
      <c r="V134" s="256"/>
      <c r="W134" s="256"/>
      <c r="X134" s="256">
        <f>$J$134/18/2</f>
        <v>158055.55555555556</v>
      </c>
      <c r="Y134" s="256">
        <f t="shared" ref="Y134:AN134" si="20">$J$134/18</f>
        <v>316111.11111111112</v>
      </c>
      <c r="Z134" s="256">
        <f t="shared" si="20"/>
        <v>316111.11111111112</v>
      </c>
      <c r="AA134" s="256">
        <f t="shared" si="20"/>
        <v>316111.11111111112</v>
      </c>
      <c r="AB134" s="256">
        <f t="shared" si="20"/>
        <v>316111.11111111112</v>
      </c>
      <c r="AC134" s="256">
        <f t="shared" si="20"/>
        <v>316111.11111111112</v>
      </c>
      <c r="AD134" s="256">
        <f t="shared" si="20"/>
        <v>316111.11111111112</v>
      </c>
      <c r="AE134" s="256">
        <f t="shared" si="20"/>
        <v>316111.11111111112</v>
      </c>
      <c r="AF134" s="256">
        <f t="shared" si="20"/>
        <v>316111.11111111112</v>
      </c>
      <c r="AG134" s="256">
        <f t="shared" si="20"/>
        <v>316111.11111111112</v>
      </c>
      <c r="AH134" s="256">
        <f t="shared" si="20"/>
        <v>316111.11111111112</v>
      </c>
      <c r="AI134" s="256">
        <f t="shared" si="20"/>
        <v>316111.11111111112</v>
      </c>
      <c r="AJ134" s="256">
        <f t="shared" si="20"/>
        <v>316111.11111111112</v>
      </c>
      <c r="AK134" s="256">
        <f t="shared" si="20"/>
        <v>316111.11111111112</v>
      </c>
      <c r="AL134" s="256">
        <f t="shared" si="20"/>
        <v>316111.11111111112</v>
      </c>
      <c r="AM134" s="256">
        <f t="shared" si="20"/>
        <v>316111.11111111112</v>
      </c>
      <c r="AN134" s="256">
        <f t="shared" si="20"/>
        <v>316111.11111111112</v>
      </c>
      <c r="AO134" s="256">
        <f>$J$134/18+$J$134/18/2</f>
        <v>474166.66666666669</v>
      </c>
      <c r="AP134" s="256"/>
      <c r="AQ134" s="256"/>
      <c r="AR134" s="256"/>
      <c r="AS134" s="256"/>
      <c r="AT134" s="256"/>
      <c r="AU134" s="256"/>
      <c r="AV134" s="256"/>
      <c r="AW134" s="256"/>
      <c r="AX134" s="256"/>
      <c r="AY134" s="259">
        <f>SUM(T134:AX134)</f>
        <v>5689999.9999999991</v>
      </c>
      <c r="AZ134" s="281">
        <f t="shared" si="7"/>
        <v>0</v>
      </c>
      <c r="BA134" s="258">
        <f t="shared" si="8"/>
        <v>4899722.222222222</v>
      </c>
      <c r="BB134" s="259">
        <f t="shared" si="12"/>
        <v>5690000</v>
      </c>
      <c r="BD134" s="278" t="b">
        <f t="shared" si="9"/>
        <v>1</v>
      </c>
      <c r="BE134" s="277">
        <f>BB134-K134-R134</f>
        <v>5690000</v>
      </c>
    </row>
    <row r="135" spans="2:57" s="227" customFormat="1" x14ac:dyDescent="0.25">
      <c r="B135" s="262" t="s">
        <v>742</v>
      </c>
      <c r="C135" s="279"/>
      <c r="D135" s="279"/>
      <c r="E135" s="262"/>
      <c r="F135" s="262"/>
      <c r="G135" s="262"/>
      <c r="H135" s="262"/>
      <c r="I135" s="262"/>
      <c r="J135" s="263"/>
      <c r="K135" s="263"/>
      <c r="L135" s="263"/>
      <c r="M135" s="263" t="s">
        <v>934</v>
      </c>
      <c r="N135" s="264">
        <f t="shared" si="19"/>
        <v>5.1029999999999998</v>
      </c>
      <c r="O135" s="264">
        <v>5.1029999999999998</v>
      </c>
      <c r="P135" s="264">
        <f>$P$4</f>
        <v>0</v>
      </c>
      <c r="Q135" s="264" t="s">
        <v>751</v>
      </c>
      <c r="R135" s="280"/>
      <c r="S135" s="266"/>
      <c r="T135" s="266"/>
      <c r="U135" s="266"/>
      <c r="V135" s="266">
        <f>SUM(V134:$AV134)*$N135/100/4</f>
        <v>72590.174999999988</v>
      </c>
      <c r="W135" s="266">
        <f>SUM(W134:$AV134)*$N135/100</f>
        <v>290360.69999999995</v>
      </c>
      <c r="X135" s="266">
        <f>SUM(X134:$AV134)*$N135/100</f>
        <v>290360.69999999995</v>
      </c>
      <c r="Y135" s="266">
        <f>SUM(Y134:$AV134)*$N135/100</f>
        <v>282295.12499999994</v>
      </c>
      <c r="Z135" s="266">
        <f>SUM(Z134:$AV134)*$N135/100</f>
        <v>266163.97499999998</v>
      </c>
      <c r="AA135" s="266">
        <f>SUM(AA134:$AV134)*$N135/100</f>
        <v>250032.82499999995</v>
      </c>
      <c r="AB135" s="266">
        <f>SUM(AB134:$AV134)*$N135/100</f>
        <v>233901.67499999993</v>
      </c>
      <c r="AC135" s="266">
        <f>SUM(AC134:$AV134)*$N135/100</f>
        <v>217770.52499999994</v>
      </c>
      <c r="AD135" s="266">
        <f>SUM(AD134:$AV134)*$N135/100</f>
        <v>201639.37499999997</v>
      </c>
      <c r="AE135" s="266">
        <f>SUM(AE134:$AV134)*$N135/100</f>
        <v>185508.22499999998</v>
      </c>
      <c r="AF135" s="266">
        <f>SUM(AF134:$AV134)*$N135/100</f>
        <v>169377.07499999995</v>
      </c>
      <c r="AG135" s="266">
        <f>SUM(AG134:$AV134)*$N135/100</f>
        <v>153245.92499999996</v>
      </c>
      <c r="AH135" s="266">
        <f>SUM(AH134:$AV134)*$N135/100</f>
        <v>137114.77499999999</v>
      </c>
      <c r="AI135" s="266">
        <f>SUM(AI134:$AV134)*$N135/100</f>
        <v>120983.62499999999</v>
      </c>
      <c r="AJ135" s="266">
        <f>SUM(AJ134:$AV134)*$N135/100</f>
        <v>104852.47500000001</v>
      </c>
      <c r="AK135" s="266">
        <f>SUM(AK134:$AV134)*$N135/100</f>
        <v>88721.324999999997</v>
      </c>
      <c r="AL135" s="266">
        <f>SUM(AL134:$AV134)*$N135/100</f>
        <v>72590.175000000003</v>
      </c>
      <c r="AM135" s="266">
        <f>SUM(AM134:$AV134)*$N135/100</f>
        <v>56459.025000000001</v>
      </c>
      <c r="AN135" s="266">
        <f>SUM(AN134:$AV134)*$N135/100</f>
        <v>40327.874999999993</v>
      </c>
      <c r="AO135" s="266">
        <f>SUM(AO134:$AV134)*$N135/100</f>
        <v>24196.724999999999</v>
      </c>
      <c r="AP135" s="266"/>
      <c r="AQ135" s="266"/>
      <c r="AR135" s="266"/>
      <c r="AS135" s="266"/>
      <c r="AT135" s="266"/>
      <c r="AU135" s="266"/>
      <c r="AV135" s="266"/>
      <c r="AW135" s="266"/>
      <c r="AX135" s="266"/>
      <c r="AY135" s="269">
        <f t="shared" si="11"/>
        <v>3258492.3</v>
      </c>
      <c r="AZ135" s="281">
        <f t="shared" ref="AZ135:AZ142" si="21">AY135-SUM(T135:AX135)</f>
        <v>0</v>
      </c>
      <c r="BA135" s="268">
        <f t="shared" ref="BA135:BA141" si="22">SUM(AA135:AX135)</f>
        <v>2056721.6249999998</v>
      </c>
      <c r="BB135" s="269">
        <f t="shared" si="12"/>
        <v>3258492.3</v>
      </c>
      <c r="BD135" s="278" t="b">
        <f t="shared" ref="BD135:BD145" si="23">AY135=BB135</f>
        <v>1</v>
      </c>
    </row>
    <row r="136" spans="2:57" s="292" customFormat="1" x14ac:dyDescent="0.25">
      <c r="B136" s="283"/>
      <c r="C136" s="284" t="s">
        <v>1107</v>
      </c>
      <c r="D136" s="284" t="s">
        <v>1108</v>
      </c>
      <c r="E136" s="275" t="s">
        <v>1109</v>
      </c>
      <c r="F136" s="284" t="s">
        <v>1110</v>
      </c>
      <c r="G136" s="285">
        <v>44781</v>
      </c>
      <c r="H136" s="285">
        <v>45127</v>
      </c>
      <c r="I136" s="284" t="s">
        <v>748</v>
      </c>
      <c r="J136" s="252">
        <v>39831</v>
      </c>
      <c r="K136" s="286"/>
      <c r="L136" s="286"/>
      <c r="M136" s="286"/>
      <c r="N136" s="287"/>
      <c r="O136" s="287"/>
      <c r="P136" s="287"/>
      <c r="Q136" s="288" t="s">
        <v>749</v>
      </c>
      <c r="R136" s="289">
        <v>39831</v>
      </c>
      <c r="S136" s="289"/>
      <c r="T136" s="289">
        <f t="shared" ref="T136:T141" si="24">SUM(R136:S136)</f>
        <v>39831</v>
      </c>
      <c r="U136" s="289"/>
      <c r="V136" s="289"/>
      <c r="W136" s="289"/>
      <c r="X136" s="289"/>
      <c r="Y136" s="289"/>
      <c r="Z136" s="289"/>
      <c r="AA136" s="289"/>
      <c r="AB136" s="289"/>
      <c r="AC136" s="289"/>
      <c r="AD136" s="289"/>
      <c r="AE136" s="289"/>
      <c r="AF136" s="289"/>
      <c r="AG136" s="289"/>
      <c r="AH136" s="289"/>
      <c r="AI136" s="289"/>
      <c r="AJ136" s="289"/>
      <c r="AK136" s="289"/>
      <c r="AL136" s="289"/>
      <c r="AM136" s="289"/>
      <c r="AN136" s="289"/>
      <c r="AO136" s="289"/>
      <c r="AP136" s="289"/>
      <c r="AQ136" s="289"/>
      <c r="AR136" s="289"/>
      <c r="AS136" s="289"/>
      <c r="AT136" s="289"/>
      <c r="AU136" s="289"/>
      <c r="AV136" s="289"/>
      <c r="AW136" s="289"/>
      <c r="AX136" s="289"/>
      <c r="AY136" s="290">
        <f t="shared" ref="AY136:AY137" si="25">SUM(T136:AX136)</f>
        <v>39831</v>
      </c>
      <c r="AZ136" s="232">
        <f t="shared" si="21"/>
        <v>0</v>
      </c>
      <c r="BA136" s="291">
        <f t="shared" ref="BA136:BA139" si="26">SUM(AA136:AX136)</f>
        <v>0</v>
      </c>
      <c r="BB136" s="290">
        <f t="shared" ref="BB136:BB141" si="27">SUM(T136:Z136,BA136)</f>
        <v>39831</v>
      </c>
      <c r="BD136" s="248" t="b">
        <f t="shared" si="23"/>
        <v>1</v>
      </c>
    </row>
    <row r="137" spans="2:57" s="292" customFormat="1" x14ac:dyDescent="0.25">
      <c r="B137" s="293"/>
      <c r="C137" s="293"/>
      <c r="D137" s="293" t="s">
        <v>1111</v>
      </c>
      <c r="E137" s="262"/>
      <c r="F137" s="293"/>
      <c r="G137" s="293"/>
      <c r="H137" s="293"/>
      <c r="I137" s="293"/>
      <c r="J137" s="263"/>
      <c r="K137" s="294"/>
      <c r="L137" s="294"/>
      <c r="M137" s="294"/>
      <c r="N137" s="295"/>
      <c r="O137" s="295"/>
      <c r="P137" s="295"/>
      <c r="Q137" s="295" t="s">
        <v>751</v>
      </c>
      <c r="R137" s="296">
        <v>301.77000000000004</v>
      </c>
      <c r="S137" s="296"/>
      <c r="T137" s="296">
        <f t="shared" si="24"/>
        <v>301.77000000000004</v>
      </c>
      <c r="U137" s="296"/>
      <c r="V137" s="296"/>
      <c r="W137" s="296"/>
      <c r="X137" s="296"/>
      <c r="Y137" s="296"/>
      <c r="Z137" s="296"/>
      <c r="AA137" s="296"/>
      <c r="AB137" s="296"/>
      <c r="AC137" s="296"/>
      <c r="AD137" s="296"/>
      <c r="AE137" s="296"/>
      <c r="AF137" s="296"/>
      <c r="AG137" s="296"/>
      <c r="AH137" s="296"/>
      <c r="AI137" s="296"/>
      <c r="AJ137" s="296"/>
      <c r="AK137" s="296"/>
      <c r="AL137" s="296"/>
      <c r="AM137" s="296"/>
      <c r="AN137" s="296"/>
      <c r="AO137" s="296"/>
      <c r="AP137" s="296"/>
      <c r="AQ137" s="296"/>
      <c r="AR137" s="296"/>
      <c r="AS137" s="296"/>
      <c r="AT137" s="296"/>
      <c r="AU137" s="296"/>
      <c r="AV137" s="296"/>
      <c r="AW137" s="296"/>
      <c r="AX137" s="296"/>
      <c r="AY137" s="297">
        <f t="shared" si="25"/>
        <v>301.77000000000004</v>
      </c>
      <c r="AZ137" s="232">
        <f t="shared" si="21"/>
        <v>0</v>
      </c>
      <c r="BA137" s="298">
        <f t="shared" si="26"/>
        <v>0</v>
      </c>
      <c r="BB137" s="297">
        <f t="shared" si="27"/>
        <v>301.77000000000004</v>
      </c>
      <c r="BD137" s="248" t="b">
        <f t="shared" si="23"/>
        <v>1</v>
      </c>
    </row>
    <row r="138" spans="2:57" s="292" customFormat="1" x14ac:dyDescent="0.25">
      <c r="B138" s="283"/>
      <c r="C138" s="284" t="s">
        <v>1107</v>
      </c>
      <c r="D138" s="284" t="s">
        <v>1112</v>
      </c>
      <c r="E138" s="275" t="s">
        <v>1113</v>
      </c>
      <c r="F138" s="284" t="s">
        <v>1114</v>
      </c>
      <c r="G138" s="285">
        <v>43248</v>
      </c>
      <c r="H138" s="285">
        <v>45068</v>
      </c>
      <c r="I138" s="284" t="s">
        <v>748</v>
      </c>
      <c r="J138" s="252">
        <v>8518.4</v>
      </c>
      <c r="K138" s="286"/>
      <c r="L138" s="286"/>
      <c r="M138" s="286"/>
      <c r="N138" s="287"/>
      <c r="O138" s="287"/>
      <c r="P138" s="287"/>
      <c r="Q138" s="288" t="s">
        <v>749</v>
      </c>
      <c r="R138" s="289">
        <v>948</v>
      </c>
      <c r="S138" s="289"/>
      <c r="T138" s="289">
        <f t="shared" si="24"/>
        <v>948</v>
      </c>
      <c r="U138" s="289"/>
      <c r="V138" s="289"/>
      <c r="W138" s="289"/>
      <c r="X138" s="289"/>
      <c r="Y138" s="289"/>
      <c r="Z138" s="289"/>
      <c r="AA138" s="289"/>
      <c r="AB138" s="289"/>
      <c r="AC138" s="289"/>
      <c r="AD138" s="289"/>
      <c r="AE138" s="289"/>
      <c r="AF138" s="289"/>
      <c r="AG138" s="289"/>
      <c r="AH138" s="289"/>
      <c r="AI138" s="289"/>
      <c r="AJ138" s="289"/>
      <c r="AK138" s="289"/>
      <c r="AL138" s="289"/>
      <c r="AM138" s="289"/>
      <c r="AN138" s="289"/>
      <c r="AO138" s="289"/>
      <c r="AP138" s="289"/>
      <c r="AQ138" s="289"/>
      <c r="AR138" s="289"/>
      <c r="AS138" s="289"/>
      <c r="AT138" s="289"/>
      <c r="AU138" s="289"/>
      <c r="AV138" s="289"/>
      <c r="AW138" s="289"/>
      <c r="AX138" s="289"/>
      <c r="AY138" s="290">
        <f t="shared" ref="AY138:AY141" si="28">SUM(T138:AX138)</f>
        <v>948</v>
      </c>
      <c r="AZ138" s="232">
        <f t="shared" si="21"/>
        <v>0</v>
      </c>
      <c r="BA138" s="291">
        <f t="shared" si="26"/>
        <v>0</v>
      </c>
      <c r="BB138" s="290">
        <f t="shared" si="27"/>
        <v>948</v>
      </c>
      <c r="BD138" s="248" t="b">
        <f t="shared" si="23"/>
        <v>1</v>
      </c>
    </row>
    <row r="139" spans="2:57" s="292" customFormat="1" x14ac:dyDescent="0.25">
      <c r="B139" s="293"/>
      <c r="C139" s="293"/>
      <c r="D139" s="293" t="s">
        <v>1115</v>
      </c>
      <c r="E139" s="262"/>
      <c r="F139" s="293"/>
      <c r="G139" s="293"/>
      <c r="H139" s="293"/>
      <c r="I139" s="293"/>
      <c r="J139" s="263"/>
      <c r="K139" s="294"/>
      <c r="L139" s="294"/>
      <c r="M139" s="294"/>
      <c r="N139" s="295"/>
      <c r="O139" s="295"/>
      <c r="P139" s="295"/>
      <c r="Q139" s="295" t="s">
        <v>751</v>
      </c>
      <c r="R139" s="296">
        <v>3.79</v>
      </c>
      <c r="S139" s="296"/>
      <c r="T139" s="296">
        <f t="shared" si="24"/>
        <v>3.79</v>
      </c>
      <c r="U139" s="296"/>
      <c r="V139" s="296"/>
      <c r="W139" s="296"/>
      <c r="X139" s="296"/>
      <c r="Y139" s="296"/>
      <c r="Z139" s="296"/>
      <c r="AA139" s="296"/>
      <c r="AB139" s="296"/>
      <c r="AC139" s="296"/>
      <c r="AD139" s="296"/>
      <c r="AE139" s="296"/>
      <c r="AF139" s="296"/>
      <c r="AG139" s="296"/>
      <c r="AH139" s="296"/>
      <c r="AI139" s="296"/>
      <c r="AJ139" s="296"/>
      <c r="AK139" s="296"/>
      <c r="AL139" s="296"/>
      <c r="AM139" s="296"/>
      <c r="AN139" s="296"/>
      <c r="AO139" s="296"/>
      <c r="AP139" s="296"/>
      <c r="AQ139" s="296"/>
      <c r="AR139" s="296"/>
      <c r="AS139" s="296"/>
      <c r="AT139" s="296"/>
      <c r="AU139" s="296"/>
      <c r="AV139" s="296"/>
      <c r="AW139" s="296"/>
      <c r="AX139" s="296"/>
      <c r="AY139" s="297">
        <f t="shared" si="28"/>
        <v>3.79</v>
      </c>
      <c r="AZ139" s="232">
        <f t="shared" si="21"/>
        <v>0</v>
      </c>
      <c r="BA139" s="298">
        <f t="shared" si="26"/>
        <v>0</v>
      </c>
      <c r="BB139" s="297">
        <f t="shared" si="27"/>
        <v>3.79</v>
      </c>
      <c r="BD139" s="248" t="b">
        <f t="shared" si="23"/>
        <v>1</v>
      </c>
    </row>
    <row r="140" spans="2:57" s="292" customFormat="1" x14ac:dyDescent="0.25">
      <c r="B140" s="283"/>
      <c r="C140" s="284" t="s">
        <v>1107</v>
      </c>
      <c r="D140" s="284" t="s">
        <v>1116</v>
      </c>
      <c r="E140" s="275" t="s">
        <v>1117</v>
      </c>
      <c r="F140" s="284" t="s">
        <v>1118</v>
      </c>
      <c r="G140" s="285">
        <v>42920</v>
      </c>
      <c r="H140" s="284" t="s">
        <v>1119</v>
      </c>
      <c r="I140" s="284" t="s">
        <v>748</v>
      </c>
      <c r="J140" s="252">
        <f>46627+88266</f>
        <v>134893</v>
      </c>
      <c r="K140" s="286"/>
      <c r="L140" s="286"/>
      <c r="M140" s="286"/>
      <c r="N140" s="287"/>
      <c r="O140" s="287"/>
      <c r="P140" s="287"/>
      <c r="Q140" s="288" t="s">
        <v>749</v>
      </c>
      <c r="R140" s="289">
        <v>12848</v>
      </c>
      <c r="S140" s="289"/>
      <c r="T140" s="289">
        <f t="shared" si="24"/>
        <v>12848</v>
      </c>
      <c r="U140" s="289"/>
      <c r="V140" s="289"/>
      <c r="W140" s="289"/>
      <c r="X140" s="289"/>
      <c r="Y140" s="289"/>
      <c r="Z140" s="289"/>
      <c r="AA140" s="289"/>
      <c r="AB140" s="289"/>
      <c r="AC140" s="289"/>
      <c r="AD140" s="289"/>
      <c r="AE140" s="289"/>
      <c r="AF140" s="289"/>
      <c r="AG140" s="289"/>
      <c r="AH140" s="289"/>
      <c r="AI140" s="289"/>
      <c r="AJ140" s="289"/>
      <c r="AK140" s="289"/>
      <c r="AL140" s="289"/>
      <c r="AM140" s="289"/>
      <c r="AN140" s="289"/>
      <c r="AO140" s="289"/>
      <c r="AP140" s="289"/>
      <c r="AQ140" s="289"/>
      <c r="AR140" s="289"/>
      <c r="AS140" s="289"/>
      <c r="AT140" s="289"/>
      <c r="AU140" s="289"/>
      <c r="AV140" s="289"/>
      <c r="AW140" s="289"/>
      <c r="AX140" s="289"/>
      <c r="AY140" s="290">
        <f t="shared" si="28"/>
        <v>12848</v>
      </c>
      <c r="AZ140" s="232">
        <f t="shared" si="21"/>
        <v>0</v>
      </c>
      <c r="BA140" s="291">
        <f t="shared" si="22"/>
        <v>0</v>
      </c>
      <c r="BB140" s="290">
        <f t="shared" si="27"/>
        <v>12848</v>
      </c>
      <c r="BD140" s="248" t="b">
        <f t="shared" si="23"/>
        <v>1</v>
      </c>
    </row>
    <row r="141" spans="2:57" s="292" customFormat="1" x14ac:dyDescent="0.25">
      <c r="B141" s="293"/>
      <c r="C141" s="293"/>
      <c r="D141" s="293"/>
      <c r="E141" s="262"/>
      <c r="F141" s="293"/>
      <c r="G141" s="293"/>
      <c r="H141" s="293"/>
      <c r="I141" s="293"/>
      <c r="J141" s="263"/>
      <c r="K141" s="294"/>
      <c r="L141" s="294"/>
      <c r="M141" s="294"/>
      <c r="N141" s="295"/>
      <c r="O141" s="295"/>
      <c r="P141" s="295"/>
      <c r="Q141" s="295" t="s">
        <v>751</v>
      </c>
      <c r="R141" s="296">
        <v>114.19999999999999</v>
      </c>
      <c r="S141" s="296"/>
      <c r="T141" s="296">
        <f t="shared" si="24"/>
        <v>114.19999999999999</v>
      </c>
      <c r="U141" s="296"/>
      <c r="V141" s="296"/>
      <c r="W141" s="296"/>
      <c r="X141" s="296"/>
      <c r="Y141" s="296"/>
      <c r="Z141" s="296"/>
      <c r="AA141" s="296"/>
      <c r="AB141" s="296"/>
      <c r="AC141" s="296"/>
      <c r="AD141" s="296"/>
      <c r="AE141" s="296"/>
      <c r="AF141" s="296"/>
      <c r="AG141" s="296"/>
      <c r="AH141" s="296"/>
      <c r="AI141" s="296"/>
      <c r="AJ141" s="296"/>
      <c r="AK141" s="296"/>
      <c r="AL141" s="296"/>
      <c r="AM141" s="296"/>
      <c r="AN141" s="296"/>
      <c r="AO141" s="296"/>
      <c r="AP141" s="296"/>
      <c r="AQ141" s="296"/>
      <c r="AR141" s="296"/>
      <c r="AS141" s="296"/>
      <c r="AT141" s="296"/>
      <c r="AU141" s="296"/>
      <c r="AV141" s="296"/>
      <c r="AW141" s="296"/>
      <c r="AX141" s="296"/>
      <c r="AY141" s="297">
        <f t="shared" si="28"/>
        <v>114.19999999999999</v>
      </c>
      <c r="AZ141" s="232">
        <f t="shared" si="21"/>
        <v>0</v>
      </c>
      <c r="BA141" s="298">
        <f t="shared" si="22"/>
        <v>0</v>
      </c>
      <c r="BB141" s="297">
        <f t="shared" si="27"/>
        <v>114.19999999999999</v>
      </c>
      <c r="BD141" s="248" t="b">
        <f t="shared" si="23"/>
        <v>1</v>
      </c>
    </row>
    <row r="142" spans="2:57" x14ac:dyDescent="0.25">
      <c r="J142" s="299"/>
      <c r="K142" s="299"/>
      <c r="L142" s="299"/>
      <c r="M142" s="299"/>
      <c r="N142" s="300"/>
      <c r="O142" s="300"/>
      <c r="P142" s="300"/>
      <c r="Q142" s="300"/>
      <c r="R142" s="300"/>
      <c r="S142" s="301"/>
      <c r="T142" s="301"/>
      <c r="U142" s="299"/>
      <c r="V142" s="299"/>
      <c r="W142" s="299"/>
      <c r="X142" s="299"/>
      <c r="Y142" s="299"/>
      <c r="Z142" s="299"/>
      <c r="AA142" s="299"/>
      <c r="AB142" s="299"/>
      <c r="AC142" s="299"/>
      <c r="AD142" s="299"/>
      <c r="AE142" s="299"/>
      <c r="AF142" s="299"/>
      <c r="AG142" s="299"/>
      <c r="AH142" s="299"/>
      <c r="AI142" s="299"/>
      <c r="AJ142" s="299"/>
      <c r="AK142" s="299"/>
      <c r="AL142" s="299"/>
      <c r="AM142" s="299"/>
      <c r="AN142" s="299"/>
      <c r="AO142" s="299"/>
      <c r="AP142" s="299"/>
      <c r="AQ142" s="299"/>
      <c r="AR142" s="299"/>
      <c r="AS142" s="299"/>
      <c r="AT142" s="299"/>
      <c r="AU142" s="299"/>
      <c r="AV142" s="299"/>
      <c r="AW142" s="299"/>
      <c r="AX142" s="299"/>
      <c r="AY142" s="299"/>
      <c r="AZ142" s="232">
        <f t="shared" si="21"/>
        <v>0</v>
      </c>
      <c r="BA142" s="299"/>
      <c r="BB142" s="299"/>
      <c r="BD142" s="248" t="b">
        <f t="shared" si="23"/>
        <v>1</v>
      </c>
    </row>
    <row r="143" spans="2:57" s="248" customFormat="1" x14ac:dyDescent="0.25">
      <c r="E143" s="278"/>
      <c r="G143" s="225"/>
      <c r="H143" s="225"/>
      <c r="I143" s="302" t="s">
        <v>1120</v>
      </c>
      <c r="J143" s="303">
        <f>SUM(J6:J141)</f>
        <v>74096842.430000007</v>
      </c>
      <c r="K143" s="304">
        <f>SUM(K6:K141)</f>
        <v>52021205.689999998</v>
      </c>
      <c r="L143" s="260"/>
      <c r="M143" s="260"/>
      <c r="N143" s="305">
        <f>AVERAGE(N7:N141)</f>
        <v>4.1065384615384621</v>
      </c>
      <c r="O143" s="306"/>
      <c r="P143" s="306"/>
      <c r="Q143" s="307" t="s">
        <v>749</v>
      </c>
      <c r="R143" s="308">
        <f t="shared" ref="R143:AG144" si="29">SUMIF($Q$6:$Q$141,$Q143,R$6:R$141)</f>
        <v>1826820.7999999998</v>
      </c>
      <c r="S143" s="308">
        <f t="shared" si="29"/>
        <v>1933115.25</v>
      </c>
      <c r="T143" s="309">
        <f t="shared" si="29"/>
        <v>3772866.05</v>
      </c>
      <c r="U143" s="309">
        <f t="shared" si="29"/>
        <v>3486154.5</v>
      </c>
      <c r="V143" s="309">
        <f t="shared" si="29"/>
        <v>3408122.49</v>
      </c>
      <c r="W143" s="309">
        <f t="shared" si="29"/>
        <v>3392230.96</v>
      </c>
      <c r="X143" s="309">
        <f t="shared" si="29"/>
        <v>3444399.7488888884</v>
      </c>
      <c r="Y143" s="309">
        <f t="shared" si="29"/>
        <v>3563680.0044444441</v>
      </c>
      <c r="Z143" s="309">
        <f t="shared" si="29"/>
        <v>3505903.0044444441</v>
      </c>
      <c r="AA143" s="309">
        <f t="shared" si="29"/>
        <v>3476840.0044444441</v>
      </c>
      <c r="AB143" s="309">
        <f t="shared" si="29"/>
        <v>3390520.864444444</v>
      </c>
      <c r="AC143" s="309">
        <f t="shared" si="29"/>
        <v>2731893.7544444441</v>
      </c>
      <c r="AD143" s="309">
        <f t="shared" si="29"/>
        <v>2528174.0244444441</v>
      </c>
      <c r="AE143" s="309">
        <f t="shared" si="29"/>
        <v>2171093.8044444444</v>
      </c>
      <c r="AF143" s="309">
        <f t="shared" si="29"/>
        <v>2072237.8044444444</v>
      </c>
      <c r="AG143" s="309">
        <f t="shared" si="29"/>
        <v>1943128.7544444446</v>
      </c>
      <c r="AH143" s="309">
        <f t="shared" ref="AH143:AW144" si="30">SUMIF($Q$6:$Q$141,$Q143,AH$6:AH$141)</f>
        <v>1832316.0444444446</v>
      </c>
      <c r="AI143" s="309">
        <f t="shared" si="30"/>
        <v>1697912.0444444446</v>
      </c>
      <c r="AJ143" s="309">
        <f t="shared" si="30"/>
        <v>1625784.0444444446</v>
      </c>
      <c r="AK143" s="309">
        <f t="shared" si="30"/>
        <v>1584734.0844444446</v>
      </c>
      <c r="AL143" s="309">
        <f t="shared" si="30"/>
        <v>1559973.1144444444</v>
      </c>
      <c r="AM143" s="309">
        <f t="shared" si="30"/>
        <v>1500459.111111111</v>
      </c>
      <c r="AN143" s="309">
        <f t="shared" si="30"/>
        <v>1500459.111111111</v>
      </c>
      <c r="AO143" s="309">
        <f t="shared" si="30"/>
        <v>1658514.6666666667</v>
      </c>
      <c r="AP143" s="309">
        <f t="shared" si="30"/>
        <v>1184348</v>
      </c>
      <c r="AQ143" s="309">
        <f t="shared" si="30"/>
        <v>1184348</v>
      </c>
      <c r="AR143" s="309">
        <f t="shared" si="30"/>
        <v>1184348</v>
      </c>
      <c r="AS143" s="309">
        <f t="shared" si="30"/>
        <v>867315.83000000007</v>
      </c>
      <c r="AT143" s="309">
        <f t="shared" si="30"/>
        <v>452632</v>
      </c>
      <c r="AU143" s="309">
        <f t="shared" si="30"/>
        <v>409981</v>
      </c>
      <c r="AV143" s="309">
        <f t="shared" si="30"/>
        <v>55587.92</v>
      </c>
      <c r="AW143" s="309">
        <f t="shared" si="30"/>
        <v>0</v>
      </c>
      <c r="AX143" s="309">
        <f t="shared" ref="AX143:AX144" si="31">SUMIF($Q$6:$Q$141,$Q143,AX$6:AX$141)</f>
        <v>0</v>
      </c>
      <c r="AY143" s="309">
        <f>SUM(T143:AX143)</f>
        <v>61185958.73999998</v>
      </c>
      <c r="AZ143" s="232">
        <f>AY143-SUM(T143:AX143)</f>
        <v>0</v>
      </c>
      <c r="BA143" s="309">
        <f>SUM(AA143:AX143)</f>
        <v>36612601.982222229</v>
      </c>
      <c r="BB143" s="309">
        <f>SUM(T143:Z143,BA143)</f>
        <v>61185958.740000002</v>
      </c>
      <c r="BD143" s="248" t="b">
        <f t="shared" si="23"/>
        <v>1</v>
      </c>
      <c r="BE143" s="260"/>
    </row>
    <row r="144" spans="2:57" x14ac:dyDescent="0.25">
      <c r="K144" s="232"/>
      <c r="L144" s="232"/>
      <c r="M144" s="232"/>
      <c r="Q144" s="310" t="s">
        <v>751</v>
      </c>
      <c r="R144" s="311">
        <f t="shared" si="29"/>
        <v>732845.0199999999</v>
      </c>
      <c r="S144" s="311">
        <f t="shared" si="29"/>
        <v>491517.98000000004</v>
      </c>
      <c r="T144" s="312">
        <f t="shared" si="29"/>
        <v>1224463.0000000002</v>
      </c>
      <c r="U144" s="312">
        <f t="shared" si="29"/>
        <v>2229302.2908389005</v>
      </c>
      <c r="V144" s="312">
        <f t="shared" si="29"/>
        <v>2200908.5659799003</v>
      </c>
      <c r="W144" s="312">
        <f t="shared" si="29"/>
        <v>2271859.6232308997</v>
      </c>
      <c r="X144" s="312">
        <f t="shared" si="29"/>
        <v>2125245.5962509001</v>
      </c>
      <c r="Y144" s="312">
        <f t="shared" si="29"/>
        <v>1973545.1038474997</v>
      </c>
      <c r="Z144" s="312">
        <f t="shared" si="29"/>
        <v>1815647.2633235008</v>
      </c>
      <c r="AA144" s="312">
        <f t="shared" si="29"/>
        <v>1660110.8018895001</v>
      </c>
      <c r="AB144" s="312">
        <f t="shared" si="29"/>
        <v>1505731.6059854999</v>
      </c>
      <c r="AC144" s="312">
        <f t="shared" si="29"/>
        <v>1355405.2811271001</v>
      </c>
      <c r="AD144" s="312">
        <f t="shared" si="29"/>
        <v>1232333.8402090995</v>
      </c>
      <c r="AE144" s="312">
        <f t="shared" si="29"/>
        <v>1118819.1434494001</v>
      </c>
      <c r="AF144" s="312">
        <f t="shared" si="29"/>
        <v>1020292.0111166001</v>
      </c>
      <c r="AG144" s="312">
        <f t="shared" si="29"/>
        <v>926221.77864379983</v>
      </c>
      <c r="AH144" s="312">
        <f t="shared" si="30"/>
        <v>837831.63125500013</v>
      </c>
      <c r="AI144" s="312">
        <f t="shared" si="30"/>
        <v>753822.72227100015</v>
      </c>
      <c r="AJ144" s="312">
        <f t="shared" si="30"/>
        <v>675771.50826699985</v>
      </c>
      <c r="AK144" s="312">
        <f t="shared" si="30"/>
        <v>600907.595203</v>
      </c>
      <c r="AL144" s="312">
        <f t="shared" si="30"/>
        <v>527827.85213899997</v>
      </c>
      <c r="AM144" s="312">
        <f t="shared" si="30"/>
        <v>455910.62948799995</v>
      </c>
      <c r="AN144" s="312">
        <f t="shared" si="30"/>
        <v>386898.32936799998</v>
      </c>
      <c r="AO144" s="312">
        <f t="shared" si="30"/>
        <v>317886.02924799989</v>
      </c>
      <c r="AP144" s="312">
        <f t="shared" si="30"/>
        <v>240808.15412799999</v>
      </c>
      <c r="AQ144" s="312">
        <f t="shared" si="30"/>
        <v>187927.00400799996</v>
      </c>
      <c r="AR144" s="312">
        <f t="shared" si="30"/>
        <v>135045.85388799998</v>
      </c>
      <c r="AS144" s="312">
        <f t="shared" si="30"/>
        <v>82164.703767999992</v>
      </c>
      <c r="AT144" s="312">
        <f t="shared" si="30"/>
        <v>43306.896070000003</v>
      </c>
      <c r="AU144" s="312">
        <f t="shared" si="30"/>
        <v>22024.558349999996</v>
      </c>
      <c r="AV144" s="312">
        <f t="shared" si="30"/>
        <v>2596.5674300000001</v>
      </c>
      <c r="AW144" s="312">
        <f t="shared" si="30"/>
        <v>0</v>
      </c>
      <c r="AX144" s="312">
        <f t="shared" si="31"/>
        <v>0</v>
      </c>
      <c r="AY144" s="312">
        <f t="shared" ref="AY144:AY145" si="32">SUM(T144:AX144)</f>
        <v>27930615.940773599</v>
      </c>
      <c r="AZ144" s="232">
        <f t="shared" ref="AZ144:AZ145" si="33">AY144-SUM(T144:AX144)</f>
        <v>0</v>
      </c>
      <c r="BA144" s="312">
        <f t="shared" ref="BA144:BA145" si="34">SUM(AA144:AX144)</f>
        <v>14089644.497302003</v>
      </c>
      <c r="BB144" s="312">
        <f t="shared" ref="BB144:BB145" si="35">SUM(T144:Z144,BA144)</f>
        <v>27930615.940773606</v>
      </c>
      <c r="BD144" s="248" t="b">
        <f t="shared" si="23"/>
        <v>1</v>
      </c>
      <c r="BE144" s="260"/>
    </row>
    <row r="145" spans="2:57" s="278" customFormat="1" x14ac:dyDescent="0.25">
      <c r="G145" s="227"/>
      <c r="H145" s="227"/>
      <c r="I145" s="227"/>
      <c r="J145" s="227"/>
      <c r="Q145" s="307" t="s">
        <v>1121</v>
      </c>
      <c r="R145" s="313">
        <f>SUM(R143:R144)</f>
        <v>2559665.8199999998</v>
      </c>
      <c r="S145" s="313">
        <f>SUM(S143:S144)</f>
        <v>2424633.23</v>
      </c>
      <c r="T145" s="314">
        <f t="shared" ref="T145:AX145" si="36">SUM(T143:T144)</f>
        <v>4997329.05</v>
      </c>
      <c r="U145" s="314">
        <f t="shared" si="36"/>
        <v>5715456.790838901</v>
      </c>
      <c r="V145" s="314">
        <f t="shared" si="36"/>
        <v>5609031.0559799001</v>
      </c>
      <c r="W145" s="314">
        <f t="shared" si="36"/>
        <v>5664090.5832308996</v>
      </c>
      <c r="X145" s="314">
        <f t="shared" si="36"/>
        <v>5569645.3451397885</v>
      </c>
      <c r="Y145" s="314">
        <f t="shared" si="36"/>
        <v>5537225.1082919436</v>
      </c>
      <c r="Z145" s="314">
        <f t="shared" si="36"/>
        <v>5321550.2677679453</v>
      </c>
      <c r="AA145" s="314">
        <f t="shared" si="36"/>
        <v>5136950.8063339442</v>
      </c>
      <c r="AB145" s="314">
        <f t="shared" si="36"/>
        <v>4896252.4704299439</v>
      </c>
      <c r="AC145" s="314">
        <f t="shared" si="36"/>
        <v>4087299.0355715444</v>
      </c>
      <c r="AD145" s="314">
        <f t="shared" si="36"/>
        <v>3760507.8646535436</v>
      </c>
      <c r="AE145" s="314">
        <f t="shared" si="36"/>
        <v>3289912.9478938445</v>
      </c>
      <c r="AF145" s="314">
        <f t="shared" si="36"/>
        <v>3092529.8155610445</v>
      </c>
      <c r="AG145" s="314">
        <f t="shared" si="36"/>
        <v>2869350.5330882445</v>
      </c>
      <c r="AH145" s="314">
        <f t="shared" si="36"/>
        <v>2670147.6756994445</v>
      </c>
      <c r="AI145" s="314">
        <f t="shared" si="36"/>
        <v>2451734.7667154446</v>
      </c>
      <c r="AJ145" s="314">
        <f t="shared" si="36"/>
        <v>2301555.5527114444</v>
      </c>
      <c r="AK145" s="314">
        <f t="shared" si="36"/>
        <v>2185641.6796474447</v>
      </c>
      <c r="AL145" s="314">
        <f t="shared" si="36"/>
        <v>2087800.9665834443</v>
      </c>
      <c r="AM145" s="314">
        <f t="shared" si="36"/>
        <v>1956369.740599111</v>
      </c>
      <c r="AN145" s="314">
        <f t="shared" si="36"/>
        <v>1887357.4404791109</v>
      </c>
      <c r="AO145" s="314">
        <f t="shared" si="36"/>
        <v>1976400.6959146666</v>
      </c>
      <c r="AP145" s="314">
        <f t="shared" si="36"/>
        <v>1425156.1541279999</v>
      </c>
      <c r="AQ145" s="314">
        <f t="shared" si="36"/>
        <v>1372275.004008</v>
      </c>
      <c r="AR145" s="314">
        <f t="shared" si="36"/>
        <v>1319393.8538879999</v>
      </c>
      <c r="AS145" s="314">
        <f t="shared" si="36"/>
        <v>949480.53376800008</v>
      </c>
      <c r="AT145" s="314">
        <f t="shared" si="36"/>
        <v>495938.89607000002</v>
      </c>
      <c r="AU145" s="314">
        <f t="shared" si="36"/>
        <v>432005.55835000001</v>
      </c>
      <c r="AV145" s="314">
        <f t="shared" si="36"/>
        <v>58184.487430000001</v>
      </c>
      <c r="AW145" s="314">
        <f t="shared" si="36"/>
        <v>0</v>
      </c>
      <c r="AX145" s="314">
        <f t="shared" si="36"/>
        <v>0</v>
      </c>
      <c r="AY145" s="314">
        <f t="shared" si="32"/>
        <v>89116574.680773616</v>
      </c>
      <c r="AZ145" s="232">
        <f t="shared" si="33"/>
        <v>0</v>
      </c>
      <c r="BA145" s="314">
        <f t="shared" si="34"/>
        <v>50702246.47952421</v>
      </c>
      <c r="BB145" s="314">
        <f t="shared" si="35"/>
        <v>89116574.680773586</v>
      </c>
      <c r="BD145" s="248" t="b">
        <f t="shared" si="23"/>
        <v>1</v>
      </c>
      <c r="BE145" s="260"/>
    </row>
    <row r="147" spans="2:57" x14ac:dyDescent="0.25">
      <c r="I147" s="315"/>
      <c r="J147" s="316"/>
      <c r="K147" s="232"/>
      <c r="S147" s="317"/>
      <c r="T147" s="317"/>
      <c r="U147" s="232"/>
      <c r="V147" s="317"/>
      <c r="W147" s="317"/>
      <c r="X147" s="317"/>
      <c r="Y147" s="317"/>
      <c r="Z147" s="317"/>
      <c r="AA147" s="317"/>
      <c r="AB147" s="317"/>
      <c r="AC147" s="317"/>
      <c r="AD147" s="317"/>
      <c r="AE147" s="317"/>
      <c r="AF147" s="317"/>
      <c r="AG147" s="317"/>
      <c r="AH147" s="317"/>
      <c r="AI147" s="317"/>
      <c r="AJ147" s="317"/>
      <c r="AK147" s="317"/>
      <c r="AL147" s="317"/>
      <c r="AM147" s="317"/>
      <c r="AN147" s="317"/>
      <c r="AO147" s="317"/>
      <c r="AP147" s="317"/>
      <c r="AQ147" s="317"/>
      <c r="AR147" s="317"/>
      <c r="AS147" s="317"/>
      <c r="AT147" s="317"/>
      <c r="AU147" s="317"/>
      <c r="AV147" s="317"/>
      <c r="AW147" s="317"/>
      <c r="AX147" s="317"/>
      <c r="AY147" s="317"/>
      <c r="AZ147" s="317"/>
      <c r="BA147" s="317"/>
      <c r="BB147" s="317"/>
    </row>
    <row r="148" spans="2:57" ht="15.75" x14ac:dyDescent="0.25">
      <c r="C148" s="233" t="s">
        <v>1122</v>
      </c>
      <c r="J148" s="281"/>
    </row>
    <row r="149" spans="2:57" ht="60" x14ac:dyDescent="0.25">
      <c r="C149" s="240" t="s">
        <v>722</v>
      </c>
      <c r="D149" s="241" t="s">
        <v>1123</v>
      </c>
      <c r="E149" s="318" t="s">
        <v>1124</v>
      </c>
      <c r="F149" s="241" t="s">
        <v>1125</v>
      </c>
      <c r="G149" s="241" t="s">
        <v>726</v>
      </c>
      <c r="H149" s="241" t="s">
        <v>727</v>
      </c>
      <c r="I149" s="241" t="s">
        <v>728</v>
      </c>
      <c r="J149" s="242" t="s">
        <v>729</v>
      </c>
      <c r="K149" s="242" t="s">
        <v>730</v>
      </c>
      <c r="L149" s="242" t="s">
        <v>731</v>
      </c>
      <c r="M149" s="242" t="s">
        <v>732</v>
      </c>
      <c r="N149" s="242" t="s">
        <v>733</v>
      </c>
      <c r="O149" s="242" t="s">
        <v>734</v>
      </c>
      <c r="P149" s="242" t="s">
        <v>735</v>
      </c>
      <c r="Q149" s="244" t="s">
        <v>736</v>
      </c>
      <c r="R149" s="244"/>
      <c r="S149" s="244"/>
      <c r="T149" s="242">
        <v>2023</v>
      </c>
      <c r="U149" s="240">
        <v>2024</v>
      </c>
      <c r="V149" s="240">
        <v>2025</v>
      </c>
      <c r="W149" s="240">
        <v>2026</v>
      </c>
      <c r="X149" s="240">
        <v>2027</v>
      </c>
      <c r="Y149" s="240">
        <v>2028</v>
      </c>
      <c r="Z149" s="240">
        <v>2029</v>
      </c>
      <c r="AA149" s="240">
        <v>2030</v>
      </c>
      <c r="AB149" s="240">
        <v>2031</v>
      </c>
      <c r="AC149" s="240">
        <v>2032</v>
      </c>
      <c r="AD149" s="240">
        <v>2033</v>
      </c>
      <c r="AE149" s="240">
        <v>2034</v>
      </c>
      <c r="AF149" s="240">
        <v>2035</v>
      </c>
      <c r="AG149" s="240">
        <v>2036</v>
      </c>
      <c r="AH149" s="240">
        <v>2037</v>
      </c>
      <c r="AI149" s="240">
        <v>2038</v>
      </c>
      <c r="AJ149" s="240">
        <v>2039</v>
      </c>
      <c r="AK149" s="240">
        <v>2040</v>
      </c>
      <c r="AL149" s="240">
        <v>2041</v>
      </c>
      <c r="AM149" s="240">
        <v>2042</v>
      </c>
      <c r="AN149" s="240">
        <v>2043</v>
      </c>
      <c r="AO149" s="240">
        <v>2044</v>
      </c>
      <c r="AP149" s="240">
        <v>2045</v>
      </c>
      <c r="AQ149" s="240">
        <v>2046</v>
      </c>
      <c r="AR149" s="240">
        <v>2047</v>
      </c>
      <c r="AS149" s="240">
        <v>2048</v>
      </c>
      <c r="AT149" s="240">
        <v>2049</v>
      </c>
      <c r="AU149" s="240">
        <v>2050</v>
      </c>
      <c r="AV149" s="240">
        <v>2051</v>
      </c>
      <c r="AW149" s="240">
        <v>2052</v>
      </c>
      <c r="AX149" s="240">
        <v>2053</v>
      </c>
      <c r="AY149" s="241" t="s">
        <v>739</v>
      </c>
      <c r="BA149" s="247" t="s">
        <v>740</v>
      </c>
      <c r="BB149" s="241" t="s">
        <v>741</v>
      </c>
    </row>
    <row r="150" spans="2:57" s="248" customFormat="1" x14ac:dyDescent="0.25">
      <c r="B150" s="249"/>
      <c r="C150" s="249">
        <v>1</v>
      </c>
      <c r="D150" s="249" t="s">
        <v>1126</v>
      </c>
      <c r="E150" s="250"/>
      <c r="F150" s="249"/>
      <c r="G150" s="251">
        <v>3.2017000000000002</v>
      </c>
      <c r="H150" s="251">
        <v>3.2031999999999998</v>
      </c>
      <c r="I150" s="251" t="s">
        <v>748</v>
      </c>
      <c r="J150" s="252">
        <v>129553</v>
      </c>
      <c r="K150" s="253"/>
      <c r="L150" s="253"/>
      <c r="M150" s="253"/>
      <c r="N150" s="254"/>
      <c r="O150" s="254"/>
      <c r="P150" s="254"/>
      <c r="Q150" s="254" t="s">
        <v>749</v>
      </c>
      <c r="R150" s="254"/>
      <c r="S150" s="254"/>
      <c r="T150" s="256">
        <v>8936</v>
      </c>
      <c r="U150" s="256">
        <v>8936</v>
      </c>
      <c r="V150" s="256">
        <v>8936</v>
      </c>
      <c r="W150" s="256">
        <v>8936</v>
      </c>
      <c r="X150" s="256">
        <v>8936</v>
      </c>
      <c r="Y150" s="256">
        <v>8936</v>
      </c>
      <c r="Z150" s="256">
        <v>8936</v>
      </c>
      <c r="AA150" s="256">
        <v>8936</v>
      </c>
      <c r="AB150" s="256">
        <v>8936</v>
      </c>
      <c r="AC150" s="256">
        <v>2234</v>
      </c>
      <c r="AD150" s="256"/>
      <c r="AE150" s="256"/>
      <c r="AF150" s="256"/>
      <c r="AG150" s="256"/>
      <c r="AH150" s="256"/>
      <c r="AI150" s="256"/>
      <c r="AJ150" s="256"/>
      <c r="AK150" s="256"/>
      <c r="AL150" s="256"/>
      <c r="AM150" s="256"/>
      <c r="AN150" s="256"/>
      <c r="AO150" s="256"/>
      <c r="AP150" s="256"/>
      <c r="AQ150" s="256"/>
      <c r="AR150" s="256"/>
      <c r="AS150" s="256"/>
      <c r="AT150" s="256"/>
      <c r="AU150" s="256"/>
      <c r="AV150" s="256"/>
      <c r="AW150" s="256"/>
      <c r="AX150" s="256"/>
      <c r="AY150" s="259">
        <f t="shared" ref="AY150:AY164" si="37">SUM(T150:AX150)</f>
        <v>82658</v>
      </c>
      <c r="BA150" s="258">
        <f t="shared" ref="BA150:BA161" si="38">SUM(AA150:AX150)</f>
        <v>20106</v>
      </c>
      <c r="BB150" s="259">
        <f t="shared" ref="BB150:BB161" si="39">SUM(T150:Z150,BA150)</f>
        <v>82658</v>
      </c>
      <c r="BD150" s="248" t="b">
        <f t="shared" ref="BD150:BD164" si="40">AY150=BB150</f>
        <v>1</v>
      </c>
    </row>
    <row r="151" spans="2:57" x14ac:dyDescent="0.25">
      <c r="B151" s="261"/>
      <c r="C151" s="261"/>
      <c r="D151" s="261"/>
      <c r="E151" s="262"/>
      <c r="F151" s="261"/>
      <c r="G151" s="261"/>
      <c r="H151" s="261"/>
      <c r="I151" s="261"/>
      <c r="J151" s="263"/>
      <c r="K151" s="263"/>
      <c r="L151" s="263"/>
      <c r="M151" s="263"/>
      <c r="N151" s="264">
        <f t="shared" ref="N151:N161" si="41">SUM(O151:P151)</f>
        <v>3.0089999999999999</v>
      </c>
      <c r="O151" s="264">
        <v>2.7589999999999999</v>
      </c>
      <c r="P151" s="264">
        <v>0.25</v>
      </c>
      <c r="Q151" s="264" t="s">
        <v>751</v>
      </c>
      <c r="R151" s="264"/>
      <c r="S151" s="264"/>
      <c r="T151" s="266">
        <v>2756.0634599999998</v>
      </c>
      <c r="U151" s="266">
        <f>SUM(U150:$AV150)*$N151/100</f>
        <v>2218.2949800000001</v>
      </c>
      <c r="V151" s="266">
        <f>SUM(V150:$AV150)*$N151/100</f>
        <v>1949.41074</v>
      </c>
      <c r="W151" s="266">
        <f>SUM(W150:$AV150)*$N151/100</f>
        <v>1680.5264999999999</v>
      </c>
      <c r="X151" s="266">
        <f>SUM(X150:$AV150)*$N151/100</f>
        <v>1411.6422599999999</v>
      </c>
      <c r="Y151" s="266">
        <f>SUM(Y150:$AV150)*$N151/100</f>
        <v>1142.75802</v>
      </c>
      <c r="Z151" s="266">
        <f>SUM(Z150:$AV150)*$N151/100</f>
        <v>873.87378000000001</v>
      </c>
      <c r="AA151" s="266">
        <f>SUM(AA150:$AV150)*$N151/100</f>
        <v>604.98954000000003</v>
      </c>
      <c r="AB151" s="266">
        <f>SUM(AB150:$AV150)*$N151/100</f>
        <v>336.1053</v>
      </c>
      <c r="AC151" s="266">
        <f>SUM(AC150:$AV150)*$N151/100</f>
        <v>67.221059999999994</v>
      </c>
      <c r="AD151" s="266"/>
      <c r="AE151" s="266"/>
      <c r="AF151" s="266"/>
      <c r="AG151" s="266"/>
      <c r="AH151" s="266"/>
      <c r="AI151" s="266"/>
      <c r="AJ151" s="266"/>
      <c r="AK151" s="266"/>
      <c r="AL151" s="266"/>
      <c r="AM151" s="266"/>
      <c r="AN151" s="266"/>
      <c r="AO151" s="266"/>
      <c r="AP151" s="266"/>
      <c r="AQ151" s="266"/>
      <c r="AR151" s="266"/>
      <c r="AS151" s="266"/>
      <c r="AT151" s="266"/>
      <c r="AU151" s="266"/>
      <c r="AV151" s="266"/>
      <c r="AW151" s="266"/>
      <c r="AX151" s="266"/>
      <c r="AY151" s="269">
        <f t="shared" si="37"/>
        <v>13040.885639999999</v>
      </c>
      <c r="BA151" s="268">
        <f t="shared" si="38"/>
        <v>1008.3158999999999</v>
      </c>
      <c r="BB151" s="269">
        <f t="shared" si="39"/>
        <v>13040.885639999999</v>
      </c>
      <c r="BD151" s="225" t="b">
        <f t="shared" si="40"/>
        <v>1</v>
      </c>
    </row>
    <row r="152" spans="2:57" s="248" customFormat="1" x14ac:dyDescent="0.25">
      <c r="B152" s="249"/>
      <c r="C152" s="249">
        <v>2</v>
      </c>
      <c r="D152" s="249" t="s">
        <v>1127</v>
      </c>
      <c r="E152" s="250"/>
      <c r="F152" s="249"/>
      <c r="G152" s="319">
        <v>43832</v>
      </c>
      <c r="H152" s="319">
        <v>45656</v>
      </c>
      <c r="I152" s="251" t="s">
        <v>748</v>
      </c>
      <c r="J152" s="252">
        <v>44681</v>
      </c>
      <c r="K152" s="253"/>
      <c r="L152" s="253"/>
      <c r="M152" s="253"/>
      <c r="N152" s="254"/>
      <c r="O152" s="254"/>
      <c r="P152" s="254"/>
      <c r="Q152" s="254" t="s">
        <v>749</v>
      </c>
      <c r="R152" s="254"/>
      <c r="S152" s="254"/>
      <c r="T152" s="256">
        <v>5976</v>
      </c>
      <c r="U152" s="256">
        <v>5976</v>
      </c>
      <c r="V152" s="256">
        <v>446.95</v>
      </c>
      <c r="W152" s="256"/>
      <c r="X152" s="256"/>
      <c r="Y152" s="256"/>
      <c r="Z152" s="256"/>
      <c r="AA152" s="256"/>
      <c r="AB152" s="256"/>
      <c r="AC152" s="256"/>
      <c r="AD152" s="256"/>
      <c r="AE152" s="256"/>
      <c r="AF152" s="256"/>
      <c r="AG152" s="256"/>
      <c r="AH152" s="256"/>
      <c r="AI152" s="256"/>
      <c r="AJ152" s="256"/>
      <c r="AK152" s="256"/>
      <c r="AL152" s="256"/>
      <c r="AM152" s="256"/>
      <c r="AN152" s="256"/>
      <c r="AO152" s="256"/>
      <c r="AP152" s="256"/>
      <c r="AQ152" s="256"/>
      <c r="AR152" s="256"/>
      <c r="AS152" s="256"/>
      <c r="AT152" s="256"/>
      <c r="AU152" s="256"/>
      <c r="AV152" s="256"/>
      <c r="AW152" s="256"/>
      <c r="AX152" s="256"/>
      <c r="AY152" s="259">
        <f t="shared" si="37"/>
        <v>12398.95</v>
      </c>
      <c r="BA152" s="258">
        <f t="shared" si="38"/>
        <v>0</v>
      </c>
      <c r="BB152" s="259">
        <f t="shared" si="39"/>
        <v>12398.95</v>
      </c>
      <c r="BD152" s="248" t="b">
        <f t="shared" si="40"/>
        <v>1</v>
      </c>
    </row>
    <row r="153" spans="2:57" x14ac:dyDescent="0.25">
      <c r="B153" s="261"/>
      <c r="C153" s="261"/>
      <c r="D153" s="261"/>
      <c r="E153" s="262"/>
      <c r="F153" s="261"/>
      <c r="G153" s="261"/>
      <c r="H153" s="261"/>
      <c r="I153" s="261"/>
      <c r="J153" s="263"/>
      <c r="K153" s="263"/>
      <c r="L153" s="263"/>
      <c r="M153" s="263"/>
      <c r="N153" s="264">
        <f t="shared" si="41"/>
        <v>0.85599999999999998</v>
      </c>
      <c r="O153" s="264">
        <v>0.35599999999999998</v>
      </c>
      <c r="P153" s="264">
        <v>0.5</v>
      </c>
      <c r="Q153" s="264" t="s">
        <v>751</v>
      </c>
      <c r="R153" s="264"/>
      <c r="S153" s="264"/>
      <c r="T153" s="266"/>
      <c r="U153" s="266"/>
      <c r="V153" s="266"/>
      <c r="W153" s="266"/>
      <c r="X153" s="266"/>
      <c r="Y153" s="266"/>
      <c r="Z153" s="266"/>
      <c r="AA153" s="266"/>
      <c r="AB153" s="266"/>
      <c r="AC153" s="266"/>
      <c r="AD153" s="266"/>
      <c r="AE153" s="266"/>
      <c r="AF153" s="266"/>
      <c r="AG153" s="266"/>
      <c r="AH153" s="266"/>
      <c r="AI153" s="266"/>
      <c r="AJ153" s="266"/>
      <c r="AK153" s="266"/>
      <c r="AL153" s="266"/>
      <c r="AM153" s="266"/>
      <c r="AN153" s="266"/>
      <c r="AO153" s="266"/>
      <c r="AP153" s="266"/>
      <c r="AQ153" s="266"/>
      <c r="AR153" s="266"/>
      <c r="AS153" s="266"/>
      <c r="AT153" s="266"/>
      <c r="AU153" s="266"/>
      <c r="AV153" s="266"/>
      <c r="AW153" s="266"/>
      <c r="AX153" s="266"/>
      <c r="AY153" s="269">
        <f t="shared" si="37"/>
        <v>0</v>
      </c>
      <c r="BA153" s="268">
        <f t="shared" si="38"/>
        <v>0</v>
      </c>
      <c r="BB153" s="269">
        <f t="shared" si="39"/>
        <v>0</v>
      </c>
      <c r="BD153" s="225" t="b">
        <f t="shared" si="40"/>
        <v>1</v>
      </c>
    </row>
    <row r="154" spans="2:57" s="248" customFormat="1" x14ac:dyDescent="0.25">
      <c r="B154" s="249"/>
      <c r="C154" s="249">
        <v>3</v>
      </c>
      <c r="D154" s="249" t="s">
        <v>1128</v>
      </c>
      <c r="E154" s="250"/>
      <c r="F154" s="249"/>
      <c r="G154" s="319">
        <v>44151</v>
      </c>
      <c r="H154" s="319">
        <v>45981</v>
      </c>
      <c r="I154" s="251" t="s">
        <v>748</v>
      </c>
      <c r="J154" s="252">
        <v>82111</v>
      </c>
      <c r="K154" s="253"/>
      <c r="L154" s="253"/>
      <c r="M154" s="253"/>
      <c r="N154" s="254"/>
      <c r="O154" s="254"/>
      <c r="P154" s="254"/>
      <c r="Q154" s="254" t="s">
        <v>749</v>
      </c>
      <c r="R154" s="254"/>
      <c r="S154" s="254"/>
      <c r="T154" s="256">
        <v>15204.36</v>
      </c>
      <c r="U154" s="256">
        <v>15204.36</v>
      </c>
      <c r="V154" s="256">
        <v>13937.16</v>
      </c>
      <c r="W154" s="256"/>
      <c r="X154" s="256"/>
      <c r="Y154" s="256"/>
      <c r="Z154" s="256"/>
      <c r="AA154" s="256"/>
      <c r="AB154" s="256"/>
      <c r="AC154" s="256"/>
      <c r="AD154" s="256"/>
      <c r="AE154" s="256"/>
      <c r="AF154" s="256"/>
      <c r="AG154" s="256"/>
      <c r="AH154" s="256"/>
      <c r="AI154" s="256"/>
      <c r="AJ154" s="256"/>
      <c r="AK154" s="256"/>
      <c r="AL154" s="256"/>
      <c r="AM154" s="256"/>
      <c r="AN154" s="256"/>
      <c r="AO154" s="256"/>
      <c r="AP154" s="256"/>
      <c r="AQ154" s="256"/>
      <c r="AR154" s="256"/>
      <c r="AS154" s="256"/>
      <c r="AT154" s="256"/>
      <c r="AU154" s="256"/>
      <c r="AV154" s="256"/>
      <c r="AW154" s="256"/>
      <c r="AX154" s="256"/>
      <c r="AY154" s="259">
        <f t="shared" si="37"/>
        <v>44345.880000000005</v>
      </c>
      <c r="BA154" s="258">
        <f t="shared" si="38"/>
        <v>0</v>
      </c>
      <c r="BB154" s="259">
        <f t="shared" si="39"/>
        <v>44345.880000000005</v>
      </c>
      <c r="BD154" s="248" t="b">
        <f t="shared" si="40"/>
        <v>1</v>
      </c>
    </row>
    <row r="155" spans="2:57" x14ac:dyDescent="0.25">
      <c r="B155" s="261"/>
      <c r="C155" s="261"/>
      <c r="D155" s="261"/>
      <c r="E155" s="262"/>
      <c r="F155" s="261"/>
      <c r="G155" s="261"/>
      <c r="H155" s="261"/>
      <c r="I155" s="261"/>
      <c r="J155" s="263"/>
      <c r="K155" s="263"/>
      <c r="L155" s="263"/>
      <c r="M155" s="263"/>
      <c r="N155" s="264">
        <f t="shared" si="41"/>
        <v>0.85599999999999998</v>
      </c>
      <c r="O155" s="264">
        <v>0.35599999999999998</v>
      </c>
      <c r="P155" s="264">
        <v>0.5</v>
      </c>
      <c r="Q155" s="264" t="s">
        <v>751</v>
      </c>
      <c r="R155" s="264"/>
      <c r="S155" s="264"/>
      <c r="T155" s="266"/>
      <c r="U155" s="266"/>
      <c r="V155" s="266"/>
      <c r="W155" s="266"/>
      <c r="X155" s="266"/>
      <c r="Y155" s="266"/>
      <c r="Z155" s="266"/>
      <c r="AA155" s="266"/>
      <c r="AB155" s="266"/>
      <c r="AC155" s="266"/>
      <c r="AD155" s="266"/>
      <c r="AE155" s="266"/>
      <c r="AF155" s="266"/>
      <c r="AG155" s="266"/>
      <c r="AH155" s="266"/>
      <c r="AI155" s="266"/>
      <c r="AJ155" s="266"/>
      <c r="AK155" s="266"/>
      <c r="AL155" s="266"/>
      <c r="AM155" s="266"/>
      <c r="AN155" s="266"/>
      <c r="AO155" s="266"/>
      <c r="AP155" s="266"/>
      <c r="AQ155" s="266"/>
      <c r="AR155" s="266"/>
      <c r="AS155" s="266"/>
      <c r="AT155" s="266"/>
      <c r="AU155" s="266"/>
      <c r="AV155" s="266"/>
      <c r="AW155" s="266"/>
      <c r="AX155" s="266"/>
      <c r="AY155" s="269">
        <f t="shared" si="37"/>
        <v>0</v>
      </c>
      <c r="BA155" s="268">
        <f t="shared" si="38"/>
        <v>0</v>
      </c>
      <c r="BB155" s="269">
        <f t="shared" si="39"/>
        <v>0</v>
      </c>
      <c r="BD155" s="225" t="b">
        <f t="shared" si="40"/>
        <v>1</v>
      </c>
    </row>
    <row r="156" spans="2:57" s="248" customFormat="1" x14ac:dyDescent="0.25">
      <c r="B156" s="249"/>
      <c r="C156" s="249">
        <v>4</v>
      </c>
      <c r="D156" s="249" t="s">
        <v>1129</v>
      </c>
      <c r="E156" s="250"/>
      <c r="F156" s="249"/>
      <c r="G156" s="319">
        <v>44313</v>
      </c>
      <c r="H156" s="319">
        <v>45774</v>
      </c>
      <c r="I156" s="251" t="s">
        <v>748</v>
      </c>
      <c r="J156" s="252">
        <v>33649.81</v>
      </c>
      <c r="K156" s="253"/>
      <c r="L156" s="253"/>
      <c r="M156" s="253"/>
      <c r="N156" s="254"/>
      <c r="O156" s="254"/>
      <c r="P156" s="254"/>
      <c r="Q156" s="254" t="s">
        <v>749</v>
      </c>
      <c r="R156" s="254"/>
      <c r="S156" s="254"/>
      <c r="T156" s="256">
        <v>8424</v>
      </c>
      <c r="U156" s="256">
        <v>8424</v>
      </c>
      <c r="V156" s="256">
        <v>2808</v>
      </c>
      <c r="W156" s="256"/>
      <c r="X156" s="256"/>
      <c r="Y156" s="256"/>
      <c r="Z156" s="256"/>
      <c r="AA156" s="256"/>
      <c r="AB156" s="256"/>
      <c r="AC156" s="256"/>
      <c r="AD156" s="256"/>
      <c r="AE156" s="256"/>
      <c r="AF156" s="256"/>
      <c r="AG156" s="256"/>
      <c r="AH156" s="256"/>
      <c r="AI156" s="256"/>
      <c r="AJ156" s="256"/>
      <c r="AK156" s="256"/>
      <c r="AL156" s="256"/>
      <c r="AM156" s="256"/>
      <c r="AN156" s="256"/>
      <c r="AO156" s="256"/>
      <c r="AP156" s="256"/>
      <c r="AQ156" s="256"/>
      <c r="AR156" s="256"/>
      <c r="AS156" s="256"/>
      <c r="AT156" s="256"/>
      <c r="AU156" s="256"/>
      <c r="AV156" s="256"/>
      <c r="AW156" s="256"/>
      <c r="AX156" s="256"/>
      <c r="AY156" s="259">
        <f t="shared" si="37"/>
        <v>19656</v>
      </c>
      <c r="BA156" s="258">
        <f t="shared" si="38"/>
        <v>0</v>
      </c>
      <c r="BB156" s="259">
        <f t="shared" si="39"/>
        <v>19656</v>
      </c>
      <c r="BD156" s="248" t="b">
        <f t="shared" si="40"/>
        <v>1</v>
      </c>
    </row>
    <row r="157" spans="2:57" ht="13.9" customHeight="1" x14ac:dyDescent="0.25">
      <c r="B157" s="261"/>
      <c r="C157" s="261"/>
      <c r="D157" s="261"/>
      <c r="E157" s="262"/>
      <c r="F157" s="261"/>
      <c r="G157" s="261"/>
      <c r="H157" s="261"/>
      <c r="I157" s="261"/>
      <c r="J157" s="263"/>
      <c r="K157" s="263"/>
      <c r="L157" s="263"/>
      <c r="M157" s="263"/>
      <c r="N157" s="264">
        <f t="shared" si="41"/>
        <v>0.85599999999999998</v>
      </c>
      <c r="O157" s="264">
        <v>0.35599999999999998</v>
      </c>
      <c r="P157" s="264">
        <v>0.5</v>
      </c>
      <c r="Q157" s="264" t="s">
        <v>751</v>
      </c>
      <c r="R157" s="264"/>
      <c r="S157" s="264"/>
      <c r="T157" s="266"/>
      <c r="U157" s="266"/>
      <c r="V157" s="266"/>
      <c r="W157" s="266"/>
      <c r="X157" s="266"/>
      <c r="Y157" s="266"/>
      <c r="Z157" s="266"/>
      <c r="AA157" s="266"/>
      <c r="AB157" s="266"/>
      <c r="AC157" s="266"/>
      <c r="AD157" s="266"/>
      <c r="AE157" s="266"/>
      <c r="AF157" s="266"/>
      <c r="AG157" s="266"/>
      <c r="AH157" s="266"/>
      <c r="AI157" s="266"/>
      <c r="AJ157" s="266"/>
      <c r="AK157" s="266"/>
      <c r="AL157" s="266"/>
      <c r="AM157" s="266"/>
      <c r="AN157" s="266"/>
      <c r="AO157" s="266"/>
      <c r="AP157" s="266"/>
      <c r="AQ157" s="266"/>
      <c r="AR157" s="266"/>
      <c r="AS157" s="266"/>
      <c r="AT157" s="266"/>
      <c r="AU157" s="266"/>
      <c r="AV157" s="266"/>
      <c r="AW157" s="266"/>
      <c r="AX157" s="266"/>
      <c r="AY157" s="269">
        <f t="shared" si="37"/>
        <v>0</v>
      </c>
      <c r="BA157" s="268">
        <f t="shared" si="38"/>
        <v>0</v>
      </c>
      <c r="BB157" s="269">
        <f t="shared" si="39"/>
        <v>0</v>
      </c>
      <c r="BD157" s="225" t="b">
        <f t="shared" si="40"/>
        <v>1</v>
      </c>
    </row>
    <row r="158" spans="2:57" s="248" customFormat="1" x14ac:dyDescent="0.25">
      <c r="B158" s="249"/>
      <c r="C158" s="249">
        <v>5</v>
      </c>
      <c r="D158" s="249" t="s">
        <v>1126</v>
      </c>
      <c r="E158" s="250"/>
      <c r="F158" s="249"/>
      <c r="G158" s="319">
        <v>44655</v>
      </c>
      <c r="H158" s="319">
        <v>55598</v>
      </c>
      <c r="I158" s="251" t="s">
        <v>748</v>
      </c>
      <c r="J158" s="252">
        <v>2209678</v>
      </c>
      <c r="K158" s="253"/>
      <c r="L158" s="253"/>
      <c r="M158" s="253"/>
      <c r="N158" s="254"/>
      <c r="O158" s="254"/>
      <c r="P158" s="254"/>
      <c r="Q158" s="254" t="s">
        <v>749</v>
      </c>
      <c r="R158" s="254"/>
      <c r="S158" s="254"/>
      <c r="T158" s="256">
        <v>0</v>
      </c>
      <c r="U158" s="256"/>
      <c r="V158" s="256">
        <v>67990</v>
      </c>
      <c r="W158" s="256">
        <v>81588</v>
      </c>
      <c r="X158" s="256">
        <v>81588</v>
      </c>
      <c r="Y158" s="256">
        <v>81588</v>
      </c>
      <c r="Z158" s="256">
        <v>81588</v>
      </c>
      <c r="AA158" s="256">
        <v>81588</v>
      </c>
      <c r="AB158" s="256">
        <v>81588</v>
      </c>
      <c r="AC158" s="256">
        <v>81588</v>
      </c>
      <c r="AD158" s="256">
        <v>81588</v>
      </c>
      <c r="AE158" s="256">
        <v>81588</v>
      </c>
      <c r="AF158" s="256">
        <v>81588</v>
      </c>
      <c r="AG158" s="256">
        <v>81588</v>
      </c>
      <c r="AH158" s="256">
        <v>81588</v>
      </c>
      <c r="AI158" s="256">
        <v>81588</v>
      </c>
      <c r="AJ158" s="256">
        <v>81588</v>
      </c>
      <c r="AK158" s="256">
        <v>81588</v>
      </c>
      <c r="AL158" s="256">
        <v>81588</v>
      </c>
      <c r="AM158" s="256">
        <v>81588</v>
      </c>
      <c r="AN158" s="256">
        <v>81588</v>
      </c>
      <c r="AO158" s="256">
        <v>81588</v>
      </c>
      <c r="AP158" s="256">
        <v>81588</v>
      </c>
      <c r="AQ158" s="256">
        <v>81588</v>
      </c>
      <c r="AR158" s="256">
        <v>81588</v>
      </c>
      <c r="AS158" s="256">
        <v>81588</v>
      </c>
      <c r="AT158" s="256">
        <v>81588</v>
      </c>
      <c r="AU158" s="256">
        <v>81588</v>
      </c>
      <c r="AV158" s="256">
        <v>81588</v>
      </c>
      <c r="AW158" s="256">
        <v>81588</v>
      </c>
      <c r="AX158" s="256">
        <v>20400</v>
      </c>
      <c r="AY158" s="259">
        <f t="shared" si="37"/>
        <v>2291266</v>
      </c>
      <c r="BA158" s="258">
        <f t="shared" si="38"/>
        <v>1896924</v>
      </c>
      <c r="BB158" s="259">
        <f t="shared" si="39"/>
        <v>2291266</v>
      </c>
      <c r="BD158" s="248" t="b">
        <f t="shared" si="40"/>
        <v>1</v>
      </c>
    </row>
    <row r="159" spans="2:57" x14ac:dyDescent="0.25">
      <c r="B159" s="261"/>
      <c r="C159" s="261"/>
      <c r="D159" s="261"/>
      <c r="E159" s="262"/>
      <c r="F159" s="261"/>
      <c r="G159" s="261"/>
      <c r="H159" s="261"/>
      <c r="I159" s="261"/>
      <c r="J159" s="263"/>
      <c r="K159" s="263"/>
      <c r="L159" s="263"/>
      <c r="M159" s="263"/>
      <c r="N159" s="264">
        <f t="shared" si="41"/>
        <v>3.008</v>
      </c>
      <c r="O159" s="264">
        <v>2.758</v>
      </c>
      <c r="P159" s="264">
        <v>0.25</v>
      </c>
      <c r="Q159" s="264" t="s">
        <v>751</v>
      </c>
      <c r="R159" s="264"/>
      <c r="S159" s="264"/>
      <c r="T159" s="266">
        <v>46207.281279999996</v>
      </c>
      <c r="U159" s="266">
        <f>SUM(U158:$AX158)*$N159/100</f>
        <v>68921.281279999996</v>
      </c>
      <c r="V159" s="266">
        <f>SUM(V158:$AX158)*$N159/100</f>
        <v>68921.281279999996</v>
      </c>
      <c r="W159" s="266">
        <f>SUM(W158:$AX158)*$N159/100</f>
        <v>66876.142079999991</v>
      </c>
      <c r="X159" s="266">
        <f>SUM(X158:$AX158)*$N159/100</f>
        <v>64421.975039999998</v>
      </c>
      <c r="Y159" s="266">
        <f>SUM(Y158:$AX158)*$N159/100</f>
        <v>61967.807999999997</v>
      </c>
      <c r="Z159" s="266">
        <f>SUM(Z158:$AX158)*$N159/100</f>
        <v>59513.640959999997</v>
      </c>
      <c r="AA159" s="266">
        <f>SUM(AA158:$AX158)*$N159/100</f>
        <v>57059.473919999997</v>
      </c>
      <c r="AB159" s="266">
        <f>SUM(AB158:$AX158)*$N159/100</f>
        <v>54605.306880000004</v>
      </c>
      <c r="AC159" s="266">
        <f>SUM(AC158:$AX158)*$N159/100</f>
        <v>52151.139840000003</v>
      </c>
      <c r="AD159" s="266">
        <f>SUM(AD158:$AX158)*$N159/100</f>
        <v>49696.972800000003</v>
      </c>
      <c r="AE159" s="266">
        <f>SUM(AE158:$AX158)*$N159/100</f>
        <v>47242.805760000003</v>
      </c>
      <c r="AF159" s="266">
        <f>SUM(AF158:$AX158)*$N159/100</f>
        <v>44788.638720000003</v>
      </c>
      <c r="AG159" s="266">
        <f>SUM(AG158:$AX158)*$N159/100</f>
        <v>42334.471679999995</v>
      </c>
      <c r="AH159" s="266">
        <f>SUM(AH158:$AX158)*$N159/100</f>
        <v>39880.304640000002</v>
      </c>
      <c r="AI159" s="266">
        <f>SUM(AI158:$AX158)*$N159/100</f>
        <v>37426.137599999995</v>
      </c>
      <c r="AJ159" s="266">
        <f>SUM(AJ158:$AX158)*$N159/100</f>
        <v>34971.970560000002</v>
      </c>
      <c r="AK159" s="266">
        <f>SUM(AK158:$AX158)*$N159/100</f>
        <v>32517.803520000001</v>
      </c>
      <c r="AL159" s="266">
        <f>SUM(AL158:$AX158)*$N159/100</f>
        <v>30063.636480000001</v>
      </c>
      <c r="AM159" s="266">
        <f>SUM(AM158:$AX158)*$N159/100</f>
        <v>27609.469440000001</v>
      </c>
      <c r="AN159" s="266">
        <f>SUM(AN158:$AX158)*$N159/100</f>
        <v>25155.3024</v>
      </c>
      <c r="AO159" s="266">
        <f>SUM(AO158:$AX158)*$N159/100</f>
        <v>22701.13536</v>
      </c>
      <c r="AP159" s="266">
        <f>SUM(AP158:$AX158)*$N159/100</f>
        <v>20246.96832</v>
      </c>
      <c r="AQ159" s="266">
        <f>SUM(AQ158:$AX158)*$N159/100</f>
        <v>17792.80128</v>
      </c>
      <c r="AR159" s="266">
        <f>SUM(AR158:$AX158)*$N159/100</f>
        <v>15338.634240000001</v>
      </c>
      <c r="AS159" s="266">
        <f>SUM(AS158:$AX158)*$N159/100</f>
        <v>12884.467199999999</v>
      </c>
      <c r="AT159" s="266">
        <f>SUM(AT158:$AX158)*$N159/100</f>
        <v>10430.300159999999</v>
      </c>
      <c r="AU159" s="266">
        <f>SUM(AU158:$AX158)*$N159/100</f>
        <v>7976.1331200000004</v>
      </c>
      <c r="AV159" s="266">
        <f>SUM(AV158:$AX158)*$N159/100</f>
        <v>5521.9660800000001</v>
      </c>
      <c r="AW159" s="266">
        <f>SUM(AW158:$AX158)*$N159/100</f>
        <v>3067.7990399999999</v>
      </c>
      <c r="AX159" s="266">
        <f>SUM(AX158:$AX158)*$N159/100</f>
        <v>613.63199999999995</v>
      </c>
      <c r="AY159" s="269">
        <f t="shared" si="37"/>
        <v>1128906.68096</v>
      </c>
      <c r="AZ159" s="232"/>
      <c r="BA159" s="268">
        <f t="shared" si="38"/>
        <v>692077.27104000002</v>
      </c>
      <c r="BB159" s="269">
        <f t="shared" si="39"/>
        <v>1128906.68096</v>
      </c>
      <c r="BD159" s="225" t="b">
        <f t="shared" si="40"/>
        <v>1</v>
      </c>
    </row>
    <row r="160" spans="2:57" s="248" customFormat="1" x14ac:dyDescent="0.25">
      <c r="B160" s="249"/>
      <c r="C160" s="249">
        <v>6</v>
      </c>
      <c r="D160" s="249" t="s">
        <v>1130</v>
      </c>
      <c r="E160" s="250"/>
      <c r="F160" s="249"/>
      <c r="G160" s="319">
        <v>45112</v>
      </c>
      <c r="H160" s="319">
        <v>46965</v>
      </c>
      <c r="I160" s="251" t="s">
        <v>748</v>
      </c>
      <c r="J160" s="252">
        <v>134432.07999999999</v>
      </c>
      <c r="K160" s="253"/>
      <c r="L160" s="253"/>
      <c r="M160" s="253"/>
      <c r="N160" s="254"/>
      <c r="O160" s="254"/>
      <c r="P160" s="254"/>
      <c r="Q160" s="254" t="s">
        <v>749</v>
      </c>
      <c r="R160" s="254"/>
      <c r="S160" s="254"/>
      <c r="T160" s="256">
        <v>27121</v>
      </c>
      <c r="U160" s="256">
        <v>24300</v>
      </c>
      <c r="V160" s="256">
        <v>24300</v>
      </c>
      <c r="W160" s="256">
        <v>24300</v>
      </c>
      <c r="X160" s="256">
        <v>24300</v>
      </c>
      <c r="Y160" s="256">
        <v>10125</v>
      </c>
      <c r="Z160" s="256"/>
      <c r="AA160" s="256"/>
      <c r="AB160" s="256"/>
      <c r="AC160" s="256"/>
      <c r="AD160" s="256"/>
      <c r="AE160" s="256"/>
      <c r="AF160" s="256"/>
      <c r="AG160" s="256"/>
      <c r="AH160" s="256"/>
      <c r="AI160" s="256"/>
      <c r="AJ160" s="256"/>
      <c r="AK160" s="256"/>
      <c r="AL160" s="256"/>
      <c r="AM160" s="256"/>
      <c r="AN160" s="256"/>
      <c r="AO160" s="256"/>
      <c r="AP160" s="256"/>
      <c r="AQ160" s="256"/>
      <c r="AR160" s="256"/>
      <c r="AS160" s="256"/>
      <c r="AT160" s="256"/>
      <c r="AU160" s="256"/>
      <c r="AV160" s="256"/>
      <c r="AW160" s="256"/>
      <c r="AX160" s="256"/>
      <c r="AY160" s="259">
        <f t="shared" si="37"/>
        <v>134446</v>
      </c>
      <c r="BA160" s="258">
        <f t="shared" si="38"/>
        <v>0</v>
      </c>
      <c r="BB160" s="259">
        <f t="shared" si="39"/>
        <v>134446</v>
      </c>
      <c r="BD160" s="248" t="b">
        <f t="shared" si="40"/>
        <v>1</v>
      </c>
    </row>
    <row r="161" spans="2:56" x14ac:dyDescent="0.25">
      <c r="B161" s="261"/>
      <c r="C161" s="261"/>
      <c r="D161" s="261"/>
      <c r="E161" s="262"/>
      <c r="F161" s="261"/>
      <c r="G161" s="261"/>
      <c r="H161" s="261"/>
      <c r="I161" s="261"/>
      <c r="J161" s="263"/>
      <c r="K161" s="263"/>
      <c r="L161" s="263"/>
      <c r="M161" s="263"/>
      <c r="N161" s="264">
        <f t="shared" si="41"/>
        <v>3.008</v>
      </c>
      <c r="O161" s="264">
        <v>2.758</v>
      </c>
      <c r="P161" s="264">
        <v>0.25</v>
      </c>
      <c r="Q161" s="264" t="s">
        <v>751</v>
      </c>
      <c r="R161" s="264"/>
      <c r="S161" s="264"/>
      <c r="T161" s="320"/>
      <c r="U161" s="266"/>
      <c r="V161" s="266"/>
      <c r="W161" s="266"/>
      <c r="X161" s="266"/>
      <c r="Y161" s="266"/>
      <c r="Z161" s="266"/>
      <c r="AA161" s="266"/>
      <c r="AB161" s="266"/>
      <c r="AC161" s="266"/>
      <c r="AD161" s="266"/>
      <c r="AE161" s="266"/>
      <c r="AF161" s="266"/>
      <c r="AG161" s="266"/>
      <c r="AH161" s="266"/>
      <c r="AI161" s="266"/>
      <c r="AJ161" s="266"/>
      <c r="AK161" s="266"/>
      <c r="AL161" s="266"/>
      <c r="AM161" s="266"/>
      <c r="AN161" s="266"/>
      <c r="AO161" s="266"/>
      <c r="AP161" s="266"/>
      <c r="AQ161" s="266"/>
      <c r="AR161" s="266"/>
      <c r="AS161" s="266"/>
      <c r="AT161" s="266"/>
      <c r="AU161" s="266"/>
      <c r="AV161" s="266"/>
      <c r="AW161" s="266"/>
      <c r="AX161" s="266"/>
      <c r="AY161" s="269">
        <f t="shared" si="37"/>
        <v>0</v>
      </c>
      <c r="BA161" s="268">
        <f t="shared" si="38"/>
        <v>0</v>
      </c>
      <c r="BB161" s="269">
        <f t="shared" si="39"/>
        <v>0</v>
      </c>
      <c r="BD161" s="225" t="b">
        <f t="shared" si="40"/>
        <v>1</v>
      </c>
    </row>
    <row r="162" spans="2:56" s="278" customFormat="1" x14ac:dyDescent="0.25">
      <c r="B162" s="250"/>
      <c r="C162" s="250">
        <v>7</v>
      </c>
      <c r="D162" s="250" t="s">
        <v>1126</v>
      </c>
      <c r="E162" s="250"/>
      <c r="F162" s="250"/>
      <c r="G162" s="274" t="s">
        <v>1104</v>
      </c>
      <c r="H162" s="274">
        <v>49572</v>
      </c>
      <c r="I162" s="275" t="s">
        <v>748</v>
      </c>
      <c r="J162" s="252">
        <v>801681</v>
      </c>
      <c r="K162" s="253"/>
      <c r="L162" s="253"/>
      <c r="M162" s="253"/>
      <c r="N162" s="254"/>
      <c r="O162" s="254"/>
      <c r="P162" s="254"/>
      <c r="Q162" s="254" t="s">
        <v>749</v>
      </c>
      <c r="R162" s="254"/>
      <c r="S162" s="254"/>
      <c r="T162" s="256"/>
      <c r="U162" s="256"/>
      <c r="V162" s="256"/>
      <c r="W162" s="256"/>
      <c r="X162" s="256">
        <f t="shared" ref="X162:AG162" si="42">$J$162/40*4</f>
        <v>80168.100000000006</v>
      </c>
      <c r="Y162" s="256">
        <f t="shared" si="42"/>
        <v>80168.100000000006</v>
      </c>
      <c r="Z162" s="256">
        <f t="shared" si="42"/>
        <v>80168.100000000006</v>
      </c>
      <c r="AA162" s="256">
        <f t="shared" si="42"/>
        <v>80168.100000000006</v>
      </c>
      <c r="AB162" s="256">
        <f t="shared" si="42"/>
        <v>80168.100000000006</v>
      </c>
      <c r="AC162" s="256">
        <f t="shared" si="42"/>
        <v>80168.100000000006</v>
      </c>
      <c r="AD162" s="256">
        <f t="shared" si="42"/>
        <v>80168.100000000006</v>
      </c>
      <c r="AE162" s="256">
        <f t="shared" si="42"/>
        <v>80168.100000000006</v>
      </c>
      <c r="AF162" s="256">
        <f t="shared" si="42"/>
        <v>80168.100000000006</v>
      </c>
      <c r="AG162" s="256">
        <f t="shared" si="42"/>
        <v>80168.100000000006</v>
      </c>
      <c r="AH162" s="256"/>
      <c r="AI162" s="256"/>
      <c r="AJ162" s="256"/>
      <c r="AK162" s="256"/>
      <c r="AL162" s="256"/>
      <c r="AM162" s="256"/>
      <c r="AN162" s="256"/>
      <c r="AO162" s="256"/>
      <c r="AP162" s="256"/>
      <c r="AQ162" s="256"/>
      <c r="AR162" s="256"/>
      <c r="AS162" s="256"/>
      <c r="AT162" s="256"/>
      <c r="AU162" s="256"/>
      <c r="AV162" s="256"/>
      <c r="AW162" s="256"/>
      <c r="AX162" s="256"/>
      <c r="AY162" s="259">
        <f t="shared" ref="AY162:AY163" si="43">SUM(T162:AX162)</f>
        <v>801680.99999999988</v>
      </c>
      <c r="BA162" s="258">
        <f>SUM(AA162:AX162)</f>
        <v>561176.69999999995</v>
      </c>
      <c r="BB162" s="259">
        <f>SUM(T162:Z162,BA162)</f>
        <v>801681</v>
      </c>
      <c r="BD162" s="278" t="b">
        <f t="shared" si="40"/>
        <v>1</v>
      </c>
    </row>
    <row r="163" spans="2:56" s="227" customFormat="1" x14ac:dyDescent="0.25">
      <c r="B163" s="262"/>
      <c r="C163" s="262"/>
      <c r="D163" s="279" t="s">
        <v>1131</v>
      </c>
      <c r="E163" s="262"/>
      <c r="F163" s="262"/>
      <c r="G163" s="262"/>
      <c r="H163" s="262"/>
      <c r="I163" s="262"/>
      <c r="J163" s="263"/>
      <c r="K163" s="263"/>
      <c r="L163" s="263"/>
      <c r="M163" s="263"/>
      <c r="N163" s="264">
        <f t="shared" ref="N163" si="44">SUM(O163:P163)</f>
        <v>4.915</v>
      </c>
      <c r="O163" s="264">
        <v>4.665</v>
      </c>
      <c r="P163" s="264">
        <v>0.25</v>
      </c>
      <c r="Q163" s="264" t="s">
        <v>751</v>
      </c>
      <c r="R163" s="264"/>
      <c r="S163" s="264"/>
      <c r="T163" s="266"/>
      <c r="U163" s="266">
        <f>SUM(U162:$AX162)*$N163/100</f>
        <v>39402.621149999992</v>
      </c>
      <c r="V163" s="266">
        <f>SUM(V162:$AX162)*$N163/100</f>
        <v>39402.621149999992</v>
      </c>
      <c r="W163" s="266">
        <f>SUM(W162:$AX162)*$N163/100</f>
        <v>39402.621149999992</v>
      </c>
      <c r="X163" s="266">
        <f>SUM(X162:$AX162)*$N163/100</f>
        <v>39402.621149999992</v>
      </c>
      <c r="Y163" s="266">
        <f>SUM(Y162:$AX162)*$N163/100</f>
        <v>35462.359034999994</v>
      </c>
      <c r="Z163" s="266">
        <f>SUM(Z162:$AX162)*$N163/100</f>
        <v>31522.096919999996</v>
      </c>
      <c r="AA163" s="266">
        <f>SUM(AA162:$AX162)*$N163/100</f>
        <v>27581.834804999995</v>
      </c>
      <c r="AB163" s="266">
        <f>SUM(AB162:$AX162)*$N163/100</f>
        <v>23641.572689999997</v>
      </c>
      <c r="AC163" s="266">
        <f>SUM(AC162:$AX162)*$N163/100</f>
        <v>19701.310575</v>
      </c>
      <c r="AD163" s="266">
        <f>SUM(AD162:$AX162)*$N163/100</f>
        <v>15761.048460000002</v>
      </c>
      <c r="AE163" s="266">
        <f>SUM(AE162:$AX162)*$N163/100</f>
        <v>11820.786345000002</v>
      </c>
      <c r="AF163" s="266">
        <f>SUM(AF162:$AX162)*$N163/100</f>
        <v>7880.5242300000009</v>
      </c>
      <c r="AG163" s="266">
        <f>SUM(AG162:$AX162)*$N163/100</f>
        <v>3940.2621150000004</v>
      </c>
      <c r="AH163" s="266">
        <f>SUM(AH162:$AX162)*$N163/100</f>
        <v>0</v>
      </c>
      <c r="AI163" s="266">
        <f>SUM(AI162:$AX162)*$N163/100</f>
        <v>0</v>
      </c>
      <c r="AJ163" s="266">
        <f>SUM(AJ162:$AX162)*$N163/100</f>
        <v>0</v>
      </c>
      <c r="AK163" s="266">
        <f>SUM(AK162:$AX162)*$N163/100</f>
        <v>0</v>
      </c>
      <c r="AL163" s="266">
        <f>SUM(AL162:$AX162)*$N163/100</f>
        <v>0</v>
      </c>
      <c r="AM163" s="266">
        <f>SUM(AM162:$AX162)*$N163/100</f>
        <v>0</v>
      </c>
      <c r="AN163" s="266">
        <f>SUM(AN162:$AX162)*$N163/100</f>
        <v>0</v>
      </c>
      <c r="AO163" s="266">
        <f>SUM(AO162:$AX162)*$N163/100</f>
        <v>0</v>
      </c>
      <c r="AP163" s="266">
        <f>SUM(AP162:$AX162)*$N163/100</f>
        <v>0</v>
      </c>
      <c r="AQ163" s="266">
        <f>SUM(AQ162:$AX162)*$N163/100</f>
        <v>0</v>
      </c>
      <c r="AR163" s="266">
        <f>SUM(AR162:$AX162)*$N163/100</f>
        <v>0</v>
      </c>
      <c r="AS163" s="266">
        <f>SUM(AS162:$AX162)*$N163/100</f>
        <v>0</v>
      </c>
      <c r="AT163" s="266">
        <f>SUM(AT162:$AX162)*$N163/100</f>
        <v>0</v>
      </c>
      <c r="AU163" s="266">
        <f>SUM(AU162:$AX162)*$N163/100</f>
        <v>0</v>
      </c>
      <c r="AV163" s="266">
        <f>SUM(AV162:$AX162)*$N163/100</f>
        <v>0</v>
      </c>
      <c r="AW163" s="266">
        <f>SUM(AW162:$AX162)*$N163/100</f>
        <v>0</v>
      </c>
      <c r="AX163" s="266">
        <f>SUM(AX162:$AX162)*$N163/100</f>
        <v>0</v>
      </c>
      <c r="AY163" s="269">
        <f t="shared" si="43"/>
        <v>334922.279775</v>
      </c>
      <c r="AZ163" s="281"/>
      <c r="BA163" s="268">
        <f t="shared" ref="BA163" si="45">SUM(AA163:AX163)</f>
        <v>110327.33921999999</v>
      </c>
      <c r="BB163" s="269">
        <f t="shared" ref="BB163" si="46">SUM(T163:Z163,BA163)</f>
        <v>334922.27977499994</v>
      </c>
      <c r="BD163" s="227" t="b">
        <f t="shared" si="40"/>
        <v>1</v>
      </c>
    </row>
    <row r="164" spans="2:56" s="278" customFormat="1" x14ac:dyDescent="0.25">
      <c r="G164" s="227"/>
      <c r="H164" s="227"/>
      <c r="I164" s="227"/>
      <c r="J164" s="227"/>
      <c r="Q164" s="321" t="s">
        <v>1132</v>
      </c>
      <c r="R164" s="321"/>
      <c r="T164" s="314">
        <f>SUM(T150:T163)</f>
        <v>114624.70473999999</v>
      </c>
      <c r="U164" s="314">
        <f t="shared" ref="U164:AX164" si="47">SUM(U150:U163)</f>
        <v>173382.55740999998</v>
      </c>
      <c r="V164" s="314">
        <f>SUM(V150:V163)</f>
        <v>228691.42316999999</v>
      </c>
      <c r="W164" s="314">
        <f t="shared" si="47"/>
        <v>222783.28972999999</v>
      </c>
      <c r="X164" s="314">
        <f t="shared" si="47"/>
        <v>300228.33844999998</v>
      </c>
      <c r="Y164" s="314">
        <f t="shared" si="47"/>
        <v>279390.02505499998</v>
      </c>
      <c r="Z164" s="314">
        <f t="shared" si="47"/>
        <v>262601.71165999997</v>
      </c>
      <c r="AA164" s="314">
        <f t="shared" si="47"/>
        <v>255938.398265</v>
      </c>
      <c r="AB164" s="314">
        <f t="shared" si="47"/>
        <v>249275.08486999999</v>
      </c>
      <c r="AC164" s="314">
        <f t="shared" si="47"/>
        <v>235909.77147500002</v>
      </c>
      <c r="AD164" s="314">
        <f t="shared" si="47"/>
        <v>227214.12125999999</v>
      </c>
      <c r="AE164" s="314">
        <f t="shared" si="47"/>
        <v>220819.69210499999</v>
      </c>
      <c r="AF164" s="314">
        <f t="shared" si="47"/>
        <v>214425.26295000003</v>
      </c>
      <c r="AG164" s="314">
        <f t="shared" si="47"/>
        <v>208030.83379499998</v>
      </c>
      <c r="AH164" s="314">
        <f t="shared" si="47"/>
        <v>121468.30464</v>
      </c>
      <c r="AI164" s="314">
        <f t="shared" si="47"/>
        <v>119014.13759999999</v>
      </c>
      <c r="AJ164" s="314">
        <f t="shared" si="47"/>
        <v>116559.97056</v>
      </c>
      <c r="AK164" s="314">
        <f t="shared" si="47"/>
        <v>114105.80352</v>
      </c>
      <c r="AL164" s="314">
        <f t="shared" si="47"/>
        <v>111651.63648</v>
      </c>
      <c r="AM164" s="314">
        <f t="shared" si="47"/>
        <v>109197.46944</v>
      </c>
      <c r="AN164" s="314">
        <f t="shared" si="47"/>
        <v>106743.3024</v>
      </c>
      <c r="AO164" s="314">
        <f t="shared" si="47"/>
        <v>104289.13536</v>
      </c>
      <c r="AP164" s="314">
        <f t="shared" si="47"/>
        <v>101834.96832</v>
      </c>
      <c r="AQ164" s="314">
        <f t="shared" si="47"/>
        <v>99380.80128</v>
      </c>
      <c r="AR164" s="314">
        <f t="shared" si="47"/>
        <v>96926.634239999999</v>
      </c>
      <c r="AS164" s="314">
        <f t="shared" si="47"/>
        <v>94472.467199999999</v>
      </c>
      <c r="AT164" s="314">
        <f t="shared" si="47"/>
        <v>92018.300159999999</v>
      </c>
      <c r="AU164" s="314">
        <f t="shared" si="47"/>
        <v>89564.133119999999</v>
      </c>
      <c r="AV164" s="314">
        <f t="shared" si="47"/>
        <v>87109.966079999998</v>
      </c>
      <c r="AW164" s="314">
        <f t="shared" si="47"/>
        <v>84655.799039999998</v>
      </c>
      <c r="AX164" s="314">
        <f t="shared" si="47"/>
        <v>21013.632000000001</v>
      </c>
      <c r="AY164" s="322">
        <f t="shared" si="37"/>
        <v>4863321.6763749998</v>
      </c>
      <c r="BA164" s="323">
        <f>SUM(BA150:BA163)</f>
        <v>3281619.62616</v>
      </c>
      <c r="BB164" s="323">
        <f>SUM(BB150:BB163)</f>
        <v>4863321.6763750007</v>
      </c>
      <c r="BD164" s="278" t="b">
        <f t="shared" si="40"/>
        <v>1</v>
      </c>
    </row>
    <row r="167" spans="2:56" ht="30" x14ac:dyDescent="0.25">
      <c r="R167" s="242"/>
      <c r="S167" s="242"/>
      <c r="T167" s="242">
        <v>2023</v>
      </c>
      <c r="U167" s="240">
        <v>2024</v>
      </c>
      <c r="V167" s="240">
        <v>2025</v>
      </c>
      <c r="W167" s="240">
        <v>2026</v>
      </c>
      <c r="X167" s="240">
        <v>2027</v>
      </c>
      <c r="Y167" s="240">
        <v>2028</v>
      </c>
      <c r="Z167" s="240">
        <v>2029</v>
      </c>
      <c r="AA167" s="240">
        <v>2030</v>
      </c>
      <c r="AB167" s="240">
        <v>2031</v>
      </c>
      <c r="AC167" s="240">
        <v>2032</v>
      </c>
      <c r="AD167" s="240">
        <v>2033</v>
      </c>
      <c r="AE167" s="240">
        <v>2034</v>
      </c>
      <c r="AF167" s="240">
        <v>2035</v>
      </c>
      <c r="AG167" s="240">
        <v>2036</v>
      </c>
      <c r="AH167" s="240">
        <v>2037</v>
      </c>
      <c r="AI167" s="240">
        <v>2038</v>
      </c>
      <c r="AJ167" s="240">
        <v>2039</v>
      </c>
      <c r="AK167" s="240">
        <v>2040</v>
      </c>
      <c r="AL167" s="240">
        <v>2041</v>
      </c>
      <c r="AM167" s="240">
        <v>2042</v>
      </c>
      <c r="AN167" s="240">
        <v>2043</v>
      </c>
      <c r="AO167" s="240">
        <v>2044</v>
      </c>
      <c r="AP167" s="240">
        <v>2045</v>
      </c>
      <c r="AQ167" s="240">
        <v>2046</v>
      </c>
      <c r="AR167" s="240">
        <v>2047</v>
      </c>
      <c r="AS167" s="240">
        <v>2048</v>
      </c>
      <c r="AT167" s="240">
        <v>2049</v>
      </c>
      <c r="AU167" s="240">
        <v>2050</v>
      </c>
      <c r="AV167" s="240">
        <v>2051</v>
      </c>
      <c r="AW167" s="240">
        <v>2052</v>
      </c>
      <c r="AX167" s="240">
        <v>2053</v>
      </c>
      <c r="AY167" s="241" t="s">
        <v>739</v>
      </c>
      <c r="BA167" s="240" t="s">
        <v>740</v>
      </c>
      <c r="BB167" s="241" t="s">
        <v>741</v>
      </c>
    </row>
    <row r="168" spans="2:56" x14ac:dyDescent="0.25">
      <c r="Q168" s="324" t="s">
        <v>1133</v>
      </c>
      <c r="R168" s="325"/>
      <c r="S168" s="325"/>
      <c r="T168" s="325">
        <f t="shared" ref="T168:AX169" si="48">T143</f>
        <v>3772866.05</v>
      </c>
      <c r="U168" s="325">
        <f t="shared" si="48"/>
        <v>3486154.5</v>
      </c>
      <c r="V168" s="325">
        <f t="shared" si="48"/>
        <v>3408122.49</v>
      </c>
      <c r="W168" s="325">
        <f t="shared" si="48"/>
        <v>3392230.96</v>
      </c>
      <c r="X168" s="325">
        <f t="shared" si="48"/>
        <v>3444399.7488888884</v>
      </c>
      <c r="Y168" s="325">
        <f t="shared" si="48"/>
        <v>3563680.0044444441</v>
      </c>
      <c r="Z168" s="325">
        <f t="shared" si="48"/>
        <v>3505903.0044444441</v>
      </c>
      <c r="AA168" s="325">
        <f t="shared" si="48"/>
        <v>3476840.0044444441</v>
      </c>
      <c r="AB168" s="325">
        <f t="shared" si="48"/>
        <v>3390520.864444444</v>
      </c>
      <c r="AC168" s="325">
        <f t="shared" si="48"/>
        <v>2731893.7544444441</v>
      </c>
      <c r="AD168" s="325">
        <f t="shared" si="48"/>
        <v>2528174.0244444441</v>
      </c>
      <c r="AE168" s="325">
        <f t="shared" si="48"/>
        <v>2171093.8044444444</v>
      </c>
      <c r="AF168" s="325">
        <f t="shared" si="48"/>
        <v>2072237.8044444444</v>
      </c>
      <c r="AG168" s="325">
        <f t="shared" si="48"/>
        <v>1943128.7544444446</v>
      </c>
      <c r="AH168" s="325">
        <f t="shared" si="48"/>
        <v>1832316.0444444446</v>
      </c>
      <c r="AI168" s="325">
        <f t="shared" si="48"/>
        <v>1697912.0444444446</v>
      </c>
      <c r="AJ168" s="325">
        <f t="shared" si="48"/>
        <v>1625784.0444444446</v>
      </c>
      <c r="AK168" s="325">
        <f t="shared" si="48"/>
        <v>1584734.0844444446</v>
      </c>
      <c r="AL168" s="325">
        <f t="shared" si="48"/>
        <v>1559973.1144444444</v>
      </c>
      <c r="AM168" s="325">
        <f t="shared" si="48"/>
        <v>1500459.111111111</v>
      </c>
      <c r="AN168" s="325">
        <f t="shared" si="48"/>
        <v>1500459.111111111</v>
      </c>
      <c r="AO168" s="325">
        <f t="shared" si="48"/>
        <v>1658514.6666666667</v>
      </c>
      <c r="AP168" s="325">
        <f t="shared" si="48"/>
        <v>1184348</v>
      </c>
      <c r="AQ168" s="325">
        <f t="shared" si="48"/>
        <v>1184348</v>
      </c>
      <c r="AR168" s="325">
        <f t="shared" si="48"/>
        <v>1184348</v>
      </c>
      <c r="AS168" s="325">
        <f t="shared" si="48"/>
        <v>867315.83000000007</v>
      </c>
      <c r="AT168" s="325">
        <f t="shared" si="48"/>
        <v>452632</v>
      </c>
      <c r="AU168" s="325">
        <f t="shared" si="48"/>
        <v>409981</v>
      </c>
      <c r="AV168" s="325">
        <f t="shared" si="48"/>
        <v>55587.92</v>
      </c>
      <c r="AW168" s="325">
        <f t="shared" si="48"/>
        <v>0</v>
      </c>
      <c r="AX168" s="325">
        <f t="shared" si="48"/>
        <v>0</v>
      </c>
      <c r="AY168" s="326">
        <f t="shared" ref="AY168:AY171" si="49">SUM(S168:AX168)</f>
        <v>61185958.73999998</v>
      </c>
      <c r="BA168" s="327">
        <f t="shared" ref="BA168:BA170" si="50">SUM(AA168:AX168)</f>
        <v>36612601.982222229</v>
      </c>
      <c r="BB168" s="259">
        <f t="shared" ref="BB168:BB170" si="51">SUM(S168:Z168,BA168)</f>
        <v>61185958.740000002</v>
      </c>
    </row>
    <row r="169" spans="2:56" x14ac:dyDescent="0.25">
      <c r="Q169" s="324" t="s">
        <v>1134</v>
      </c>
      <c r="R169" s="325"/>
      <c r="S169" s="325"/>
      <c r="T169" s="325">
        <f t="shared" si="48"/>
        <v>1224463.0000000002</v>
      </c>
      <c r="U169" s="325">
        <f t="shared" si="48"/>
        <v>2229302.2908389005</v>
      </c>
      <c r="V169" s="325">
        <f t="shared" si="48"/>
        <v>2200908.5659799003</v>
      </c>
      <c r="W169" s="325">
        <f t="shared" si="48"/>
        <v>2271859.6232308997</v>
      </c>
      <c r="X169" s="325">
        <f t="shared" si="48"/>
        <v>2125245.5962509001</v>
      </c>
      <c r="Y169" s="325">
        <f t="shared" si="48"/>
        <v>1973545.1038474997</v>
      </c>
      <c r="Z169" s="325">
        <f t="shared" si="48"/>
        <v>1815647.2633235008</v>
      </c>
      <c r="AA169" s="325">
        <f t="shared" si="48"/>
        <v>1660110.8018895001</v>
      </c>
      <c r="AB169" s="325">
        <f t="shared" si="48"/>
        <v>1505731.6059854999</v>
      </c>
      <c r="AC169" s="325">
        <f t="shared" si="48"/>
        <v>1355405.2811271001</v>
      </c>
      <c r="AD169" s="325">
        <f t="shared" si="48"/>
        <v>1232333.8402090995</v>
      </c>
      <c r="AE169" s="325">
        <f t="shared" si="48"/>
        <v>1118819.1434494001</v>
      </c>
      <c r="AF169" s="325">
        <f t="shared" si="48"/>
        <v>1020292.0111166001</v>
      </c>
      <c r="AG169" s="325">
        <f t="shared" si="48"/>
        <v>926221.77864379983</v>
      </c>
      <c r="AH169" s="325">
        <f t="shared" si="48"/>
        <v>837831.63125500013</v>
      </c>
      <c r="AI169" s="325">
        <f t="shared" si="48"/>
        <v>753822.72227100015</v>
      </c>
      <c r="AJ169" s="325">
        <f t="shared" si="48"/>
        <v>675771.50826699985</v>
      </c>
      <c r="AK169" s="325">
        <f t="shared" si="48"/>
        <v>600907.595203</v>
      </c>
      <c r="AL169" s="325">
        <f t="shared" si="48"/>
        <v>527827.85213899997</v>
      </c>
      <c r="AM169" s="325">
        <f t="shared" si="48"/>
        <v>455910.62948799995</v>
      </c>
      <c r="AN169" s="325">
        <f t="shared" si="48"/>
        <v>386898.32936799998</v>
      </c>
      <c r="AO169" s="325">
        <f t="shared" si="48"/>
        <v>317886.02924799989</v>
      </c>
      <c r="AP169" s="325">
        <f t="shared" si="48"/>
        <v>240808.15412799999</v>
      </c>
      <c r="AQ169" s="325">
        <f t="shared" si="48"/>
        <v>187927.00400799996</v>
      </c>
      <c r="AR169" s="325">
        <f t="shared" si="48"/>
        <v>135045.85388799998</v>
      </c>
      <c r="AS169" s="325">
        <f t="shared" si="48"/>
        <v>82164.703767999992</v>
      </c>
      <c r="AT169" s="325">
        <f t="shared" si="48"/>
        <v>43306.896070000003</v>
      </c>
      <c r="AU169" s="325">
        <f t="shared" si="48"/>
        <v>22024.558349999996</v>
      </c>
      <c r="AV169" s="325">
        <f t="shared" si="48"/>
        <v>2596.5674300000001</v>
      </c>
      <c r="AW169" s="325">
        <f t="shared" si="48"/>
        <v>0</v>
      </c>
      <c r="AX169" s="325">
        <f t="shared" si="48"/>
        <v>0</v>
      </c>
      <c r="AY169" s="326">
        <f t="shared" si="49"/>
        <v>27930615.940773599</v>
      </c>
      <c r="BA169" s="327">
        <f t="shared" si="50"/>
        <v>14089644.497302003</v>
      </c>
      <c r="BB169" s="326">
        <f t="shared" si="51"/>
        <v>27930615.940773606</v>
      </c>
    </row>
    <row r="170" spans="2:56" x14ac:dyDescent="0.25">
      <c r="Q170" s="324" t="s">
        <v>1135</v>
      </c>
      <c r="R170" s="325"/>
      <c r="S170" s="325"/>
      <c r="T170" s="325">
        <f t="shared" ref="T170:AX170" si="52">T164</f>
        <v>114624.70473999999</v>
      </c>
      <c r="U170" s="325">
        <f t="shared" si="52"/>
        <v>173382.55740999998</v>
      </c>
      <c r="V170" s="325">
        <f t="shared" si="52"/>
        <v>228691.42316999999</v>
      </c>
      <c r="W170" s="325">
        <f t="shared" si="52"/>
        <v>222783.28972999999</v>
      </c>
      <c r="X170" s="325">
        <f t="shared" si="52"/>
        <v>300228.33844999998</v>
      </c>
      <c r="Y170" s="325">
        <f t="shared" si="52"/>
        <v>279390.02505499998</v>
      </c>
      <c r="Z170" s="325">
        <f t="shared" si="52"/>
        <v>262601.71165999997</v>
      </c>
      <c r="AA170" s="325">
        <f t="shared" si="52"/>
        <v>255938.398265</v>
      </c>
      <c r="AB170" s="325">
        <f t="shared" si="52"/>
        <v>249275.08486999999</v>
      </c>
      <c r="AC170" s="325">
        <f t="shared" si="52"/>
        <v>235909.77147500002</v>
      </c>
      <c r="AD170" s="325">
        <f t="shared" si="52"/>
        <v>227214.12125999999</v>
      </c>
      <c r="AE170" s="325">
        <f t="shared" si="52"/>
        <v>220819.69210499999</v>
      </c>
      <c r="AF170" s="325">
        <f t="shared" si="52"/>
        <v>214425.26295000003</v>
      </c>
      <c r="AG170" s="325">
        <f t="shared" si="52"/>
        <v>208030.83379499998</v>
      </c>
      <c r="AH170" s="325">
        <f t="shared" si="52"/>
        <v>121468.30464</v>
      </c>
      <c r="AI170" s="325">
        <f t="shared" si="52"/>
        <v>119014.13759999999</v>
      </c>
      <c r="AJ170" s="325">
        <f t="shared" si="52"/>
        <v>116559.97056</v>
      </c>
      <c r="AK170" s="325">
        <f t="shared" si="52"/>
        <v>114105.80352</v>
      </c>
      <c r="AL170" s="325">
        <f t="shared" si="52"/>
        <v>111651.63648</v>
      </c>
      <c r="AM170" s="325">
        <f t="shared" si="52"/>
        <v>109197.46944</v>
      </c>
      <c r="AN170" s="325">
        <f t="shared" si="52"/>
        <v>106743.3024</v>
      </c>
      <c r="AO170" s="325">
        <f t="shared" si="52"/>
        <v>104289.13536</v>
      </c>
      <c r="AP170" s="325">
        <f t="shared" si="52"/>
        <v>101834.96832</v>
      </c>
      <c r="AQ170" s="325">
        <f t="shared" si="52"/>
        <v>99380.80128</v>
      </c>
      <c r="AR170" s="325">
        <f t="shared" si="52"/>
        <v>96926.634239999999</v>
      </c>
      <c r="AS170" s="325">
        <f t="shared" si="52"/>
        <v>94472.467199999999</v>
      </c>
      <c r="AT170" s="325">
        <f t="shared" si="52"/>
        <v>92018.300159999999</v>
      </c>
      <c r="AU170" s="325">
        <f t="shared" si="52"/>
        <v>89564.133119999999</v>
      </c>
      <c r="AV170" s="325">
        <f t="shared" si="52"/>
        <v>87109.966079999998</v>
      </c>
      <c r="AW170" s="325">
        <f t="shared" si="52"/>
        <v>84655.799039999998</v>
      </c>
      <c r="AX170" s="325">
        <f t="shared" si="52"/>
        <v>21013.632000000001</v>
      </c>
      <c r="AY170" s="326">
        <f t="shared" si="49"/>
        <v>4863321.6763749998</v>
      </c>
      <c r="BA170" s="266">
        <f t="shared" si="50"/>
        <v>3281619.62616</v>
      </c>
      <c r="BB170" s="326">
        <f t="shared" si="51"/>
        <v>4863321.6763749998</v>
      </c>
    </row>
    <row r="171" spans="2:56" s="278" customFormat="1" x14ac:dyDescent="0.25">
      <c r="G171" s="227"/>
      <c r="H171" s="227"/>
      <c r="I171" s="227"/>
      <c r="J171" s="227"/>
      <c r="Q171" s="321" t="s">
        <v>1136</v>
      </c>
      <c r="R171" s="323"/>
      <c r="S171" s="323"/>
      <c r="T171" s="323">
        <f>SUM(T168:T170)</f>
        <v>5111953.7547399998</v>
      </c>
      <c r="U171" s="323">
        <f>SUM(U168:U170)</f>
        <v>5888839.3482489008</v>
      </c>
      <c r="V171" s="323">
        <f t="shared" ref="V171:AX171" si="53">SUM(V168:V170)</f>
        <v>5837722.4791499004</v>
      </c>
      <c r="W171" s="323">
        <f t="shared" si="53"/>
        <v>5886873.8729609</v>
      </c>
      <c r="X171" s="323">
        <f t="shared" si="53"/>
        <v>5869873.6835897882</v>
      </c>
      <c r="Y171" s="323">
        <f t="shared" si="53"/>
        <v>5816615.1333469432</v>
      </c>
      <c r="Z171" s="323">
        <f t="shared" si="53"/>
        <v>5584151.9794279449</v>
      </c>
      <c r="AA171" s="323">
        <f t="shared" si="53"/>
        <v>5392889.2045989446</v>
      </c>
      <c r="AB171" s="323">
        <f t="shared" si="53"/>
        <v>5145527.5552999442</v>
      </c>
      <c r="AC171" s="323">
        <f t="shared" si="53"/>
        <v>4323208.8070465447</v>
      </c>
      <c r="AD171" s="323">
        <f t="shared" si="53"/>
        <v>3987721.9859135435</v>
      </c>
      <c r="AE171" s="323">
        <f t="shared" si="53"/>
        <v>3510732.6399988444</v>
      </c>
      <c r="AF171" s="323">
        <f t="shared" si="53"/>
        <v>3306955.0785110444</v>
      </c>
      <c r="AG171" s="323">
        <f t="shared" si="53"/>
        <v>3077381.3668832444</v>
      </c>
      <c r="AH171" s="323">
        <f t="shared" si="53"/>
        <v>2791615.9803394447</v>
      </c>
      <c r="AI171" s="323">
        <f t="shared" si="53"/>
        <v>2570748.9043154446</v>
      </c>
      <c r="AJ171" s="323">
        <f t="shared" si="53"/>
        <v>2418115.5232714443</v>
      </c>
      <c r="AK171" s="323">
        <f t="shared" si="53"/>
        <v>2299747.4831674448</v>
      </c>
      <c r="AL171" s="323">
        <f t="shared" si="53"/>
        <v>2199452.6030634441</v>
      </c>
      <c r="AM171" s="323">
        <f t="shared" si="53"/>
        <v>2065567.2100391109</v>
      </c>
      <c r="AN171" s="323">
        <f t="shared" si="53"/>
        <v>1994100.7428791109</v>
      </c>
      <c r="AO171" s="323">
        <f t="shared" si="53"/>
        <v>2080689.8312746666</v>
      </c>
      <c r="AP171" s="323">
        <f t="shared" si="53"/>
        <v>1526991.1224479999</v>
      </c>
      <c r="AQ171" s="323">
        <f t="shared" si="53"/>
        <v>1471655.805288</v>
      </c>
      <c r="AR171" s="323">
        <f t="shared" si="53"/>
        <v>1416320.4881279999</v>
      </c>
      <c r="AS171" s="323">
        <f t="shared" si="53"/>
        <v>1043953.000968</v>
      </c>
      <c r="AT171" s="323">
        <f t="shared" si="53"/>
        <v>587957.19623</v>
      </c>
      <c r="AU171" s="323">
        <f t="shared" si="53"/>
        <v>521569.69147000002</v>
      </c>
      <c r="AV171" s="323">
        <f t="shared" si="53"/>
        <v>145294.45350999999</v>
      </c>
      <c r="AW171" s="323">
        <f t="shared" si="53"/>
        <v>84655.799039999998</v>
      </c>
      <c r="AX171" s="323">
        <f t="shared" si="53"/>
        <v>21013.632000000001</v>
      </c>
      <c r="AY171" s="323">
        <f t="shared" si="49"/>
        <v>93979896.357148603</v>
      </c>
      <c r="BA171" s="323">
        <f t="shared" ref="BA171:BB171" si="54">SUM(BA168:BA170)</f>
        <v>53983866.105684236</v>
      </c>
      <c r="BB171" s="323">
        <f t="shared" si="54"/>
        <v>93979896.357148618</v>
      </c>
    </row>
    <row r="172" spans="2:56" x14ac:dyDescent="0.25">
      <c r="R172" s="230"/>
    </row>
    <row r="173" spans="2:56" s="278" customFormat="1" x14ac:dyDescent="0.25">
      <c r="G173" s="227"/>
      <c r="H173" s="227"/>
      <c r="I173" s="227"/>
      <c r="J173" s="227"/>
      <c r="Q173" s="321" t="s">
        <v>1137</v>
      </c>
      <c r="R173" s="328"/>
      <c r="S173" s="328"/>
      <c r="T173" s="328">
        <f t="shared" ref="T173:AX173" si="55">T171/$Q$175</f>
        <v>0.15917896772003803</v>
      </c>
      <c r="U173" s="328">
        <f t="shared" si="55"/>
        <v>0.18337007991401086</v>
      </c>
      <c r="V173" s="328">
        <f t="shared" si="55"/>
        <v>0.18177837332849753</v>
      </c>
      <c r="W173" s="328">
        <f t="shared" si="55"/>
        <v>0.18330887780960348</v>
      </c>
      <c r="X173" s="328">
        <f t="shared" si="55"/>
        <v>0.18277951609684745</v>
      </c>
      <c r="Y173" s="328">
        <f t="shared" si="55"/>
        <v>0.18112112060724408</v>
      </c>
      <c r="Z173" s="328">
        <f t="shared" si="55"/>
        <v>0.17388254869343137</v>
      </c>
      <c r="AA173" s="328">
        <f t="shared" si="55"/>
        <v>0.16792689797332841</v>
      </c>
      <c r="AB173" s="328">
        <f t="shared" si="55"/>
        <v>0.16022440810779878</v>
      </c>
      <c r="AC173" s="328">
        <f t="shared" si="55"/>
        <v>0.13461857210772965</v>
      </c>
      <c r="AD173" s="328">
        <f t="shared" si="55"/>
        <v>0.1241719897570753</v>
      </c>
      <c r="AE173" s="328">
        <f t="shared" si="55"/>
        <v>0.10931922008447099</v>
      </c>
      <c r="AF173" s="328">
        <f t="shared" si="55"/>
        <v>0.10297387671119465</v>
      </c>
      <c r="AG173" s="328">
        <f t="shared" si="55"/>
        <v>9.582527791984477E-2</v>
      </c>
      <c r="AH173" s="328">
        <f t="shared" si="55"/>
        <v>8.6926950309196574E-2</v>
      </c>
      <c r="AI173" s="328">
        <f t="shared" si="55"/>
        <v>8.0049463764596235E-2</v>
      </c>
      <c r="AJ173" s="328">
        <f t="shared" si="55"/>
        <v>7.5296677413257476E-2</v>
      </c>
      <c r="AK173" s="328">
        <f t="shared" si="55"/>
        <v>7.1610865033337578E-2</v>
      </c>
      <c r="AL173" s="328">
        <f t="shared" si="55"/>
        <v>6.8487825145162412E-2</v>
      </c>
      <c r="AM173" s="328">
        <f t="shared" si="55"/>
        <v>6.4318824470098818E-2</v>
      </c>
      <c r="AN173" s="328">
        <f t="shared" si="55"/>
        <v>6.2093460350053996E-2</v>
      </c>
      <c r="AO173" s="328">
        <f t="shared" si="55"/>
        <v>6.478972138211897E-2</v>
      </c>
      <c r="AP173" s="328">
        <f t="shared" si="55"/>
        <v>4.7548331274232622E-2</v>
      </c>
      <c r="AQ173" s="328">
        <f t="shared" si="55"/>
        <v>4.5825268217212133E-2</v>
      </c>
      <c r="AR173" s="328">
        <f t="shared" si="55"/>
        <v>4.4102205160191629E-2</v>
      </c>
      <c r="AS173" s="328">
        <f t="shared" si="55"/>
        <v>3.2507211335438616E-2</v>
      </c>
      <c r="AT173" s="328">
        <f t="shared" si="55"/>
        <v>1.830815066992314E-2</v>
      </c>
      <c r="AU173" s="328">
        <f t="shared" si="55"/>
        <v>1.6240938213744848E-2</v>
      </c>
      <c r="AV173" s="328">
        <f t="shared" si="55"/>
        <v>4.5242625881980738E-3</v>
      </c>
      <c r="AW173" s="328">
        <f t="shared" si="55"/>
        <v>2.636061151806637E-3</v>
      </c>
      <c r="AX173" s="328">
        <f t="shared" si="55"/>
        <v>6.5433460674545663E-4</v>
      </c>
      <c r="BA173" s="329"/>
      <c r="BB173" s="329"/>
    </row>
    <row r="174" spans="2:56" x14ac:dyDescent="0.25">
      <c r="T174" s="330"/>
      <c r="U174" s="330"/>
      <c r="V174" s="330"/>
      <c r="W174" s="330"/>
      <c r="X174" s="330"/>
      <c r="Y174" s="330"/>
      <c r="Z174" s="330"/>
    </row>
    <row r="175" spans="2:56" x14ac:dyDescent="0.25">
      <c r="J175" s="331" t="s">
        <v>1138</v>
      </c>
      <c r="Q175" s="332">
        <v>32114505</v>
      </c>
      <c r="R175" s="332"/>
    </row>
    <row r="176" spans="2:56" s="333" customFormat="1" hidden="1" outlineLevel="1" x14ac:dyDescent="0.25">
      <c r="E176" s="227"/>
      <c r="F176" s="334"/>
      <c r="J176" s="335" t="s">
        <v>1139</v>
      </c>
      <c r="K176" s="336"/>
      <c r="L176" s="336"/>
      <c r="M176" s="336"/>
      <c r="N176" s="336"/>
      <c r="O176" s="336"/>
      <c r="P176" s="336"/>
      <c r="Q176" s="337">
        <f>Q175+4226235</f>
        <v>36340740</v>
      </c>
      <c r="T176" s="230"/>
      <c r="U176" s="338">
        <f t="shared" ref="U176:Z176" si="56">U171/$Q$176</f>
        <v>0.16204511378273809</v>
      </c>
      <c r="V176" s="338">
        <f t="shared" si="56"/>
        <v>0.16063851421709904</v>
      </c>
      <c r="W176" s="338">
        <f t="shared" si="56"/>
        <v>0.16199102915793404</v>
      </c>
      <c r="X176" s="338">
        <f t="shared" si="56"/>
        <v>0.16152322940011096</v>
      </c>
      <c r="Y176" s="338">
        <f t="shared" si="56"/>
        <v>0.16005769649563942</v>
      </c>
      <c r="Z176" s="338">
        <f t="shared" si="56"/>
        <v>0.15366093204012754</v>
      </c>
    </row>
    <row r="177" spans="6:26" hidden="1" outlineLevel="1" x14ac:dyDescent="0.25">
      <c r="F177" s="339"/>
      <c r="J177" s="340"/>
      <c r="K177" s="341"/>
      <c r="L177" s="341"/>
      <c r="M177" s="341"/>
      <c r="N177" s="341"/>
      <c r="O177" s="341"/>
      <c r="P177" s="341"/>
      <c r="Q177" s="341"/>
      <c r="U177" s="232"/>
      <c r="V177" s="232"/>
      <c r="W177" s="232"/>
      <c r="X177" s="232"/>
    </row>
    <row r="178" spans="6:26" hidden="1" outlineLevel="1" x14ac:dyDescent="0.25">
      <c r="Q178" s="232"/>
      <c r="T178" s="278" t="s">
        <v>1140</v>
      </c>
    </row>
    <row r="179" spans="6:26" hidden="1" outlineLevel="1" x14ac:dyDescent="0.25">
      <c r="Q179" s="227" t="s">
        <v>749</v>
      </c>
      <c r="R179" s="230"/>
      <c r="T179" s="342">
        <v>3601890.1379218102</v>
      </c>
      <c r="U179" s="232">
        <f>T168-T179</f>
        <v>170975.91207818966</v>
      </c>
      <c r="V179" s="230" t="s">
        <v>1141</v>
      </c>
    </row>
    <row r="180" spans="6:26" hidden="1" outlineLevel="1" x14ac:dyDescent="0.25">
      <c r="Q180" s="227" t="s">
        <v>751</v>
      </c>
      <c r="T180" s="342">
        <v>1087339.57</v>
      </c>
      <c r="U180" s="232">
        <f>T169-T180</f>
        <v>137123.43000000017</v>
      </c>
      <c r="V180" s="225" t="s">
        <v>1142</v>
      </c>
    </row>
    <row r="181" spans="6:26" hidden="1" outlineLevel="1" x14ac:dyDescent="0.25"/>
    <row r="182" spans="6:26" hidden="1" outlineLevel="1" x14ac:dyDescent="0.25"/>
    <row r="183" spans="6:26" hidden="1" outlineLevel="1" x14ac:dyDescent="0.25"/>
    <row r="184" spans="6:26" hidden="1" outlineLevel="1" x14ac:dyDescent="0.25">
      <c r="Q184" s="230"/>
    </row>
    <row r="185" spans="6:26" hidden="1" outlineLevel="1" x14ac:dyDescent="0.25">
      <c r="Q185" s="302" t="s">
        <v>1143</v>
      </c>
      <c r="T185" s="343">
        <v>0.1490372985414537</v>
      </c>
      <c r="U185" s="343">
        <v>0.18280355599512435</v>
      </c>
      <c r="V185" s="343">
        <v>0.17890191226141217</v>
      </c>
      <c r="W185" s="343">
        <v>0.17262087233444015</v>
      </c>
      <c r="X185" s="343">
        <v>0.16181622945136867</v>
      </c>
      <c r="Y185" s="343">
        <v>0.15573032548353213</v>
      </c>
      <c r="Z185" s="343">
        <v>0.14818846565335553</v>
      </c>
    </row>
    <row r="186" spans="6:26" hidden="1" outlineLevel="1" x14ac:dyDescent="0.25">
      <c r="Q186" s="230" t="s">
        <v>1144</v>
      </c>
      <c r="R186" s="230"/>
      <c r="T186" s="330">
        <v>0.14899999999999999</v>
      </c>
      <c r="U186" s="330">
        <v>0.18099999999999999</v>
      </c>
      <c r="V186" s="330">
        <v>0.17599999999999999</v>
      </c>
      <c r="W186" s="330">
        <v>0.17</v>
      </c>
      <c r="X186" s="330">
        <v>0.159</v>
      </c>
      <c r="Y186" s="330">
        <v>0.153</v>
      </c>
      <c r="Z186" s="330">
        <v>0.14699999999999999</v>
      </c>
    </row>
    <row r="187" spans="6:26" hidden="1" outlineLevel="1" x14ac:dyDescent="0.25"/>
    <row r="188" spans="6:26" hidden="1" outlineLevel="1" x14ac:dyDescent="0.25"/>
    <row r="189" spans="6:26" hidden="1" outlineLevel="1" x14ac:dyDescent="0.25"/>
    <row r="190" spans="6:26" collapsed="1" x14ac:dyDescent="0.25"/>
  </sheetData>
  <pageMargins left="0.25" right="0.25" top="0.75" bottom="0.75" header="0.3" footer="0.3"/>
  <pageSetup paperSize="9" scale="48" orientation="landscape"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2023.gada budzeta plans_apvieno</vt:lpstr>
      <vt:lpstr>Līgumu saraksts</vt:lpstr>
      <vt:lpstr>'2023.gada budzeta plans_apvieno'!Print_Area</vt:lpstr>
      <vt:lpstr>'2023.gada budzeta plans_apvieno'!Print_Titles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Sarmīte Mūze</dc:creator>
  <cp:lastModifiedBy>Jevgēnija Sviridenkova</cp:lastModifiedBy>
  <dcterms:created xsi:type="dcterms:W3CDTF">2023-12-14T10:19:18Z</dcterms:created>
  <dcterms:modified xsi:type="dcterms:W3CDTF">2023-12-22T10:44:41Z</dcterms:modified>
</cp:coreProperties>
</file>