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s-adazi.namejs.lv/webdav/b3405442-f3bf-499f-85e1-26d63c318181/"/>
    </mc:Choice>
  </mc:AlternateContent>
  <xr:revisionPtr revIDLastSave="0" documentId="13_ncr:1_{29EC6AD1-C648-44D1-8BBD-ADAE1EEEA74A}" xr6:coauthVersionLast="47" xr6:coauthVersionMax="47" xr10:uidLastSave="{00000000-0000-0000-0000-000000000000}"/>
  <bookViews>
    <workbookView xWindow="-108" yWindow="-108" windowWidth="23256" windowHeight="12456" xr2:uid="{B1D5E0D2-AE2E-4C95-B29C-8AA21ED76A80}"/>
  </bookViews>
  <sheets>
    <sheet name="2024.gada budzeta plans_apvieno" sheetId="1" r:id="rId1"/>
    <sheet name="Saistibas_25012023" sheetId="2" r:id="rId2"/>
  </sheets>
  <definedNames>
    <definedName name="_0812">#REF!</definedName>
    <definedName name="_xlnm._FilterDatabase" localSheetId="0" hidden="1">'2024.gada budzeta plans_apvieno'!#REF!</definedName>
    <definedName name="_xlnm._FilterDatabase" localSheetId="1" hidden="1">Saistibas_25012023!$A$4:$O$137</definedName>
    <definedName name="Apmaksa" localSheetId="0">#REF!</definedName>
    <definedName name="Apmaksa">#REF!</definedName>
    <definedName name="Darijums" localSheetId="0">#REF!</definedName>
    <definedName name="Darijums">#REF!</definedName>
    <definedName name="Excel_BuiltIn__FilterDatabase" localSheetId="0">#REF!</definedName>
    <definedName name="Excel_BuiltIn__FilterDatabase">#REF!</definedName>
    <definedName name="Firmas" localSheetId="0">#REF!</definedName>
    <definedName name="Firmas">#REF!</definedName>
    <definedName name="Kolonnas_virsraksta_reģions1..B11.1">#REF!</definedName>
    <definedName name="Kolonnas_virsraksta_reģions1..D4">#REF!</definedName>
    <definedName name="Kolonnas_virsraksta_reģions2..D7">#REF!</definedName>
    <definedName name="Kolonnas_virsraksta_reģions3..C12">#REF!</definedName>
    <definedName name="KolonnasNosaukums1">#REF!</definedName>
    <definedName name="Parvadataji" localSheetId="0">#REF!</definedName>
    <definedName name="Parvadataji">#REF!</definedName>
    <definedName name="_xlnm.Print_Area" localSheetId="0">'2024.gada budzeta plans_apvieno'!$A$1:$D$291</definedName>
    <definedName name="_xlnm.Print_Titles" localSheetId="0">'2024.gada budzeta plans_apvieno'!$5:$5</definedName>
    <definedName name="Saist_apmers_ar_galvojumu">#REF!</definedName>
    <definedName name="Z_1893421C_DBAA_4C10_AA6C_4D0F39122205_.wvu.FilterData" localSheetId="0">#REF!</definedName>
    <definedName name="Z_1893421C_DBAA_4C10_AA6C_4D0F39122205_.wvu.FilterData">#REF!</definedName>
    <definedName name="Z_483F8D4B_D649_4D59_A67B_5E8B6C0D2E28_.wvu.FilterData" localSheetId="0">#REF!</definedName>
    <definedName name="Z_483F8D4B_D649_4D59_A67B_5E8B6C0D2E28_.wvu.FilterData">#REF!</definedName>
    <definedName name="Z_56A06D27_97E5_4D01_ADCE_F8E0A2A870EF_.wvu.FilterData" localSheetId="0">#REF!</definedName>
    <definedName name="Z_56A06D27_97E5_4D01_ADCE_F8E0A2A870EF_.wvu.FilterData">#REF!</definedName>
    <definedName name="Z_81EB1DB6_89AB_4045_90FA_EF2BA7E792F9_.wvu.FilterData" localSheetId="0">#REF!</definedName>
    <definedName name="Z_81EB1DB6_89AB_4045_90FA_EF2BA7E792F9_.wvu.FilterData">#REF!</definedName>
    <definedName name="Z_81EB1DB6_89AB_4045_90FA_EF2BA7E792F9_.wvu.PrintArea" localSheetId="0">#REF!</definedName>
    <definedName name="Z_81EB1DB6_89AB_4045_90FA_EF2BA7E792F9_.wvu.PrintArea">#REF!</definedName>
    <definedName name="Z_8545B4E6_A517_4BD7_BFB7_42FEB5F229AD_.wvu.FilterData" localSheetId="0">#REF!</definedName>
    <definedName name="Z_8545B4E6_A517_4BD7_BFB7_42FEB5F229AD_.wvu.FilterData">#REF!</definedName>
    <definedName name="Z_877A1030_2452_46B0_88DF_8A068656C08E_.wvu.FilterData" localSheetId="0">#REF!</definedName>
    <definedName name="Z_877A1030_2452_46B0_88DF_8A068656C08E_.wvu.FilterData">#REF!</definedName>
    <definedName name="Z_ABD8A783_3A6C_4629_9559_1E4E89E80131_.wvu.FilterData" localSheetId="0">#REF!</definedName>
    <definedName name="Z_ABD8A783_3A6C_4629_9559_1E4E89E80131_.wvu.FilterData">#REF!</definedName>
    <definedName name="Z_AF277C95_CBD9_4696_AC72_D010599E9831_.wvu.FilterData" localSheetId="0">#REF!</definedName>
    <definedName name="Z_AF277C95_CBD9_4696_AC72_D010599E9831_.wvu.FilterData">#REF!</definedName>
    <definedName name="Z_B7CBCF06_FF41_423A_9AB3_E1D1F70C6FC5_.wvu.FilterData" localSheetId="0">#REF!</definedName>
    <definedName name="Z_B7CBCF06_FF41_423A_9AB3_E1D1F70C6FC5_.wvu.FilterData">#REF!</definedName>
    <definedName name="Z_C5511FB8_86C5_41F3_ADCD_B10310F066F5_.wvu.FilterData" localSheetId="0">#REF!</definedName>
    <definedName name="Z_C5511FB8_86C5_41F3_ADCD_B10310F066F5_.wvu.FilterData">#REF!</definedName>
    <definedName name="Z_DB8ECBD1_2D44_4F97_BCC9_F610BA0A3109_.wvu.FilterData" localSheetId="0">#REF!</definedName>
    <definedName name="Z_DB8ECBD1_2D44_4F97_BCC9_F610BA0A3109_.wvu.FilterData">#REF!</definedName>
    <definedName name="Z_DEE3A27E_689A_4E9F_A3EB_C84F1E3B413E_.wvu.FilterData" localSheetId="0">#REF!</definedName>
    <definedName name="Z_DEE3A27E_689A_4E9F_A3EB_C84F1E3B413E_.wvu.FilterData">#REF!</definedName>
    <definedName name="Z_F1F489B9_0F61_4F1F_A151_75EF77465344_.wvu.Cols" localSheetId="0">#REF!</definedName>
    <definedName name="Z_F1F489B9_0F61_4F1F_A151_75EF77465344_.wvu.Cols">#REF!</definedName>
    <definedName name="Z_F1F489B9_0F61_4F1F_A151_75EF77465344_.wvu.FilterData" localSheetId="0">#REF!</definedName>
    <definedName name="Z_F1F489B9_0F61_4F1F_A151_75EF77465344_.wvu.FilterData">#REF!</definedName>
    <definedName name="Z_F1F489B9_0F61_4F1F_A151_75EF77465344_.wvu.PrintArea" localSheetId="0">#REF!</definedName>
    <definedName name="Z_F1F489B9_0F61_4F1F_A151_75EF77465344_.wvu.PrintArea">#REF!</definedName>
    <definedName name="Z_F1F489B9_0F61_4F1F_A151_75EF77465344_.wvu.PrintTitles" localSheetId="0">#REF!</definedName>
    <definedName name="Z_F1F489B9_0F61_4F1F_A151_75EF77465344_.wvu.Print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5" i="1" l="1"/>
  <c r="F176" i="1"/>
  <c r="F178" i="1"/>
  <c r="F289" i="1"/>
  <c r="G289" i="1"/>
  <c r="G287" i="1"/>
  <c r="G286" i="1"/>
  <c r="F285" i="1"/>
  <c r="F284" i="1"/>
  <c r="F283" i="1"/>
  <c r="F281" i="1"/>
  <c r="G281" i="1" s="1"/>
  <c r="F280" i="1"/>
  <c r="F279" i="1"/>
  <c r="F278" i="1"/>
  <c r="G278" i="1" s="1"/>
  <c r="F277" i="1"/>
  <c r="F276" i="1"/>
  <c r="F275" i="1"/>
  <c r="G275" i="1" s="1"/>
  <c r="F274" i="1"/>
  <c r="F272" i="1"/>
  <c r="F271" i="1"/>
  <c r="G269" i="1"/>
  <c r="F268" i="1"/>
  <c r="F267" i="1"/>
  <c r="F265" i="1"/>
  <c r="G265" i="1" s="1"/>
  <c r="G264" i="1"/>
  <c r="F263" i="1"/>
  <c r="G263" i="1" s="1"/>
  <c r="F262" i="1"/>
  <c r="G262" i="1" s="1"/>
  <c r="F261" i="1"/>
  <c r="F260" i="1"/>
  <c r="G260" i="1" s="1"/>
  <c r="F259" i="1"/>
  <c r="G258" i="1"/>
  <c r="F257" i="1"/>
  <c r="F256" i="1"/>
  <c r="F254" i="1"/>
  <c r="F253" i="1"/>
  <c r="G253" i="1" s="1"/>
  <c r="F252" i="1"/>
  <c r="G252" i="1" s="1"/>
  <c r="F251" i="1"/>
  <c r="F250" i="1"/>
  <c r="G250" i="1" s="1"/>
  <c r="F249" i="1"/>
  <c r="F248" i="1"/>
  <c r="F247" i="1"/>
  <c r="F245" i="1"/>
  <c r="F244" i="1"/>
  <c r="F243" i="1"/>
  <c r="F241" i="1"/>
  <c r="G241" i="1" s="1"/>
  <c r="F240" i="1"/>
  <c r="F239" i="1"/>
  <c r="F237" i="1"/>
  <c r="F236" i="1"/>
  <c r="F235" i="1"/>
  <c r="G233" i="1"/>
  <c r="F232" i="1"/>
  <c r="F231" i="1"/>
  <c r="G229" i="1"/>
  <c r="F228" i="1"/>
  <c r="G228" i="1" s="1"/>
  <c r="F227" i="1"/>
  <c r="G227" i="1" s="1"/>
  <c r="F226" i="1"/>
  <c r="F225" i="1"/>
  <c r="G225" i="1" s="1"/>
  <c r="F223" i="1"/>
  <c r="G223" i="1" s="1"/>
  <c r="F222" i="1"/>
  <c r="F221" i="1"/>
  <c r="F220" i="1"/>
  <c r="G220" i="1" s="1"/>
  <c r="F219" i="1"/>
  <c r="F218" i="1"/>
  <c r="F217" i="1"/>
  <c r="F216" i="1"/>
  <c r="F214" i="1"/>
  <c r="G214" i="1" s="1"/>
  <c r="F213" i="1"/>
  <c r="F211" i="1"/>
  <c r="F210" i="1"/>
  <c r="G210" i="1" s="1"/>
  <c r="F209" i="1"/>
  <c r="G209" i="1" s="1"/>
  <c r="F208" i="1"/>
  <c r="F207" i="1"/>
  <c r="F204" i="1"/>
  <c r="F203" i="1"/>
  <c r="G202" i="1"/>
  <c r="F201" i="1"/>
  <c r="G201" i="1" s="1"/>
  <c r="F199" i="1"/>
  <c r="G199" i="1" s="1"/>
  <c r="F198" i="1"/>
  <c r="F197" i="1"/>
  <c r="F196" i="1"/>
  <c r="G196" i="1" s="1"/>
  <c r="F195" i="1"/>
  <c r="F194" i="1"/>
  <c r="G194" i="1" s="1"/>
  <c r="F193" i="1"/>
  <c r="G193" i="1" s="1"/>
  <c r="F192" i="1"/>
  <c r="F189" i="1"/>
  <c r="F188" i="1"/>
  <c r="F187" i="1"/>
  <c r="F186" i="1"/>
  <c r="F185" i="1"/>
  <c r="F184" i="1"/>
  <c r="G184" i="1" s="1"/>
  <c r="F183" i="1"/>
  <c r="G183" i="1" s="1"/>
  <c r="F182" i="1"/>
  <c r="F181" i="1"/>
  <c r="F180" i="1"/>
  <c r="F179" i="1"/>
  <c r="G179" i="1" s="1"/>
  <c r="F177" i="1"/>
  <c r="G177" i="1" s="1"/>
  <c r="F175" i="1"/>
  <c r="F174" i="1"/>
  <c r="F173" i="1"/>
  <c r="F171" i="1"/>
  <c r="F170" i="1"/>
  <c r="G170" i="1" s="1"/>
  <c r="F169" i="1"/>
  <c r="G169" i="1" s="1"/>
  <c r="F168" i="1"/>
  <c r="G168" i="1" s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F160" i="1"/>
  <c r="F159" i="1"/>
  <c r="F158" i="1"/>
  <c r="F157" i="1"/>
  <c r="F156" i="1"/>
  <c r="F155" i="1"/>
  <c r="F153" i="1"/>
  <c r="G153" i="1" s="1"/>
  <c r="F152" i="1"/>
  <c r="F151" i="1"/>
  <c r="F149" i="1"/>
  <c r="F148" i="1"/>
  <c r="G148" i="1" s="1"/>
  <c r="F147" i="1"/>
  <c r="F146" i="1"/>
  <c r="F145" i="1"/>
  <c r="F142" i="1"/>
  <c r="G142" i="1" s="1"/>
  <c r="F141" i="1"/>
  <c r="G141" i="1" s="1"/>
  <c r="F140" i="1"/>
  <c r="F139" i="1"/>
  <c r="F138" i="1"/>
  <c r="F137" i="1"/>
  <c r="G137" i="1" s="1"/>
  <c r="F136" i="1"/>
  <c r="G136" i="1" s="1"/>
  <c r="F135" i="1"/>
  <c r="F134" i="1"/>
  <c r="F133" i="1"/>
  <c r="G133" i="1" s="1"/>
  <c r="F132" i="1"/>
  <c r="F131" i="1"/>
  <c r="G131" i="1" s="1"/>
  <c r="F123" i="1"/>
  <c r="G123" i="1" s="1"/>
  <c r="F122" i="1"/>
  <c r="F121" i="1"/>
  <c r="F120" i="1"/>
  <c r="F119" i="1"/>
  <c r="G119" i="1" s="1"/>
  <c r="F118" i="1"/>
  <c r="F117" i="1"/>
  <c r="F116" i="1"/>
  <c r="G116" i="1" s="1"/>
  <c r="F115" i="1"/>
  <c r="G115" i="1" s="1"/>
  <c r="F114" i="1"/>
  <c r="F113" i="1"/>
  <c r="F112" i="1"/>
  <c r="F109" i="1"/>
  <c r="F110" i="1" s="1"/>
  <c r="F106" i="1"/>
  <c r="F104" i="1"/>
  <c r="F103" i="1"/>
  <c r="G103" i="1" s="1"/>
  <c r="F101" i="1"/>
  <c r="F100" i="1"/>
  <c r="F99" i="1"/>
  <c r="G99" i="1" s="1"/>
  <c r="F97" i="1"/>
  <c r="G96" i="1"/>
  <c r="F94" i="1"/>
  <c r="F93" i="1"/>
  <c r="F90" i="1"/>
  <c r="F89" i="1"/>
  <c r="G89" i="1" s="1"/>
  <c r="F87" i="1"/>
  <c r="F86" i="1"/>
  <c r="G86" i="1" s="1"/>
  <c r="F85" i="1"/>
  <c r="F84" i="1"/>
  <c r="F83" i="1"/>
  <c r="F82" i="1"/>
  <c r="G82" i="1" s="1"/>
  <c r="F81" i="1"/>
  <c r="F80" i="1"/>
  <c r="G80" i="1" s="1"/>
  <c r="F79" i="1"/>
  <c r="G79" i="1" s="1"/>
  <c r="F78" i="1"/>
  <c r="F77" i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5" i="1"/>
  <c r="G65" i="1" s="1"/>
  <c r="F64" i="1"/>
  <c r="F63" i="1"/>
  <c r="F62" i="1"/>
  <c r="F61" i="1"/>
  <c r="G61" i="1" s="1"/>
  <c r="F60" i="1"/>
  <c r="G60" i="1" s="1"/>
  <c r="G59" i="1"/>
  <c r="F58" i="1"/>
  <c r="F57" i="1"/>
  <c r="F56" i="1"/>
  <c r="F55" i="1"/>
  <c r="F54" i="1"/>
  <c r="G54" i="1" s="1"/>
  <c r="F53" i="1"/>
  <c r="G53" i="1" s="1"/>
  <c r="F52" i="1"/>
  <c r="G52" i="1" s="1"/>
  <c r="F51" i="1"/>
  <c r="G49" i="1"/>
  <c r="G48" i="1"/>
  <c r="F47" i="1"/>
  <c r="G47" i="1" s="1"/>
  <c r="F46" i="1"/>
  <c r="G46" i="1" s="1"/>
  <c r="F45" i="1"/>
  <c r="G45" i="1" s="1"/>
  <c r="F44" i="1"/>
  <c r="F41" i="1"/>
  <c r="F40" i="1"/>
  <c r="F39" i="1"/>
  <c r="F38" i="1"/>
  <c r="F36" i="1"/>
  <c r="F35" i="1"/>
  <c r="F33" i="1"/>
  <c r="G33" i="1" s="1"/>
  <c r="F32" i="1"/>
  <c r="F31" i="1"/>
  <c r="G31" i="1" s="1"/>
  <c r="F30" i="1"/>
  <c r="F29" i="1"/>
  <c r="F28" i="1"/>
  <c r="G28" i="1" s="1"/>
  <c r="F26" i="1"/>
  <c r="F25" i="1"/>
  <c r="G25" i="1" s="1"/>
  <c r="F24" i="1"/>
  <c r="F21" i="1"/>
  <c r="G21" i="1" s="1"/>
  <c r="F20" i="1"/>
  <c r="F19" i="1" s="1"/>
  <c r="G19" i="1" s="1"/>
  <c r="F18" i="1"/>
  <c r="G18" i="1" s="1"/>
  <c r="F17" i="1"/>
  <c r="F15" i="1"/>
  <c r="F14" i="1"/>
  <c r="F12" i="1"/>
  <c r="F11" i="1"/>
  <c r="G11" i="1" s="1"/>
  <c r="F8" i="1"/>
  <c r="F7" i="1" s="1"/>
  <c r="G7" i="1" s="1"/>
  <c r="G195" i="1" l="1"/>
  <c r="F215" i="1"/>
  <c r="G256" i="1"/>
  <c r="G109" i="1"/>
  <c r="F282" i="1"/>
  <c r="G282" i="1" s="1"/>
  <c r="G40" i="1"/>
  <c r="G114" i="1"/>
  <c r="G280" i="1"/>
  <c r="G188" i="1"/>
  <c r="G122" i="1"/>
  <c r="F200" i="1"/>
  <c r="G200" i="1" s="1"/>
  <c r="G145" i="1"/>
  <c r="G64" i="1"/>
  <c r="G186" i="1"/>
  <c r="F242" i="1"/>
  <c r="G242" i="1" s="1"/>
  <c r="F212" i="1"/>
  <c r="G212" i="1" s="1"/>
  <c r="G14" i="1"/>
  <c r="G101" i="1"/>
  <c r="G81" i="1"/>
  <c r="G90" i="1"/>
  <c r="G93" i="1"/>
  <c r="G121" i="1"/>
  <c r="G155" i="1"/>
  <c r="G178" i="1"/>
  <c r="G237" i="1"/>
  <c r="G240" i="1"/>
  <c r="G211" i="1"/>
  <c r="G284" i="1"/>
  <c r="G152" i="1"/>
  <c r="F191" i="1"/>
  <c r="G192" i="1"/>
  <c r="G159" i="1"/>
  <c r="G213" i="1"/>
  <c r="G231" i="1"/>
  <c r="G248" i="1"/>
  <c r="G41" i="1"/>
  <c r="F108" i="1"/>
  <c r="G108" i="1" s="1"/>
  <c r="G110" i="1"/>
  <c r="G180" i="1"/>
  <c r="G39" i="1"/>
  <c r="G277" i="1"/>
  <c r="G85" i="1"/>
  <c r="G32" i="1"/>
  <c r="G56" i="1"/>
  <c r="G63" i="1"/>
  <c r="F98" i="1"/>
  <c r="G98" i="1" s="1"/>
  <c r="G100" i="1"/>
  <c r="G235" i="1"/>
  <c r="G243" i="1"/>
  <c r="G160" i="1"/>
  <c r="G147" i="1"/>
  <c r="G174" i="1"/>
  <c r="G187" i="1"/>
  <c r="F172" i="1"/>
  <c r="G172" i="1" s="1"/>
  <c r="G8" i="1"/>
  <c r="G29" i="1"/>
  <c r="G78" i="1"/>
  <c r="F88" i="1"/>
  <c r="G88" i="1" s="1"/>
  <c r="G117" i="1"/>
  <c r="G132" i="1"/>
  <c r="G135" i="1"/>
  <c r="G157" i="1"/>
  <c r="G161" i="1"/>
  <c r="G216" i="1"/>
  <c r="G219" i="1"/>
  <c r="G222" i="1"/>
  <c r="G272" i="1"/>
  <c r="G106" i="1"/>
  <c r="G176" i="1"/>
  <c r="G207" i="1"/>
  <c r="G20" i="1"/>
  <c r="G58" i="1"/>
  <c r="F95" i="1"/>
  <c r="G95" i="1" s="1"/>
  <c r="G134" i="1"/>
  <c r="F144" i="1"/>
  <c r="F143" i="1" s="1"/>
  <c r="G143" i="1" s="1"/>
  <c r="G36" i="1"/>
  <c r="G97" i="1"/>
  <c r="G146" i="1"/>
  <c r="G77" i="1"/>
  <c r="G87" i="1"/>
  <c r="G226" i="1"/>
  <c r="F102" i="1"/>
  <c r="G102" i="1" s="1"/>
  <c r="G84" i="1"/>
  <c r="G139" i="1"/>
  <c r="G197" i="1"/>
  <c r="F206" i="1"/>
  <c r="G30" i="1"/>
  <c r="G268" i="1"/>
  <c r="G105" i="1"/>
  <c r="F66" i="1"/>
  <c r="G66" i="1" s="1"/>
  <c r="G259" i="1"/>
  <c r="F13" i="1"/>
  <c r="G13" i="1" s="1"/>
  <c r="G15" i="1"/>
  <c r="G26" i="1"/>
  <c r="G38" i="1"/>
  <c r="F37" i="1"/>
  <c r="G37" i="1" s="1"/>
  <c r="G44" i="1"/>
  <c r="G251" i="1"/>
  <c r="G279" i="1"/>
  <c r="G12" i="1"/>
  <c r="F10" i="1"/>
  <c r="G118" i="1"/>
  <c r="G104" i="1"/>
  <c r="F16" i="1"/>
  <c r="G16" i="1" s="1"/>
  <c r="G62" i="1"/>
  <c r="G17" i="1"/>
  <c r="G51" i="1"/>
  <c r="F50" i="1"/>
  <c r="G182" i="1"/>
  <c r="F130" i="1"/>
  <c r="G198" i="1"/>
  <c r="G120" i="1"/>
  <c r="G140" i="1"/>
  <c r="G217" i="1"/>
  <c r="G35" i="1"/>
  <c r="F34" i="1"/>
  <c r="G34" i="1" s="1"/>
  <c r="G55" i="1"/>
  <c r="G151" i="1"/>
  <c r="G156" i="1"/>
  <c r="F154" i="1"/>
  <c r="G158" i="1"/>
  <c r="G171" i="1"/>
  <c r="G189" i="1"/>
  <c r="G203" i="1"/>
  <c r="G83" i="1"/>
  <c r="G218" i="1"/>
  <c r="F266" i="1"/>
  <c r="G266" i="1" s="1"/>
  <c r="G267" i="1"/>
  <c r="G175" i="1"/>
  <c r="G257" i="1"/>
  <c r="G24" i="1"/>
  <c r="F23" i="1"/>
  <c r="G57" i="1"/>
  <c r="G113" i="1"/>
  <c r="G138" i="1"/>
  <c r="G181" i="1"/>
  <c r="G94" i="1"/>
  <c r="F92" i="1"/>
  <c r="G191" i="1"/>
  <c r="G236" i="1"/>
  <c r="F234" i="1"/>
  <c r="G234" i="1" s="1"/>
  <c r="G112" i="1"/>
  <c r="F111" i="1"/>
  <c r="G111" i="1" s="1"/>
  <c r="G204" i="1"/>
  <c r="G232" i="1"/>
  <c r="F230" i="1"/>
  <c r="G230" i="1" s="1"/>
  <c r="F270" i="1"/>
  <c r="G270" i="1" s="1"/>
  <c r="G271" i="1"/>
  <c r="G173" i="1"/>
  <c r="G149" i="1"/>
  <c r="G185" i="1"/>
  <c r="G208" i="1"/>
  <c r="G221" i="1"/>
  <c r="G244" i="1"/>
  <c r="G254" i="1"/>
  <c r="F246" i="1"/>
  <c r="G246" i="1" s="1"/>
  <c r="G261" i="1"/>
  <c r="G283" i="1"/>
  <c r="F27" i="1"/>
  <c r="G27" i="1" s="1"/>
  <c r="G247" i="1"/>
  <c r="G249" i="1"/>
  <c r="G245" i="1"/>
  <c r="G285" i="1"/>
  <c r="F238" i="1"/>
  <c r="G238" i="1" s="1"/>
  <c r="G239" i="1"/>
  <c r="G276" i="1"/>
  <c r="F273" i="1"/>
  <c r="G273" i="1" s="1"/>
  <c r="G274" i="1"/>
  <c r="G206" i="1" l="1"/>
  <c r="F150" i="1"/>
  <c r="G144" i="1"/>
  <c r="F190" i="1"/>
  <c r="G190" i="1"/>
  <c r="G215" i="1"/>
  <c r="G205" i="1" s="1"/>
  <c r="F205" i="1"/>
  <c r="F255" i="1"/>
  <c r="G255" i="1" s="1"/>
  <c r="G154" i="1"/>
  <c r="G150" i="1" s="1"/>
  <c r="G92" i="1"/>
  <c r="F91" i="1"/>
  <c r="G91" i="1" s="1"/>
  <c r="G10" i="1"/>
  <c r="F9" i="1"/>
  <c r="G9" i="1" s="1"/>
  <c r="F6" i="1"/>
  <c r="G6" i="1" s="1"/>
  <c r="G50" i="1"/>
  <c r="F43" i="1"/>
  <c r="G23" i="1"/>
  <c r="F22" i="1"/>
  <c r="G22" i="1" s="1"/>
  <c r="G130" i="1"/>
  <c r="F224" i="1" l="1"/>
  <c r="G224" i="1" s="1"/>
  <c r="G43" i="1"/>
  <c r="F42" i="1"/>
  <c r="F288" i="1" l="1"/>
  <c r="G42" i="1"/>
  <c r="F107" i="1"/>
  <c r="G288" i="1" l="1"/>
  <c r="F290" i="1"/>
  <c r="G290" i="1" s="1"/>
  <c r="G107" i="1"/>
  <c r="F124" i="1"/>
  <c r="F291" i="1" l="1"/>
  <c r="G291" i="1" s="1"/>
  <c r="G1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Sarmīte Mūze</author>
  </authors>
  <commentList>
    <comment ref="E280" authorId="0" shapeId="0" xr:uid="{1E97B69E-8391-4F67-A911-90247415320A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Šis ir jāizņem no 0930 un jāliek 0982 algā.
</t>
        </r>
      </text>
    </comment>
    <comment ref="F280" authorId="0" shapeId="0" xr:uid="{209E4FF0-73C7-4611-BFF0-CAF707820FD3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Šis ir jāizņem no 0930 un jāliek 0982 algā.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Sarmīte Mūze</author>
  </authors>
  <commentList>
    <comment ref="B133" authorId="0" shapeId="0" xr:uid="{A1375AAF-C7D9-42CE-8325-141A57367B52}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Ja ir ERAF 5'000'000</t>
        </r>
      </text>
    </comment>
  </commentList>
</comments>
</file>

<file path=xl/sharedStrings.xml><?xml version="1.0" encoding="utf-8"?>
<sst xmlns="http://schemas.openxmlformats.org/spreadsheetml/2006/main" count="1353" uniqueCount="1013">
  <si>
    <t>KA</t>
  </si>
  <si>
    <t>2024. gads</t>
  </si>
  <si>
    <t xml:space="preserve">Ieņēmumu daļa </t>
  </si>
  <si>
    <t xml:space="preserve">N.p.k. </t>
  </si>
  <si>
    <t>Sadaļa</t>
  </si>
  <si>
    <t>CKS</t>
  </si>
  <si>
    <t>2024. gada budžets</t>
  </si>
  <si>
    <t>25.01.2024. grozījumi</t>
  </si>
  <si>
    <t>Izmaiņa 25.01.2024. - 28.12.2023.</t>
  </si>
  <si>
    <t xml:space="preserve">Komentāri </t>
  </si>
  <si>
    <t>1., 2., 3., 4., 5.1.</t>
  </si>
  <si>
    <t>Nodokļu ieņēmumi</t>
  </si>
  <si>
    <t>1.1.1.0.</t>
  </si>
  <si>
    <t>1.</t>
  </si>
  <si>
    <t>Iedzīvotāju ienākuma nodoklis</t>
  </si>
  <si>
    <t>PB</t>
  </si>
  <si>
    <t>01.1.1.2.</t>
  </si>
  <si>
    <t>1.1.</t>
  </si>
  <si>
    <t>pārskata gada</t>
  </si>
  <si>
    <t>1., 2., 3., 4.</t>
  </si>
  <si>
    <t>Nekustamā īpašuma nodokļu ieņēmumi</t>
  </si>
  <si>
    <t>4.1.1.0.</t>
  </si>
  <si>
    <t>2.</t>
  </si>
  <si>
    <t>Nekustamā īpašuma nodoklis par zemi</t>
  </si>
  <si>
    <t>04.1.1.1.</t>
  </si>
  <si>
    <t>2.1.</t>
  </si>
  <si>
    <t>04.1.1.2.</t>
  </si>
  <si>
    <t>2.2.</t>
  </si>
  <si>
    <t>iepriekšējo gadu parādi</t>
  </si>
  <si>
    <t>4.1.2.0.</t>
  </si>
  <si>
    <t>3.</t>
  </si>
  <si>
    <t>Nekustamā īpašuma nodoklis par ēkām</t>
  </si>
  <si>
    <t>04.1.2.1.</t>
  </si>
  <si>
    <t>3.1.</t>
  </si>
  <si>
    <t xml:space="preserve">pārskata gada </t>
  </si>
  <si>
    <t>04.1.2.2.</t>
  </si>
  <si>
    <t>3.2.</t>
  </si>
  <si>
    <t>4.1.3.0.</t>
  </si>
  <si>
    <t>4.</t>
  </si>
  <si>
    <t>Nekustamā īpašuma nodoklis par mājokļiem un inženierbūvēm</t>
  </si>
  <si>
    <t>04.1.3.1.</t>
  </si>
  <si>
    <t>4.1.</t>
  </si>
  <si>
    <t>04.1.3.2.</t>
  </si>
  <si>
    <t>4.2.</t>
  </si>
  <si>
    <t>5.</t>
  </si>
  <si>
    <t>Nodokļi un maksājumi par tiesībām lietot atsevišķas preces</t>
  </si>
  <si>
    <t>5.4.1.0.</t>
  </si>
  <si>
    <t>5.1.</t>
  </si>
  <si>
    <t>Azartspēļu nodoklis</t>
  </si>
  <si>
    <t>5.5.3.1.</t>
  </si>
  <si>
    <t>Dabas resursu nodoklis</t>
  </si>
  <si>
    <t>9.0.0.0.</t>
  </si>
  <si>
    <t>6.</t>
  </si>
  <si>
    <t>Valsts (pašvaldību) un kancelejas nodevas</t>
  </si>
  <si>
    <t>9.4.0.0.</t>
  </si>
  <si>
    <t>6.1.</t>
  </si>
  <si>
    <t>valsts nodevas</t>
  </si>
  <si>
    <t>09.4.2.0.</t>
  </si>
  <si>
    <t>6.1.1.</t>
  </si>
  <si>
    <t>t.sk.: - par apliecinājumiem un citu funkciju pildīšanu bāriņtiesā</t>
  </si>
  <si>
    <t>09.4.5.0.</t>
  </si>
  <si>
    <t>6.1.2.</t>
  </si>
  <si>
    <t>t.sk.: - par civilstāvokļa aktu reģistrēšanu, grozīšanu un papildināšanu</t>
  </si>
  <si>
    <t>09.4.9.0.</t>
  </si>
  <si>
    <t>6.1.3.</t>
  </si>
  <si>
    <t>t.sk.: - pārējās valsts nodevas, kuras ieskaita pašvaldību budžetā</t>
  </si>
  <si>
    <t>9.5.0.0.</t>
  </si>
  <si>
    <t>6.2.</t>
  </si>
  <si>
    <t>pašvaldību nodevas</t>
  </si>
  <si>
    <t>09.5.1.1.</t>
  </si>
  <si>
    <t>6.2.1.</t>
  </si>
  <si>
    <t>t.sk.: - nodeva par domes izstrādāto oficiālo dokumentu saņemšanu</t>
  </si>
  <si>
    <t>09.5.1.2.</t>
  </si>
  <si>
    <t>6.2.2.</t>
  </si>
  <si>
    <t>t.sk.: - nodeva par izklaidējoša rakstura pasākumu sarīkošanu publiskās vietās</t>
  </si>
  <si>
    <t>09.5.1.4.</t>
  </si>
  <si>
    <t>6.2.3.</t>
  </si>
  <si>
    <t>t.sk.: - nodeva par tirdzniecību publiskās vietās</t>
  </si>
  <si>
    <t>09.5.1.7.</t>
  </si>
  <si>
    <t>6.2.4.</t>
  </si>
  <si>
    <t>t.sk.: - nodeva par reklāmas, afišu un sludinājumu izvietošanu publiskās vietās</t>
  </si>
  <si>
    <t>09.5.2.1.</t>
  </si>
  <si>
    <t>6.2.5.</t>
  </si>
  <si>
    <t>t.sk.: - nodeva par būvatļaujas saņemšanu</t>
  </si>
  <si>
    <t>09.5.2.9.</t>
  </si>
  <si>
    <t>6.2.6.</t>
  </si>
  <si>
    <t>t.sk.: - pārējās nodevas</t>
  </si>
  <si>
    <t>10.0.0.0.</t>
  </si>
  <si>
    <t>7.</t>
  </si>
  <si>
    <t>Naudas sodi un sankcijas</t>
  </si>
  <si>
    <t>10.1.4.0.</t>
  </si>
  <si>
    <t>7.1.</t>
  </si>
  <si>
    <t>10.1.5.0.</t>
  </si>
  <si>
    <t>7.2.</t>
  </si>
  <si>
    <t>Naudas sodi, ko uzliek par pārkāpumiem ceļu satiksmē</t>
  </si>
  <si>
    <t>12.0.0.0.</t>
  </si>
  <si>
    <t>8.</t>
  </si>
  <si>
    <t>Pārējie nenodokļu ieņēmumi</t>
  </si>
  <si>
    <t>12.3.9.9.; 8.3.9.0.</t>
  </si>
  <si>
    <t>8.1.</t>
  </si>
  <si>
    <t>citi nenodokļu ieņēmumi</t>
  </si>
  <si>
    <t>12.3.9.5.</t>
  </si>
  <si>
    <t>8.2.</t>
  </si>
  <si>
    <t>līgumsodi un procentu maksājumi par saistību neizpildi</t>
  </si>
  <si>
    <t>8.3.</t>
  </si>
  <si>
    <t>ieņēmumi no zvejas tiesību nomas</t>
  </si>
  <si>
    <t>13.1.0.0.</t>
  </si>
  <si>
    <t>9.</t>
  </si>
  <si>
    <t>Ieņēmumi no pašvaldības īpašuma pārdošana</t>
  </si>
  <si>
    <t>10.</t>
  </si>
  <si>
    <t>Valsts budžeta transferti un projektu finansējums</t>
  </si>
  <si>
    <t>10.1.</t>
  </si>
  <si>
    <t>Valsts budžeta transferti</t>
  </si>
  <si>
    <t>mērķdotācija</t>
  </si>
  <si>
    <t>18.6.2.3.</t>
  </si>
  <si>
    <t>10.1.1.</t>
  </si>
  <si>
    <t>dotācija mākslas skolas algām</t>
  </si>
  <si>
    <t>Precizēta MD</t>
  </si>
  <si>
    <t>18.6.2.4.</t>
  </si>
  <si>
    <t>10.1.2.</t>
  </si>
  <si>
    <t>dotācija sporta skolai</t>
  </si>
  <si>
    <t>18.6.2.10.; 18.6.2.11</t>
  </si>
  <si>
    <t>10.1.3.</t>
  </si>
  <si>
    <t>dotācija skolēnu ēdināšanai</t>
  </si>
  <si>
    <t>18.6.2.5.</t>
  </si>
  <si>
    <t>10.1.4.</t>
  </si>
  <si>
    <t>dotācija mācību līdzekļiem</t>
  </si>
  <si>
    <t xml:space="preserve">  10.1.4.1.</t>
  </si>
  <si>
    <t>t.sk.: - dotācija mācību grāmatām</t>
  </si>
  <si>
    <t xml:space="preserve">  10.1.4.2.</t>
  </si>
  <si>
    <t>t.sk.: - dotācija digitālajiem mācību līdzekļiem</t>
  </si>
  <si>
    <t>18.6.2.0.</t>
  </si>
  <si>
    <t>10.1.5.</t>
  </si>
  <si>
    <t>dotācijas pedagogu algām (vsk., PII)</t>
  </si>
  <si>
    <t>18.6.2.2.</t>
  </si>
  <si>
    <t xml:space="preserve">  10.1.5.1.</t>
  </si>
  <si>
    <t>t.sk.: - piecgadīgo bērnu apmācība</t>
  </si>
  <si>
    <t>18.6.2.1.</t>
  </si>
  <si>
    <t xml:space="preserve">  10.1.5.2.</t>
  </si>
  <si>
    <t>t.sk.: - skolotāju algām</t>
  </si>
  <si>
    <t xml:space="preserve">  10.1.5.3.</t>
  </si>
  <si>
    <t>t.sk.: - interešu izglītība</t>
  </si>
  <si>
    <t>18.6.2.9.</t>
  </si>
  <si>
    <t>10.1.6.</t>
  </si>
  <si>
    <t>dotācija māksliniecisko kolektīvu vadītāju atalgojumam</t>
  </si>
  <si>
    <t>18.6.3.1.</t>
  </si>
  <si>
    <t>10.1.7.</t>
  </si>
  <si>
    <t>Projekts "Skolas soma" Ādaži</t>
  </si>
  <si>
    <t>10.1.8.</t>
  </si>
  <si>
    <t>Projekts "Skolas soma" Carnikava</t>
  </si>
  <si>
    <t>18.6.2.7.</t>
  </si>
  <si>
    <t>10.1.9.</t>
  </si>
  <si>
    <t>dotācija asistenta pakalpojumu nodrošināšanai</t>
  </si>
  <si>
    <t>10.1.10.</t>
  </si>
  <si>
    <t>dotācija sociālajiem darbiniekiem, kuri strādā ar ģimenēm un bērniem</t>
  </si>
  <si>
    <t>AM līdzfinansējums Vecštāles ceļa rekonstrukcijai</t>
  </si>
  <si>
    <t>0420 (18.6.2.9.)</t>
  </si>
  <si>
    <t>10.1.11.</t>
  </si>
  <si>
    <t>valsts dotācija ceļu uzturēšanai</t>
  </si>
  <si>
    <t>Precizēta dotācija +59'292, papildus dotācija par pārņemtajiem ceļiem EUR 1'248</t>
  </si>
  <si>
    <t>Valsts finansējums projektu konkursā "Atbalsts jaunatnes politikas īstenošanai vietējā līmenī" Projekts "Mobilais darbs ar jaunatni Ādažu novadā"</t>
  </si>
  <si>
    <t>10.1.12.</t>
  </si>
  <si>
    <t>Dotācijas Ukrainas pilsoņu atbalstam</t>
  </si>
  <si>
    <t>10.1.13.</t>
  </si>
  <si>
    <t>Dotācijas "Energoresursu atbalsts"</t>
  </si>
  <si>
    <t>18.6.2.6.1.</t>
  </si>
  <si>
    <t>10.1.14.</t>
  </si>
  <si>
    <t>Dotācija nodarbinātības pasākumiem</t>
  </si>
  <si>
    <t>0630</t>
  </si>
  <si>
    <t>18.6.2.9.;</t>
  </si>
  <si>
    <t>10.1.15.</t>
  </si>
  <si>
    <t>pārējās dotācijas</t>
  </si>
  <si>
    <t>Valsts finansējums parakstu vākšanai tautas nobalsošanas ierosināšanai par apturēto likumu “Grozījumi Notariāta likumā”</t>
  </si>
  <si>
    <t>10.2.</t>
  </si>
  <si>
    <t>ES struktūrfondu līdzekļi un aktivitāšu līdzfinansējumi</t>
  </si>
  <si>
    <t>0634</t>
  </si>
  <si>
    <t>18.6.3.6.</t>
  </si>
  <si>
    <t>10.2.1.</t>
  </si>
  <si>
    <t>Plūdu risku projekts</t>
  </si>
  <si>
    <t>Precizēta projekta NP</t>
  </si>
  <si>
    <t>10.2.2.</t>
  </si>
  <si>
    <t>Pastaigu taka gar Baltezera kanālu</t>
  </si>
  <si>
    <t>18.6.3.4</t>
  </si>
  <si>
    <t>10.2.3.</t>
  </si>
  <si>
    <t>LAD, Jūras Zeme projekts, Mākslu skolas ārtelpas projekts Garā iela 20, Carnikavā</t>
  </si>
  <si>
    <t>10.2.4.</t>
  </si>
  <si>
    <t>Publiskās ārtelpas izveide Gaujas ielā 31 Ādažos</t>
  </si>
  <si>
    <t>10.2.5.</t>
  </si>
  <si>
    <t>Projekts "Eiropas pilsētu iniciatīva"</t>
  </si>
  <si>
    <t>10.2.6.</t>
  </si>
  <si>
    <t>Projekts jauniešu asociāciju federācija Eiropas mobilitātei. CERV programmas projekts "YOUTth and democracy: empowering Europe's next generation"</t>
  </si>
  <si>
    <t>10.2.7.</t>
  </si>
  <si>
    <t>Projekts par energokopienām. Magliano Alpi pašvaldības Itālijā CERV Town Twinning programmas projektsa ietvaros</t>
  </si>
  <si>
    <t>0632.6</t>
  </si>
  <si>
    <t>10.2.8.</t>
  </si>
  <si>
    <t>LIFE NewBauhaus projekts</t>
  </si>
  <si>
    <t>0632.5</t>
  </si>
  <si>
    <t>10.2.9.</t>
  </si>
  <si>
    <t>Dalība atveseļošanas un noturības mehānisma pasākumā “Atbalsta pasākumi cilvēkiem ar invaliditāti mājokļu vides pieejamības nodrošināšanai”</t>
  </si>
  <si>
    <t>Saskaņā ar projekta nosacījumiem, tiks ieskaitīts avanss EUR 18'299</t>
  </si>
  <si>
    <t xml:space="preserve">18.6.3.13. </t>
  </si>
  <si>
    <t>10.2.10.</t>
  </si>
  <si>
    <t>SAM 9.2.4.2. projekts "Pasākumi vietējās sabiedrības veselības veicināšanai Ādažu novadā"</t>
  </si>
  <si>
    <t xml:space="preserve">18.6.3.14.  </t>
  </si>
  <si>
    <t>10.2.11.</t>
  </si>
  <si>
    <t>VISA projekts "Atbalsts izglītojamo individuālo kompetenču attīstībai"</t>
  </si>
  <si>
    <t>10.2.12.</t>
  </si>
  <si>
    <t>SAM 9311 Deinstitucionalizācija - Dienas centrs - specializētās darbnīcas</t>
  </si>
  <si>
    <t>10.2.13.</t>
  </si>
  <si>
    <t>Dienas centrs - pakalpojumi (Ā)</t>
  </si>
  <si>
    <t>10.2.14.</t>
  </si>
  <si>
    <t>ESF projekts Atbalsts priekšlaicīgas mācību pārtraukšanas samazināšanai ©</t>
  </si>
  <si>
    <t>18.6.3.20.</t>
  </si>
  <si>
    <t>10.2.15.</t>
  </si>
  <si>
    <t>SAM 5.5.1. Kultūras objektu būvniecība ©</t>
  </si>
  <si>
    <t>10.2.16.</t>
  </si>
  <si>
    <t>ERASMUS + projekti</t>
  </si>
  <si>
    <t>10.2.17.</t>
  </si>
  <si>
    <t xml:space="preserve"> ”Mobilitātes punkta infrastruktūras izveidošana Rīgas metropoles areālā – “Carnikava””</t>
  </si>
  <si>
    <t>10.2.18.</t>
  </si>
  <si>
    <t>Maģistrālā  veloceļa izbūve Rīga-Carnikava</t>
  </si>
  <si>
    <t>10.2.19.</t>
  </si>
  <si>
    <t>Ģimenes ārsta prakses izveide_Garā iela 20 (ERAF, SAM 9.3.2. 4.kārta)</t>
  </si>
  <si>
    <t>0633.6</t>
  </si>
  <si>
    <t>10.2.20.</t>
  </si>
  <si>
    <t>EKII projekts</t>
  </si>
  <si>
    <t>18.6.4.0.</t>
  </si>
  <si>
    <t>10.3.</t>
  </si>
  <si>
    <t>IIN budžeta dotācija</t>
  </si>
  <si>
    <t>11.</t>
  </si>
  <si>
    <t>Pašvaldību budžeta transferti</t>
  </si>
  <si>
    <t>19.2.1.0.</t>
  </si>
  <si>
    <t>11.1.</t>
  </si>
  <si>
    <t>no citām pašvaldībām izglītības funkciju nodrošināšanai</t>
  </si>
  <si>
    <t>19.2.2.0.</t>
  </si>
  <si>
    <t>11.2.</t>
  </si>
  <si>
    <t>citi ieņēmumi no citām pašvaldībam</t>
  </si>
  <si>
    <t>12.</t>
  </si>
  <si>
    <t>Budžeta iestāžu ieņēmumi</t>
  </si>
  <si>
    <t>21.3.5.0.</t>
  </si>
  <si>
    <t>12.1.</t>
  </si>
  <si>
    <t>maksa par izglītības pakalpojumiem</t>
  </si>
  <si>
    <t>21.3.5.2.</t>
  </si>
  <si>
    <t>12.1.1.</t>
  </si>
  <si>
    <t>ieņēmumi no vecāku maksām (PII)</t>
  </si>
  <si>
    <t>21.3.5.9.</t>
  </si>
  <si>
    <t>12.1.2.</t>
  </si>
  <si>
    <t>ieņēmumi no vecāku maksām (ĀMMS; BJSS)</t>
  </si>
  <si>
    <t>12.2.</t>
  </si>
  <si>
    <t>pārrobežu projektu ieņēmumi ©</t>
  </si>
  <si>
    <t>12.2.1.</t>
  </si>
  <si>
    <t>ES Padomes projekts LIFE COHABIT ©</t>
  </si>
  <si>
    <t>0630.2</t>
  </si>
  <si>
    <t>12.2.2.</t>
  </si>
  <si>
    <t>pārrobežu EST-LAT projekts "Militārais mantojums</t>
  </si>
  <si>
    <t>21.3.8.0.</t>
  </si>
  <si>
    <t>12.3.</t>
  </si>
  <si>
    <t>ieņēmumi par nomu un īri</t>
  </si>
  <si>
    <t>21.3.8.1.</t>
  </si>
  <si>
    <t>12.3.1.</t>
  </si>
  <si>
    <t>ieņēmumi par telpu nomu</t>
  </si>
  <si>
    <t>21.3.8.4.</t>
  </si>
  <si>
    <t>12.3.2.</t>
  </si>
  <si>
    <t>ieņēmumi par zemes nomu</t>
  </si>
  <si>
    <t>21.3.8.9.</t>
  </si>
  <si>
    <t>12.3.3.</t>
  </si>
  <si>
    <t>pārējie ieņēmumi par nomu ©</t>
  </si>
  <si>
    <t>21.3.9.0.</t>
  </si>
  <si>
    <t>12.4.</t>
  </si>
  <si>
    <t>budžeta iestāžu maksas pakalpojumi</t>
  </si>
  <si>
    <t>0812</t>
  </si>
  <si>
    <t>12.4.1.</t>
  </si>
  <si>
    <t>21.3.9.3.</t>
  </si>
  <si>
    <t>12.4.2.</t>
  </si>
  <si>
    <t>ieņēmumi no biļešu realizācijas</t>
  </si>
  <si>
    <t>21.3.9.4.</t>
  </si>
  <si>
    <t>12.4.3.</t>
  </si>
  <si>
    <t>ieņēmumi no dzīvokļu un komunālajiem pakalpojumiem ©</t>
  </si>
  <si>
    <t>21.3.9.9.; CKS</t>
  </si>
  <si>
    <t>12.5.</t>
  </si>
  <si>
    <t>pārējie ieņēmumi/stāvvietu ieņēmumi</t>
  </si>
  <si>
    <t>Finansējums Piekrastes apsaimniekošanai ieskaitīts 2023.gada beigās (stāv KA)</t>
  </si>
  <si>
    <t>KOPĀ IEŅĒMUMI:</t>
  </si>
  <si>
    <t>13.</t>
  </si>
  <si>
    <t>Naudas līdzekļu atlikums gada sākumā</t>
  </si>
  <si>
    <t>13.1.</t>
  </si>
  <si>
    <t>Naudas atlikums iezīmētiem mērķiem</t>
  </si>
  <si>
    <t>EUR 104'970 DRN; 
EUR 230 Nodarbinātība; 
EUR - 1 Plūdi; 
EUR 750 ind. komp. att.; 
EUR - 1'034 DI soc. pakalp.; 
EUR - 1'841 Atbalsts priekšlaicīgas māc. Pārtraukš. Samaz.; 
EUR 19'357 Carn. Stad (VK aizņēmums); 
EUR 1'832 Mākslas skolas dotāc; 
EUR 41 ĀBJSS dotāc.; 
EUR 1'093 Aotoceļu MD; 
EUR 13'000 drošības nauda CKS (jāatmaksā); 
EUR 168'382 CKS Saimnieciskā darbība; 
EUR 10'621 Piekrastes apsaimn.; 
EUR 3'808 5-6 gad. MD; 
EUR 904 māc. līdz. MD; 
EUR 17'685 MD pedag.+interešu izgl; 
EUR 76'439 MD ēdināš; 
EUR 38'150 DI darbnīcas;
EUR 31'285 Atskaitīts LAD finansējums Salas dambim (jāatgriež kredīts)
EUR 133'640 Atskaitīts LAD finansējums Lilastes stāvlaukumam (jāatgriež kredīts)</t>
  </si>
  <si>
    <t>13.2.</t>
  </si>
  <si>
    <t>Naudas atlikums pašvaldības līdzekļi</t>
  </si>
  <si>
    <t xml:space="preserve">14. </t>
  </si>
  <si>
    <t>Valsts Kases kredīti</t>
  </si>
  <si>
    <t>14.1.</t>
  </si>
  <si>
    <t>14.2.</t>
  </si>
  <si>
    <t>Jaunas pirmsskolas izglītības iestādes Podniekos</t>
  </si>
  <si>
    <t>F40321210</t>
  </si>
  <si>
    <t>SAM 5.1.1. Pretplūdu pasākumi Ādažu centra polderī, Ādažu novadā</t>
  </si>
  <si>
    <t>Precizēta aizņēmumu summa pēc līguma summas pārcelšanas no 2023.gada</t>
  </si>
  <si>
    <t>14.5.</t>
  </si>
  <si>
    <t>14.6.</t>
  </si>
  <si>
    <t>Carnikavas stadiona rekonstrukcija</t>
  </si>
  <si>
    <t>14.3.</t>
  </si>
  <si>
    <t>Ādažu vidusskolas ēkas B korpusa un savienojuma daļas starp korpusiem (C un B) fasādes atjaunošana</t>
  </si>
  <si>
    <t>Decembra rēķins izrakstīts 30.12., samaksa pārceļas uz 2024.gadu, pārcelts 2023.gada aizņēmuma neizņemtais atlikums.</t>
  </si>
  <si>
    <t>14.4.</t>
  </si>
  <si>
    <t>Ādažu vidusskolas ēkas A korpusa, savienojuma daļas starp korpusiem (A un B), kā arī, vidusskolas centrālās daļas, tai skaitā torņa fasādes atjaunošana.</t>
  </si>
  <si>
    <t>14.10.</t>
  </si>
  <si>
    <t>Katlu mājas pārbūve Carnikavā, Tulpju iela 5</t>
  </si>
  <si>
    <t>14.11.</t>
  </si>
  <si>
    <t>Ķiršu ielas III kārta no Saules ielas līdz Attekas ielai 0.17km</t>
  </si>
  <si>
    <t>14.12.</t>
  </si>
  <si>
    <t>Draudzības iela posmā no Saules ielai līdz Podnieku ielai ar ietvi 0.35km</t>
  </si>
  <si>
    <t>PAVISAM KOPĀ IEŅĒMUMI:</t>
  </si>
  <si>
    <t xml:space="preserve">Izdevumu daļa </t>
  </si>
  <si>
    <t>23.03.2023. grozījumi</t>
  </si>
  <si>
    <t>Izmaiņa 23.03.2023. - 26.01.2023.</t>
  </si>
  <si>
    <t>Komentāri</t>
  </si>
  <si>
    <t>Vispārējie valdības dienesti</t>
  </si>
  <si>
    <t>0110</t>
  </si>
  <si>
    <t>pārvalde</t>
  </si>
  <si>
    <t>0111</t>
  </si>
  <si>
    <t>1.2.</t>
  </si>
  <si>
    <t>deputāti</t>
  </si>
  <si>
    <t>0130</t>
  </si>
  <si>
    <t>1.3.</t>
  </si>
  <si>
    <t>administratīvā komisija</t>
  </si>
  <si>
    <t>0140</t>
  </si>
  <si>
    <t>1.4.</t>
  </si>
  <si>
    <t>iepirkumu komisija</t>
  </si>
  <si>
    <t>0120</t>
  </si>
  <si>
    <t>1.5.</t>
  </si>
  <si>
    <t>vēlēšanu komisija</t>
  </si>
  <si>
    <t>0150</t>
  </si>
  <si>
    <t>1.6.</t>
  </si>
  <si>
    <t>pārējās komisijas</t>
  </si>
  <si>
    <t>1.7.</t>
  </si>
  <si>
    <t>aizņēmumu procentu maksājumi</t>
  </si>
  <si>
    <t>1.8.</t>
  </si>
  <si>
    <t>Iemaksas PFIF</t>
  </si>
  <si>
    <t>0170</t>
  </si>
  <si>
    <t>1.9.</t>
  </si>
  <si>
    <t>Informācijas tehnoloģiju nodaļa, vispārējas nozīmes dienestu darbība un pakalpojumi - datortīkla uzturēšana ©</t>
  </si>
  <si>
    <t>Pārējie vispārēja rakstura transferti</t>
  </si>
  <si>
    <t>0610</t>
  </si>
  <si>
    <t>Izdevumi neparedzētiem gadījumiem</t>
  </si>
  <si>
    <t>0340</t>
  </si>
  <si>
    <t>Sabiedriskā kārtība un drošība</t>
  </si>
  <si>
    <t>Uzkopšanas gada maksa ielikta CKS, bet janvāra maksājums vēl jāveic caur policijas budžetu</t>
  </si>
  <si>
    <t>Ekonomiskā darbība</t>
  </si>
  <si>
    <t>0490</t>
  </si>
  <si>
    <t>Sabiedriskās attiecības, laikraksts</t>
  </si>
  <si>
    <t>4.1.1.</t>
  </si>
  <si>
    <t>Sabiedrisko attiecību nodaļa</t>
  </si>
  <si>
    <t>4.1.2.</t>
  </si>
  <si>
    <t>Ādažu vēstis</t>
  </si>
  <si>
    <t>0420</t>
  </si>
  <si>
    <t>Autoceļu fonds</t>
  </si>
  <si>
    <t>KA EUR 1'093, precizēta dotācija +59'292, papildus dotācija par pārņemtajiem ceļiem EUR 1'248</t>
  </si>
  <si>
    <t>Vides aizsardzība</t>
  </si>
  <si>
    <t>0510</t>
  </si>
  <si>
    <t>Dabas resursu nodokļa izlietojums</t>
  </si>
  <si>
    <t>Pašvaldības teritoriju un mājokļu apsaimniekošana</t>
  </si>
  <si>
    <t>0620</t>
  </si>
  <si>
    <t>Būvvalde</t>
  </si>
  <si>
    <t>0660</t>
  </si>
  <si>
    <t>6.3.</t>
  </si>
  <si>
    <t>Teritorijas plānošanas nodaļa</t>
  </si>
  <si>
    <t>6.4.</t>
  </si>
  <si>
    <t>Attīstības un projektu nodaļa</t>
  </si>
  <si>
    <t>6.4.1.</t>
  </si>
  <si>
    <t>nodaļa</t>
  </si>
  <si>
    <t>0630.1</t>
  </si>
  <si>
    <t>6.4.2.</t>
  </si>
  <si>
    <t>Projekts "Sabiedrība ar dvēseli"</t>
  </si>
  <si>
    <t>6.4.3.</t>
  </si>
  <si>
    <t>Iedzīvotāju iniciatīvas un konkursi.</t>
  </si>
  <si>
    <t>6.4.4.</t>
  </si>
  <si>
    <t>TEP “Atjaunojamo energoresursu izmantošana Ādažu novadā” (EUCF)</t>
  </si>
  <si>
    <t>0633.1</t>
  </si>
  <si>
    <t>6.4.5.</t>
  </si>
  <si>
    <t>”Mobilitātes punkta infrastruktūras izveidošana Rīgas metropoles areālā – “Carnikava””</t>
  </si>
  <si>
    <t>0633.2</t>
  </si>
  <si>
    <t>6.4.6.</t>
  </si>
  <si>
    <t>0632.4</t>
  </si>
  <si>
    <t>6.4.7.</t>
  </si>
  <si>
    <t>6.4.8.</t>
  </si>
  <si>
    <t>6.4.9.</t>
  </si>
  <si>
    <t>6.4.10.</t>
  </si>
  <si>
    <t>6.4.11.</t>
  </si>
  <si>
    <t>6.4.12.</t>
  </si>
  <si>
    <t>6.4.13.</t>
  </si>
  <si>
    <t>6.4.14.</t>
  </si>
  <si>
    <t>ANM pasākuma "Atbalsta pasākumi cilvēkiem ar invaliditāti mājokļu vides pieejamības nodrošināšanai" projekts</t>
  </si>
  <si>
    <t>Pārrobežu EST-LAT projekts "Militārais mantojums ©</t>
  </si>
  <si>
    <t>0633.5</t>
  </si>
  <si>
    <t>6.5.</t>
  </si>
  <si>
    <t>Objektu un teritorijas apsaimniekošana un uzturēšana</t>
  </si>
  <si>
    <t>0670</t>
  </si>
  <si>
    <t>6.5.1.</t>
  </si>
  <si>
    <t xml:space="preserve">Nekustamā īpašumas nodaļa </t>
  </si>
  <si>
    <t>0649</t>
  </si>
  <si>
    <t>6.5.2.</t>
  </si>
  <si>
    <t>Vecštāles ceļa rekonstrukcija</t>
  </si>
  <si>
    <t>6.5.3.</t>
  </si>
  <si>
    <t>precizēts KA, VK aizņēmuma summa un atlikušais ienākošais ERAF finansējums</t>
  </si>
  <si>
    <t>CKS_apsaimniek</t>
  </si>
  <si>
    <t>6.5.4.</t>
  </si>
  <si>
    <t>Pašvaldības aģentūra "Carnikavas Komunālserviss"</t>
  </si>
  <si>
    <t>6.5.5.</t>
  </si>
  <si>
    <t>P/A "Carnikavas komunālserviss" teritorijas un īpašumu apsaimniekošana</t>
  </si>
  <si>
    <t>6.5.5.1</t>
  </si>
  <si>
    <t>Dotācija CKS teritorijas uzturēšanai</t>
  </si>
  <si>
    <t>6.5.5.2.</t>
  </si>
  <si>
    <t>Dotācija CKS ceļu uzturēšanai</t>
  </si>
  <si>
    <t>6.5.5.3.</t>
  </si>
  <si>
    <t>Teritorijas uzturēšana (Dome)</t>
  </si>
  <si>
    <t>6.5.6.</t>
  </si>
  <si>
    <t>Tirgus laukuma lietus kanalizācijas izbūve Ādažos</t>
  </si>
  <si>
    <t>6.5.7.</t>
  </si>
  <si>
    <t>Viršu ielas/atzars uz Sproģu ielu asfaltbetona seguma atjaunošana posmā no Dzērveņu ielas līdz Serģu iela (980 m)</t>
  </si>
  <si>
    <t>6.5.8.</t>
  </si>
  <si>
    <t>Dzirnupes ielas tilta projekts, Carnikava</t>
  </si>
  <si>
    <t>6.5.9.</t>
  </si>
  <si>
    <t>6.5.10.</t>
  </si>
  <si>
    <t>Attekas ielas turpinājums 0,5 km - projektēšana</t>
  </si>
  <si>
    <t>6.5.11.</t>
  </si>
  <si>
    <t xml:space="preserve">Apgaismes stabi Attekas ielas savienojumā no Ķiršu līdz Draudzības ielai. </t>
  </si>
  <si>
    <t>6.5.12.</t>
  </si>
  <si>
    <t>6.5.13.</t>
  </si>
  <si>
    <t>0633.4</t>
  </si>
  <si>
    <t>6.5.14.</t>
  </si>
  <si>
    <t>KF Ūdenssaimniecības projekts Carnikavā, 3.kārta ©</t>
  </si>
  <si>
    <t>Atpūta, kultūra un reliģija</t>
  </si>
  <si>
    <t>Kultūra</t>
  </si>
  <si>
    <t>0841.1</t>
  </si>
  <si>
    <t>7.1.1.</t>
  </si>
  <si>
    <t xml:space="preserve">Ādažu kultūras centrs </t>
  </si>
  <si>
    <t>0841.2</t>
  </si>
  <si>
    <t>7.1.2.</t>
  </si>
  <si>
    <t>Tautas nams "Ozolaine" ©</t>
  </si>
  <si>
    <t>0841.3</t>
  </si>
  <si>
    <t>7.1.3.</t>
  </si>
  <si>
    <t>Muzejs un Carnikavas novadpētniecības centrs</t>
  </si>
  <si>
    <t>08412</t>
  </si>
  <si>
    <t>7.1.4.</t>
  </si>
  <si>
    <t>Tūrisms</t>
  </si>
  <si>
    <t>0844.1</t>
  </si>
  <si>
    <t>7.3.</t>
  </si>
  <si>
    <t>SAM 5.5.1. Kultūras objektu būvniecība (maksājumi projekta partneriem) ©</t>
  </si>
  <si>
    <t>0844.2</t>
  </si>
  <si>
    <t>7.4.</t>
  </si>
  <si>
    <t>ES projekts Eiropa pilsoņiem (diskriminētām personām) ©</t>
  </si>
  <si>
    <t>0830</t>
  </si>
  <si>
    <t>7.5.</t>
  </si>
  <si>
    <t xml:space="preserve">Ādažu bibliotēka </t>
  </si>
  <si>
    <t>0831</t>
  </si>
  <si>
    <t>7.6.</t>
  </si>
  <si>
    <t xml:space="preserve">Carnikavas bibliotēka </t>
  </si>
  <si>
    <t>7.8.</t>
  </si>
  <si>
    <t>Sporta daļa</t>
  </si>
  <si>
    <t>7.8.1.</t>
  </si>
  <si>
    <t>-  sporta funkcijas nodrošināšana</t>
  </si>
  <si>
    <t>Atalgojums, kas pāriet uz CKS</t>
  </si>
  <si>
    <t>7.8.2.</t>
  </si>
  <si>
    <t>- uzturēšanas izmaksas (CKS)</t>
  </si>
  <si>
    <t>0880</t>
  </si>
  <si>
    <t>7.9.</t>
  </si>
  <si>
    <t>Evaņģēliski luteriskās draudzes</t>
  </si>
  <si>
    <t>0843</t>
  </si>
  <si>
    <t>7.10.</t>
  </si>
  <si>
    <t>Multihalle</t>
  </si>
  <si>
    <t>Sociālā aizsardzība</t>
  </si>
  <si>
    <t>Sociālais dienests</t>
  </si>
  <si>
    <t>8.1.1.</t>
  </si>
  <si>
    <t xml:space="preserve">Sociālās funkcijas nodrošināšana </t>
  </si>
  <si>
    <t>8.1.2.</t>
  </si>
  <si>
    <t>Pabalsti</t>
  </si>
  <si>
    <t>8.1.3.</t>
  </si>
  <si>
    <t>Mērķdotācija</t>
  </si>
  <si>
    <t>8.1.5.</t>
  </si>
  <si>
    <t>Asistentu pakalpojumi</t>
  </si>
  <si>
    <t>8.1.6.</t>
  </si>
  <si>
    <t>Sociālā centra "Kadiķis" uzturēšana</t>
  </si>
  <si>
    <t>Stipendiāti / bezdarbnieki</t>
  </si>
  <si>
    <t>8.2.1.</t>
  </si>
  <si>
    <t>Domes finansējums</t>
  </si>
  <si>
    <t>8.2.2.</t>
  </si>
  <si>
    <t>NVA finansējums</t>
  </si>
  <si>
    <t>SAM 9311 Deinstitucionalizācija - Dienas centrs</t>
  </si>
  <si>
    <t>1014.3</t>
  </si>
  <si>
    <t>8.3.1.</t>
  </si>
  <si>
    <t>DI centra uzturēšanas izdevumi</t>
  </si>
  <si>
    <t>8.3.2.</t>
  </si>
  <si>
    <t>DI projekts- specializētās darbnīcas</t>
  </si>
  <si>
    <t>DI projekta KA</t>
  </si>
  <si>
    <t>1014.1</t>
  </si>
  <si>
    <t>8.3.3.</t>
  </si>
  <si>
    <t>DI centra pakalpojumi (projekts)</t>
  </si>
  <si>
    <t>8.4.</t>
  </si>
  <si>
    <t>Bāriņtiesa</t>
  </si>
  <si>
    <t>8.5.</t>
  </si>
  <si>
    <t>8.6.</t>
  </si>
  <si>
    <t>1013.1</t>
  </si>
  <si>
    <t>8.7.</t>
  </si>
  <si>
    <t>SAM 9.2.4.2. projekts "Pasākumi vietējās sabiedrības veselības veicināšanai Ādažu novada pašvaldības Ādažu pagastā"</t>
  </si>
  <si>
    <t>1013.2</t>
  </si>
  <si>
    <t>8.8.</t>
  </si>
  <si>
    <t>SAM 9.2.4.2. projekts "Pasākumi vietējās sabiedrības veselības veicināšanai Ādažu novada pašvaldības Carnikavas pagastā"</t>
  </si>
  <si>
    <t>Izglītība</t>
  </si>
  <si>
    <t>7210 (0940; 0970)</t>
  </si>
  <si>
    <t>9.1.</t>
  </si>
  <si>
    <t>Norēķini ar pašvaldību budžetiem par izglītības iestāžu pakalpojumiem</t>
  </si>
  <si>
    <t>9.2.</t>
  </si>
  <si>
    <t>Ādažu Pirmsskolas izglītības iestāde</t>
  </si>
  <si>
    <t>0911</t>
  </si>
  <si>
    <t>9.2.1.</t>
  </si>
  <si>
    <t>pedagogu algas, grāmatas (mērķdotācija)</t>
  </si>
  <si>
    <t>Mērķdotācijas KA</t>
  </si>
  <si>
    <t>0910</t>
  </si>
  <si>
    <t>9.2.2.</t>
  </si>
  <si>
    <t>pārējās izmaksas</t>
  </si>
  <si>
    <t>Atalgojums, kas pāriet uz CKS un algas korekcija, precizējot MD</t>
  </si>
  <si>
    <t>9.2.3.</t>
  </si>
  <si>
    <t>uzturēšanas izmaksas (CKS)</t>
  </si>
  <si>
    <t>9.3.</t>
  </si>
  <si>
    <t>Kadagas PII</t>
  </si>
  <si>
    <t>0921</t>
  </si>
  <si>
    <t>9.3.1.</t>
  </si>
  <si>
    <t>0920</t>
  </si>
  <si>
    <t>9.3.2.</t>
  </si>
  <si>
    <t>9.3.3.</t>
  </si>
  <si>
    <t>9.4.</t>
  </si>
  <si>
    <t>Pirmsskolas izglītības iestāde "Riekstiņš"</t>
  </si>
  <si>
    <t>09011</t>
  </si>
  <si>
    <t>9.4.1.</t>
  </si>
  <si>
    <t>0901; 650_0901</t>
  </si>
  <si>
    <t>9.4.2.</t>
  </si>
  <si>
    <t>9.4.3.</t>
  </si>
  <si>
    <t>0902; 650_0902</t>
  </si>
  <si>
    <t>9.5.</t>
  </si>
  <si>
    <t>Pirmsskolas izglītības iestādes "Piejūra"</t>
  </si>
  <si>
    <t>09021</t>
  </si>
  <si>
    <t>9.5.1.</t>
  </si>
  <si>
    <t>9.5.2.</t>
  </si>
  <si>
    <t>9.5.3.</t>
  </si>
  <si>
    <t>9.6.</t>
  </si>
  <si>
    <t>Privātās izglītības iestādes</t>
  </si>
  <si>
    <t>0970</t>
  </si>
  <si>
    <t>9.6.1.</t>
  </si>
  <si>
    <t>ĀBVS</t>
  </si>
  <si>
    <t>0940</t>
  </si>
  <si>
    <t>9.6.2.</t>
  </si>
  <si>
    <t>Privātās skolas</t>
  </si>
  <si>
    <t>9.6.3.</t>
  </si>
  <si>
    <t>Pārējās privātās PII</t>
  </si>
  <si>
    <t>9.7.</t>
  </si>
  <si>
    <t>Carnikavas pamatskola</t>
  </si>
  <si>
    <t>09821</t>
  </si>
  <si>
    <t>9.7.1.</t>
  </si>
  <si>
    <t>9.7.2.</t>
  </si>
  <si>
    <t>ēdināšana (mērķdotācija)</t>
  </si>
  <si>
    <t>0982; 0650_0982</t>
  </si>
  <si>
    <t>9.7.3.</t>
  </si>
  <si>
    <t>Precizēts sadalījums starp pašvaldību un MD</t>
  </si>
  <si>
    <t>9.7.4.</t>
  </si>
  <si>
    <t>09822</t>
  </si>
  <si>
    <t>9.7.5.</t>
  </si>
  <si>
    <t>projekts "Skolas soma"</t>
  </si>
  <si>
    <t>09825</t>
  </si>
  <si>
    <t>9.7.6.</t>
  </si>
  <si>
    <t>projekti Erasmus+; NordPlus</t>
  </si>
  <si>
    <t>0982</t>
  </si>
  <si>
    <t>9.7.7.</t>
  </si>
  <si>
    <t>mācību vides labiekārtošana</t>
  </si>
  <si>
    <t>09823</t>
  </si>
  <si>
    <t>9.8.</t>
  </si>
  <si>
    <t>KA (VK aizņēmums) un uz 2024.gadu pārceļam'summa, jo būvnieks navarēja pabeigt projektu, saskaņā ar līguma termiņiem</t>
  </si>
  <si>
    <t>9.9.</t>
  </si>
  <si>
    <t>Ādažu vidusskola</t>
  </si>
  <si>
    <t>0954</t>
  </si>
  <si>
    <t>9.9.1.</t>
  </si>
  <si>
    <t>0950</t>
  </si>
  <si>
    <t>9.9.2.</t>
  </si>
  <si>
    <t>Atalgojums, kas pāriet uz CKS; atalgojuma korekcija, dalot likmes MD</t>
  </si>
  <si>
    <t>9.9.3.</t>
  </si>
  <si>
    <t>0957</t>
  </si>
  <si>
    <t>9.9.4.</t>
  </si>
  <si>
    <t>projekts Erasmus+</t>
  </si>
  <si>
    <t>0951</t>
  </si>
  <si>
    <t>9.9.5.</t>
  </si>
  <si>
    <t>9.9.6.</t>
  </si>
  <si>
    <t>Decembra rēķins izrakstīts 30.12., samaksa pārceļas uz 2024.gadu</t>
  </si>
  <si>
    <t>9.9.7.</t>
  </si>
  <si>
    <t>0981</t>
  </si>
  <si>
    <t>9.9.8.</t>
  </si>
  <si>
    <t>sākumskolas uzturēšanas izmaksas</t>
  </si>
  <si>
    <t>Atalgojums, kas pāriet uz CKS; atalgojuma korekcija, dalot likes MD</t>
  </si>
  <si>
    <t>9.9.9.</t>
  </si>
  <si>
    <t>sākumskolas uzturēšanas izmaksas (CKS)</t>
  </si>
  <si>
    <t>9.9.10.</t>
  </si>
  <si>
    <t>sākumskolas ēdināšana (mērķdotācija)</t>
  </si>
  <si>
    <t>9.9.11.</t>
  </si>
  <si>
    <t xml:space="preserve">PII </t>
  </si>
  <si>
    <t>0952.1</t>
  </si>
  <si>
    <t>9.9.11.1.</t>
  </si>
  <si>
    <t>- pedagogu algas (mērķdotācija)</t>
  </si>
  <si>
    <t>0952</t>
  </si>
  <si>
    <t>9.9.11.2.</t>
  </si>
  <si>
    <t>-  uzturēšana</t>
  </si>
  <si>
    <t>9.9.11.3.</t>
  </si>
  <si>
    <t>9.10.</t>
  </si>
  <si>
    <t>Ādažu novada  Mākslu skola</t>
  </si>
  <si>
    <t>9.10.1.</t>
  </si>
  <si>
    <t>pedagogu algas (mērķdotācija)</t>
  </si>
  <si>
    <t>KA, precizēta MD</t>
  </si>
  <si>
    <t>9.10.2.</t>
  </si>
  <si>
    <t>Atalgojuma pieaugums pēc MD apstiprināšanas un algu tarifikācijas</t>
  </si>
  <si>
    <t>9.11.</t>
  </si>
  <si>
    <t>Sporta skola</t>
  </si>
  <si>
    <t>09651</t>
  </si>
  <si>
    <t>9.11.1.</t>
  </si>
  <si>
    <t>0965</t>
  </si>
  <si>
    <t>9.11.2.</t>
  </si>
  <si>
    <t>Pašvaldības finansējums</t>
  </si>
  <si>
    <t>0930</t>
  </si>
  <si>
    <t>9.12.</t>
  </si>
  <si>
    <t>Izglītības un jaunatnes nodaļa</t>
  </si>
  <si>
    <t>9.13.</t>
  </si>
  <si>
    <t>Līdzfinansējums skolēnu dalībai konkursos</t>
  </si>
  <si>
    <t>0931</t>
  </si>
  <si>
    <t>9.14.</t>
  </si>
  <si>
    <t xml:space="preserve">ESF projekts Atbalsts priekšlaicīgas mācību pārtraukšanas samazināšanai © </t>
  </si>
  <si>
    <t>0932</t>
  </si>
  <si>
    <t>9.15.</t>
  </si>
  <si>
    <t>ESF projekts Karjeras atbalsts vispārējās un profesionālās izglītības iestādēs ©</t>
  </si>
  <si>
    <t>0933</t>
  </si>
  <si>
    <t>9.16.</t>
  </si>
  <si>
    <t>Valsts finansējums projektu konkursā "Atbalsts jaunatnes politikas īstenošanai vietējā līmenī"  projekts "Mobilais darbs ar jaunatni Ādažu novadā"</t>
  </si>
  <si>
    <t>9.17.</t>
  </si>
  <si>
    <t>9.18.</t>
  </si>
  <si>
    <t>0956</t>
  </si>
  <si>
    <t>9.18.1.</t>
  </si>
  <si>
    <t>Ādaži</t>
  </si>
  <si>
    <t>09824</t>
  </si>
  <si>
    <t>9.18.2.</t>
  </si>
  <si>
    <t>Carnikava</t>
  </si>
  <si>
    <t>10</t>
  </si>
  <si>
    <t>Ieguldījumi uzņēmumu pamatkapitālā</t>
  </si>
  <si>
    <t>SIA "Ādažu ūdens"</t>
  </si>
  <si>
    <t>SIA "Garkalnes ūdens"</t>
  </si>
  <si>
    <t>KOPĀ IZDEVUMI:</t>
  </si>
  <si>
    <t>Kredītu pamatsummas atmaksa</t>
  </si>
  <si>
    <t>PAVISAM KOPĀ IZDEVUMI:</t>
  </si>
  <si>
    <t>-</t>
  </si>
  <si>
    <t>Naudas līdzekļu atlikums uz gada beigām</t>
  </si>
  <si>
    <t>AND trūkstošais finansējums, kas jāatmaksā citām pašv.</t>
  </si>
  <si>
    <t>Ādažu pašvaldības budžets</t>
  </si>
  <si>
    <t>EUR 37'335 Atskaitīts LAD finansējums Salas dambim (jāatgriež kredīts)
EUR 133'640 Atskaitīts LAD finansējums Lilastes stāvlaukumam (jāatgriež kredīts) + 67, lai nosegtu 2024. visu pamatsummu</t>
  </si>
  <si>
    <t>Ādažu novada pašvaldības aizņēmumu un citu ilgtermiņa saistību pārskats</t>
  </si>
  <si>
    <t>Aizņēmumu pamatsummu un procentu atmaksa faktiskajiem un plānotajiem aizņēmumiem.</t>
  </si>
  <si>
    <t>Nr.p.k.</t>
  </si>
  <si>
    <t>Nosaukums</t>
  </si>
  <si>
    <t>Aizņēmuma līgums</t>
  </si>
  <si>
    <t>Trančes numurs</t>
  </si>
  <si>
    <t>Līguma noslēgšanas datums</t>
  </si>
  <si>
    <t>Aizņēmuma beigu termiņš</t>
  </si>
  <si>
    <t>Aizņēmuma summa, EUR</t>
  </si>
  <si>
    <t>Maksājuma veids</t>
  </si>
  <si>
    <t>2031 - 2053</t>
  </si>
  <si>
    <t>Kopsumma 2024 - 2053</t>
  </si>
  <si>
    <t xml:space="preserve">Stabilizācijas aizdevums </t>
  </si>
  <si>
    <t>A2/1/11/107</t>
  </si>
  <si>
    <t>P-50/2011</t>
  </si>
  <si>
    <t>11.04.2011</t>
  </si>
  <si>
    <t>20.04.2036</t>
  </si>
  <si>
    <t>Pamatsumma</t>
  </si>
  <si>
    <t>(1.kārtas 2.posms)</t>
  </si>
  <si>
    <t>Procentu maksa</t>
  </si>
  <si>
    <t>A2/1/11/549</t>
  </si>
  <si>
    <t>P-350/2011</t>
  </si>
  <si>
    <t>22.09.2011</t>
  </si>
  <si>
    <t>22.12.2031</t>
  </si>
  <si>
    <t>(1.kārtas 3.posms)</t>
  </si>
  <si>
    <t>Stabilizācijas aizdevums</t>
  </si>
  <si>
    <t>A2/1/12/328</t>
  </si>
  <si>
    <t>P-219/2012</t>
  </si>
  <si>
    <t>11.07.2012</t>
  </si>
  <si>
    <t>25.03.2032</t>
  </si>
  <si>
    <t>SIA "Ādažu ūdens" (2.kārta 1.posms)</t>
  </si>
  <si>
    <t>A2/1/13/1000</t>
  </si>
  <si>
    <t>P-441/2013</t>
  </si>
  <si>
    <t>26.11.2013</t>
  </si>
  <si>
    <t>27.11.2023</t>
  </si>
  <si>
    <t>(2.kārta 2.posms)</t>
  </si>
  <si>
    <t>Gaujas ielas rekonstrukcija</t>
  </si>
  <si>
    <t>A2/1/17/301</t>
  </si>
  <si>
    <t>P-196/2017</t>
  </si>
  <si>
    <t>19.05.2017</t>
  </si>
  <si>
    <t>20.05.2032</t>
  </si>
  <si>
    <t xml:space="preserve"> (1.-3.kārta)</t>
  </si>
  <si>
    <t>A2/1/17/596</t>
  </si>
  <si>
    <t>P-450/2017</t>
  </si>
  <si>
    <t>21.08.2017</t>
  </si>
  <si>
    <t>20.08.2032</t>
  </si>
  <si>
    <t xml:space="preserve"> (4.kārta)</t>
  </si>
  <si>
    <t xml:space="preserve">Jaunās skolas būvniecība </t>
  </si>
  <si>
    <t>A2/1/18/123</t>
  </si>
  <si>
    <t>P-94/2018</t>
  </si>
  <si>
    <t>03.04.2018</t>
  </si>
  <si>
    <t>22.06.2048</t>
  </si>
  <si>
    <t>(1.-2. kārta)</t>
  </si>
  <si>
    <t xml:space="preserve">ELFLA projekts pievadceļu attīstība </t>
  </si>
  <si>
    <t>A2/1/18/139</t>
  </si>
  <si>
    <t>P-109/2018</t>
  </si>
  <si>
    <t>05.04.2018</t>
  </si>
  <si>
    <t>22.03.2038</t>
  </si>
  <si>
    <t xml:space="preserve">lauksaimniecības uzņēmumiem </t>
  </si>
  <si>
    <t>Ceļu, ielu infrastruktūras programma</t>
  </si>
  <si>
    <t>A2/1/18/251</t>
  </si>
  <si>
    <t>P-205/2018</t>
  </si>
  <si>
    <t>28.05.2018</t>
  </si>
  <si>
    <t>20.05.2038</t>
  </si>
  <si>
    <t>(1.kārta)</t>
  </si>
  <si>
    <t xml:space="preserve">Komunālās saimniecības </t>
  </si>
  <si>
    <t>A2/1/18/252</t>
  </si>
  <si>
    <t>P-200/2018</t>
  </si>
  <si>
    <t>20.05.2025</t>
  </si>
  <si>
    <t xml:space="preserve">investīcijas transportam </t>
  </si>
  <si>
    <t xml:space="preserve">ES Interreg Igaunijas - Latvijas projekts </t>
  </si>
  <si>
    <t>A2/1/18/255</t>
  </si>
  <si>
    <t>P-203/2018</t>
  </si>
  <si>
    <t>20.05.2033</t>
  </si>
  <si>
    <t>"Hiking Route Along the Baltic Sea Coastline in Latvia-Estonia"</t>
  </si>
  <si>
    <t xml:space="preserve">ERAF projekts Natura 2000 </t>
  </si>
  <si>
    <t>A2/1/18/254</t>
  </si>
  <si>
    <t>P-202/2018</t>
  </si>
  <si>
    <t>Atpūtas taka Carnikavā</t>
  </si>
  <si>
    <t>Prioritāro projektu īstenošana:</t>
  </si>
  <si>
    <t>A2/1/18/452</t>
  </si>
  <si>
    <t>P-374/2018</t>
  </si>
  <si>
    <t>12.07.2018</t>
  </si>
  <si>
    <t>20.06.2028</t>
  </si>
  <si>
    <t xml:space="preserve"> bērnu rotaļu laukumi Carnikavas novadā</t>
  </si>
  <si>
    <t>Izglītības iestāžu investīciju projekts -</t>
  </si>
  <si>
    <t>A2/1/18/529</t>
  </si>
  <si>
    <t>P-435/2018</t>
  </si>
  <si>
    <t>03.08.2018</t>
  </si>
  <si>
    <t>20.07.2048</t>
  </si>
  <si>
    <t xml:space="preserve"> Piejūras PII būvniecība</t>
  </si>
  <si>
    <t xml:space="preserve">Izglītības iestāžu investīciju projekts - </t>
  </si>
  <si>
    <t>A2/1/18/528</t>
  </si>
  <si>
    <t>P-436/2018</t>
  </si>
  <si>
    <t>Carnikavas izglītības iestādes būvniecība no moduļiem</t>
  </si>
  <si>
    <t>A2/1/18/611</t>
  </si>
  <si>
    <t>P-500/2018</t>
  </si>
  <si>
    <t>04.09.2018</t>
  </si>
  <si>
    <t>20.08.2038</t>
  </si>
  <si>
    <t xml:space="preserve"> (2.kārta)</t>
  </si>
  <si>
    <t xml:space="preserve">Ceļu, ielu infrastruktūras programma </t>
  </si>
  <si>
    <t>A2/1/18/643</t>
  </si>
  <si>
    <t>P-537/2018</t>
  </si>
  <si>
    <t>12.09.2018</t>
  </si>
  <si>
    <t>(3.kārta)</t>
  </si>
  <si>
    <t>Attekas ielas rekonstrukcija</t>
  </si>
  <si>
    <t>A2/1/18/644</t>
  </si>
  <si>
    <t>P-538/2018</t>
  </si>
  <si>
    <t>20.09.2033</t>
  </si>
  <si>
    <t>Muižas ielas rekonstrukcijai</t>
  </si>
  <si>
    <t>A2/1/18/711</t>
  </si>
  <si>
    <t>P-580/2018</t>
  </si>
  <si>
    <t>10.10.2018</t>
  </si>
  <si>
    <t>20.09.2028</t>
  </si>
  <si>
    <t>A2/1/18/777</t>
  </si>
  <si>
    <t>P-643/2018</t>
  </si>
  <si>
    <t>12.11.2018</t>
  </si>
  <si>
    <t>20.10.2038</t>
  </si>
  <si>
    <t>( 4.kārta)</t>
  </si>
  <si>
    <t xml:space="preserve">Prioritārais projekts Dambja būvniecība </t>
  </si>
  <si>
    <t>A2/1/18/818</t>
  </si>
  <si>
    <t>P-666/2018</t>
  </si>
  <si>
    <t>21.11.2018</t>
  </si>
  <si>
    <t>22.11.2038</t>
  </si>
  <si>
    <t xml:space="preserve">Valteru ielā </t>
  </si>
  <si>
    <t xml:space="preserve">Pārjaunojuma līgums </t>
  </si>
  <si>
    <t>A2/1/19/50</t>
  </si>
  <si>
    <t>PP-5/2019</t>
  </si>
  <si>
    <t>05.03.2019</t>
  </si>
  <si>
    <t>20.09.2035</t>
  </si>
  <si>
    <t>visiem līgumiem līdz 2015.gadam</t>
  </si>
  <si>
    <t>ELFLA Eimuru - Mangaļu poldera</t>
  </si>
  <si>
    <t>A2/1/19/57</t>
  </si>
  <si>
    <t>P-31/2019</t>
  </si>
  <si>
    <t>06.03.2019</t>
  </si>
  <si>
    <t>20.02.2029</t>
  </si>
  <si>
    <t xml:space="preserve"> meliorācijas grāvju atjaunošana Carnikavas novadā</t>
  </si>
  <si>
    <t xml:space="preserve">ERAF projekta SAM 3.3.1. Uzņēmējdarbības </t>
  </si>
  <si>
    <t>A2/1/19/225</t>
  </si>
  <si>
    <t>P-150/2019</t>
  </si>
  <si>
    <t>13.06.2019</t>
  </si>
  <si>
    <t>20.05.2049</t>
  </si>
  <si>
    <t>attīstībai nepieciešamās infrastruktūras Carnikavas novada Garciemā" īstenošanai</t>
  </si>
  <si>
    <t>SAM 4.2.2. ĀPII remontdarbi</t>
  </si>
  <si>
    <t>A2/1/19/370</t>
  </si>
  <si>
    <t>P-236/2019</t>
  </si>
  <si>
    <t>09.10.2019</t>
  </si>
  <si>
    <t>20.09.2034</t>
  </si>
  <si>
    <t>SAM 5.5.1. Kultūras objektu būvniecība</t>
  </si>
  <si>
    <t>A2/1/19/460</t>
  </si>
  <si>
    <t>P-292/2019</t>
  </si>
  <si>
    <t>11.12.2019</t>
  </si>
  <si>
    <t>21.11.2039</t>
  </si>
  <si>
    <t>Jaunās skolas būvniecība (3. kārta)</t>
  </si>
  <si>
    <t>A2/1/20/158</t>
  </si>
  <si>
    <t>P-119/2020</t>
  </si>
  <si>
    <t>29.04.2020</t>
  </si>
  <si>
    <t>20.04.2048</t>
  </si>
  <si>
    <t>Ataru ceļa rekonstrukcija</t>
  </si>
  <si>
    <t>A2/1/20/411</t>
  </si>
  <si>
    <t>P-177/2020</t>
  </si>
  <si>
    <t>08.07.2020</t>
  </si>
  <si>
    <t>20.06.2035</t>
  </si>
  <si>
    <t>KF projekts "Ūdenssaimniecības</t>
  </si>
  <si>
    <t>A2/1/20/675</t>
  </si>
  <si>
    <t>P-339/2020</t>
  </si>
  <si>
    <t>01.10.2020</t>
  </si>
  <si>
    <t>20.09.2050</t>
  </si>
  <si>
    <t xml:space="preserve"> pakalpojumu attīstība Carnikavā III kārta"</t>
  </si>
  <si>
    <t xml:space="preserve">Carnikavas novada pašvaldības transporta </t>
  </si>
  <si>
    <t>A2/1/20/676</t>
  </si>
  <si>
    <t>P-338/2020</t>
  </si>
  <si>
    <t>20.09.2040</t>
  </si>
  <si>
    <t>infrstruktūras attīstība</t>
  </si>
  <si>
    <t>Priežu ielas rekonstrukcija</t>
  </si>
  <si>
    <t>A2/1/20/746</t>
  </si>
  <si>
    <t>P-392/2020</t>
  </si>
  <si>
    <t>14.10.2020</t>
  </si>
  <si>
    <t>22.09.2025</t>
  </si>
  <si>
    <t xml:space="preserve"> Bukultu ielas rekonstrukcija</t>
  </si>
  <si>
    <t>A2/1/20/745</t>
  </si>
  <si>
    <t>P-393/2020</t>
  </si>
  <si>
    <t>ERAF "Carnikavas pamatskolas pārbūve"</t>
  </si>
  <si>
    <t>A2/1/21/10</t>
  </si>
  <si>
    <t>P-4/2021</t>
  </si>
  <si>
    <t>26.01.2021</t>
  </si>
  <si>
    <t>20.01.2051</t>
  </si>
  <si>
    <t>LAD  projekts koka laipu taka uz jūru</t>
  </si>
  <si>
    <t>A2/1/21/11</t>
  </si>
  <si>
    <t>P-3/2021</t>
  </si>
  <si>
    <t>20.01.2031</t>
  </si>
  <si>
    <t>Prioritārais projekts -</t>
  </si>
  <si>
    <t>A2/1/21/41</t>
  </si>
  <si>
    <t>P-10/2021</t>
  </si>
  <si>
    <t>24.02.2021</t>
  </si>
  <si>
    <t>20.02.2051</t>
  </si>
  <si>
    <t>PII Piejūra" būvniecība"</t>
  </si>
  <si>
    <t>Budžeta un finanšu vadībai</t>
  </si>
  <si>
    <t>A2/1/21/96</t>
  </si>
  <si>
    <t>P-43/2021</t>
  </si>
  <si>
    <t>25.03.2021</t>
  </si>
  <si>
    <t>20.03.2024</t>
  </si>
  <si>
    <t xml:space="preserve"> (Aprīkojums PII Piejūra)</t>
  </si>
  <si>
    <t>PII Piejūra būvniecības pabeigšana</t>
  </si>
  <si>
    <t>A2/1/21/120</t>
  </si>
  <si>
    <t>P-69/2021</t>
  </si>
  <si>
    <t>08.04.2021</t>
  </si>
  <si>
    <t>20.03.2051</t>
  </si>
  <si>
    <t xml:space="preserve">Investīciju projektu īstenošanai </t>
  </si>
  <si>
    <t>A2/1/21/139</t>
  </si>
  <si>
    <t>PP-14/2021</t>
  </si>
  <si>
    <t>26.04.2021</t>
  </si>
  <si>
    <t>21.06.2038</t>
  </si>
  <si>
    <t>(saistību pārjaunojums)</t>
  </si>
  <si>
    <t>22.04.2024</t>
  </si>
  <si>
    <t>Stacijas ielas pārbūve</t>
  </si>
  <si>
    <t>A2/1/21/169</t>
  </si>
  <si>
    <t>P-89/2021</t>
  </si>
  <si>
    <t>30.04.2021</t>
  </si>
  <si>
    <t>20.04.2051</t>
  </si>
  <si>
    <t>Lielās ielas pārbūve</t>
  </si>
  <si>
    <t>A2/1/21/232</t>
  </si>
  <si>
    <t>P-163/2021</t>
  </si>
  <si>
    <t>27.05.2021</t>
  </si>
  <si>
    <t>20.05.2041</t>
  </si>
  <si>
    <t xml:space="preserve">Autostāvvietas izbūve Karlsona parkā, </t>
  </si>
  <si>
    <t>A2/1/21/231</t>
  </si>
  <si>
    <t>P-164/2021</t>
  </si>
  <si>
    <t>Garciemā, Carnikavas novadā</t>
  </si>
  <si>
    <t>Pirmās ielas stāvlaukums pie ĀPII</t>
  </si>
  <si>
    <t>A2/1/21/632</t>
  </si>
  <si>
    <t>P-481/2021</t>
  </si>
  <si>
    <t>14.10.2021</t>
  </si>
  <si>
    <t>21.09.2026</t>
  </si>
  <si>
    <t xml:space="preserve">SAM 9311 Deinstitucionalizācija - </t>
  </si>
  <si>
    <t>A2/1/21/729</t>
  </si>
  <si>
    <t>P-556/2021</t>
  </si>
  <si>
    <t>02.12.2021</t>
  </si>
  <si>
    <t>20.11.2040</t>
  </si>
  <si>
    <t>Dienas centrs</t>
  </si>
  <si>
    <t>Mežaparka ceļa pārbūve</t>
  </si>
  <si>
    <t>A2/1/21/728</t>
  </si>
  <si>
    <t>P-557/2021</t>
  </si>
  <si>
    <t>20.11.2031</t>
  </si>
  <si>
    <t>Ķiršu ielas rekonstrukcija</t>
  </si>
  <si>
    <t>A2/1/21/727</t>
  </si>
  <si>
    <t>P-558/2021</t>
  </si>
  <si>
    <t xml:space="preserve">Carnikavas pamatskolas infrastruktūras </t>
  </si>
  <si>
    <t>A2/1/21/776</t>
  </si>
  <si>
    <t>P-583/2021</t>
  </si>
  <si>
    <t>23.12.2021</t>
  </si>
  <si>
    <t>21.12.2026</t>
  </si>
  <si>
    <t>uzlabošana un mācību vides labiekārtošana</t>
  </si>
  <si>
    <t xml:space="preserve">Laivu ielas (no Cēlāju ciema līdz jūrai Carnikavā) </t>
  </si>
  <si>
    <t>A2/1/22/15</t>
  </si>
  <si>
    <t>P-7/2022</t>
  </si>
  <si>
    <t>02.02.2022</t>
  </si>
  <si>
    <t>20.01.2037</t>
  </si>
  <si>
    <t>un tai piegulošā auto stāvlaukuma projektēšana un būvniecība</t>
  </si>
  <si>
    <t xml:space="preserve">SAM 5.1.1. Pretplūdu pasākumi </t>
  </si>
  <si>
    <t>A2/1/22/123</t>
  </si>
  <si>
    <t>P-70/2022</t>
  </si>
  <si>
    <t>31.05.2022</t>
  </si>
  <si>
    <t>20.05.2037</t>
  </si>
  <si>
    <t>Ādažu centra polderī</t>
  </si>
  <si>
    <t>Gaujas ielas gājēju celiņa izbūve</t>
  </si>
  <si>
    <t>A2/1/22/165</t>
  </si>
  <si>
    <t>P-112/2022</t>
  </si>
  <si>
    <t>04.07.2022</t>
  </si>
  <si>
    <t>21.06.2027</t>
  </si>
  <si>
    <t>Skolas ielas projektēšana izbūve - 3.kārta</t>
  </si>
  <si>
    <t>A2/1/22/239</t>
  </si>
  <si>
    <t>P-160/2022</t>
  </si>
  <si>
    <t>20.07.2022</t>
  </si>
  <si>
    <t>20.07.2027</t>
  </si>
  <si>
    <t xml:space="preserve">Skolas siltināšana </t>
  </si>
  <si>
    <t>A2/1/22/250</t>
  </si>
  <si>
    <t>P-164/2022</t>
  </si>
  <si>
    <t>03.08.2022</t>
  </si>
  <si>
    <t>20.07.2032</t>
  </si>
  <si>
    <t>un stadiona rekonstrukcija</t>
  </si>
  <si>
    <t>Aizvēju ielas Garciemā,</t>
  </si>
  <si>
    <t>A2/1/22/265</t>
  </si>
  <si>
    <t>P-175/2022</t>
  </si>
  <si>
    <t>08.08.2022</t>
  </si>
  <si>
    <t>20.07.2029</t>
  </si>
  <si>
    <t xml:space="preserve"> dubultā virsmas apstrāde (2.daļa)</t>
  </si>
  <si>
    <t xml:space="preserve">Carnikavas stadiona rekonstrukcija </t>
  </si>
  <si>
    <t>A2/1/22/536</t>
  </si>
  <si>
    <t>P-363/2022</t>
  </si>
  <si>
    <t>29.11.2022</t>
  </si>
  <si>
    <t>20.11.2037</t>
  </si>
  <si>
    <t>(Prioritārais)</t>
  </si>
  <si>
    <t>A2/1/22/538</t>
  </si>
  <si>
    <t>P-361/2022</t>
  </si>
  <si>
    <t>22.11.2032</t>
  </si>
  <si>
    <t>(Covid19)</t>
  </si>
  <si>
    <t xml:space="preserve">ERAF projekta (Nr.5.1.1.0/17/I/009) </t>
  </si>
  <si>
    <t>A2/1/22/582</t>
  </si>
  <si>
    <t>P-389/2022</t>
  </si>
  <si>
    <t>23.12.2022</t>
  </si>
  <si>
    <t>21.12.2037</t>
  </si>
  <si>
    <t>“Novērst plūdu un krasta erozijas risku apdraudējumu Ādažu novadā, 1. daļa” īstenošanai</t>
  </si>
  <si>
    <t xml:space="preserve">Apgaismojuma izbūve uz Salas </t>
  </si>
  <si>
    <t>A2/1/23/103</t>
  </si>
  <si>
    <t>P-57/2023</t>
  </si>
  <si>
    <t>09.05.2023</t>
  </si>
  <si>
    <t>aizsargdamja D-2 posmā, Carnikavas pagastā</t>
  </si>
  <si>
    <t>A2/1/23/156</t>
  </si>
  <si>
    <t>P-104/2023</t>
  </si>
  <si>
    <t>26.06.2023</t>
  </si>
  <si>
    <t xml:space="preserve"> (Prioritārais 2023.g.)</t>
  </si>
  <si>
    <t xml:space="preserve"> "Auto stāvlaukuma Lilastē paplašināšana,</t>
  </si>
  <si>
    <t>A2/1/23/245</t>
  </si>
  <si>
    <t>P-181/2023</t>
  </si>
  <si>
    <t>02.08.2023</t>
  </si>
  <si>
    <t>20.07.2026</t>
  </si>
  <si>
    <t xml:space="preserve"> atpūtas vietu, labiekārtojuma, labierīcību, kempinga iespēju projektēšana un izbūve"</t>
  </si>
  <si>
    <t xml:space="preserve">Ķiršu ielas III kārta </t>
  </si>
  <si>
    <t>A2/1/23/290</t>
  </si>
  <si>
    <t>P-222/2023</t>
  </si>
  <si>
    <t>20.07.2033</t>
  </si>
  <si>
    <t>no Saules ielas līdz Attekas ielai 0.17km</t>
  </si>
  <si>
    <t xml:space="preserve">Ādažu vidusskolas ēkas B korpusa </t>
  </si>
  <si>
    <t>A2/1/23/429</t>
  </si>
  <si>
    <t>P-344/2023</t>
  </si>
  <si>
    <t>un savienojuma daļas starp korpusiem (C un B) fasādes atjaunošana</t>
  </si>
  <si>
    <t xml:space="preserve"> ”Mobilitātes punkta infrastruktūras izveidošana </t>
  </si>
  <si>
    <t>Plānots</t>
  </si>
  <si>
    <t>Rīgas metropoles areālā – “Carnikava””</t>
  </si>
  <si>
    <t xml:space="preserve">Ādažu vidusskolas ēkas A korpusa </t>
  </si>
  <si>
    <t>un centrālās daļas fasādes atjaunošana.</t>
  </si>
  <si>
    <t>PII Podnieki UN Krastupes iela</t>
  </si>
  <si>
    <t>Aizņēmumi kopā:</t>
  </si>
  <si>
    <t>Citas ilgtermiņa saistības.</t>
  </si>
  <si>
    <t>Saistību mērķis</t>
  </si>
  <si>
    <t>Līguma Nr.</t>
  </si>
  <si>
    <t>Trānčes Nr.</t>
  </si>
  <si>
    <t>Aizņēmuma summa</t>
  </si>
  <si>
    <t>Galvojums SIA "Ādažu ūdens"</t>
  </si>
  <si>
    <t>Līzings - jauna automašīna Volvo V60</t>
  </si>
  <si>
    <t>(Operatīvais līzings)</t>
  </si>
  <si>
    <t>Līzings - frontālais iekrāvējs</t>
  </si>
  <si>
    <t>Līzings - mikroautobuss</t>
  </si>
  <si>
    <t>Līzings - skolēnu autobuss</t>
  </si>
  <si>
    <t>Kalngales NAI</t>
  </si>
  <si>
    <t xml:space="preserve">Citas ilgtermiņa saistības kopā: </t>
  </si>
  <si>
    <t>Aizņēmumu pamatsummas atmaksa:</t>
  </si>
  <si>
    <t>Aizņēmumu procentu maksa:</t>
  </si>
  <si>
    <t>Citas ilgtermiņa saistības:</t>
  </si>
  <si>
    <t>Aizņēmumi un citas ilgtemiņa saistības kopā:</t>
  </si>
  <si>
    <t>Saistību apmērs % no pamatbudžeta ieņēmumiem:</t>
  </si>
  <si>
    <t>Pašvaldības pamatbudžeta ieņēmumi bez mērķdotācijām un iemaksām PFIF saimnieciskajā gadā:</t>
  </si>
  <si>
    <r>
      <t xml:space="preserve">1) KA - EUR 13'000 drošības nauda CKS (jāatmaksā).
2) Uzkopšanas gada maksa ielikta CKS, bet janvāra maksājums vēl jāveic caur policijas budžetu. (EUR 645).
</t>
    </r>
    <r>
      <rPr>
        <i/>
        <sz val="11"/>
        <color rgb="FFFF0000"/>
        <rFont val="Times New Roman"/>
        <family val="1"/>
        <charset val="186"/>
      </rPr>
      <t>3) Noslēdzies iepirkums remontam Garā iela 20 ārsta prakse. Summa par EUR 1'835 lielāka.</t>
    </r>
  </si>
  <si>
    <t>KA nepalielina izdevumus, bet samazina plānotos ieņēmumus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</si>
</sst>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%"/>
  </numFmts>
  <fonts count="47" x14ac:knownFonts="1">
    <font>
      <sz val="9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20"/>
      <color indexed="8"/>
      <name val="Times New Roman"/>
      <family val="1"/>
      <charset val="186"/>
    </font>
    <font>
      <b/>
      <sz val="20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9"/>
      <color theme="1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6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u/>
      <sz val="9"/>
      <color theme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color theme="3"/>
      <name val="Times New Roman"/>
      <family val="1"/>
      <charset val="186"/>
    </font>
    <font>
      <b/>
      <sz val="11"/>
      <color theme="3"/>
      <name val="Times New Roman"/>
      <family val="1"/>
      <charset val="186"/>
    </font>
    <font>
      <b/>
      <sz val="11"/>
      <name val="Times New Roman"/>
      <family val="1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</font>
    <font>
      <sz val="11"/>
      <name val="Calibri"/>
      <family val="2"/>
      <charset val="186"/>
    </font>
    <font>
      <b/>
      <sz val="10"/>
      <name val="Arial"/>
      <family val="2"/>
      <charset val="186"/>
    </font>
    <font>
      <b/>
      <sz val="11"/>
      <color theme="4"/>
      <name val="Calibri"/>
      <family val="2"/>
      <charset val="186"/>
      <scheme val="minor"/>
    </font>
    <font>
      <b/>
      <sz val="10"/>
      <color theme="4"/>
      <name val="Calibri"/>
      <family val="2"/>
      <charset val="186"/>
      <scheme val="minor"/>
    </font>
    <font>
      <sz val="10"/>
      <color theme="4"/>
      <name val="Calibri"/>
      <family val="2"/>
      <charset val="186"/>
      <scheme val="minor"/>
    </font>
    <font>
      <sz val="11"/>
      <color theme="4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i/>
      <sz val="10"/>
      <color theme="4"/>
      <name val="Calibri"/>
      <family val="2"/>
      <charset val="186"/>
      <scheme val="minor"/>
    </font>
    <font>
      <i/>
      <sz val="11"/>
      <color rgb="FFFF0000"/>
      <name val="Times New Roman"/>
      <family val="1"/>
      <charset val="186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9" fontId="8" fillId="0" borderId="0" applyFont="0" applyFill="0" applyBorder="0" applyAlignment="0" applyProtection="0"/>
    <xf numFmtId="0" fontId="8" fillId="0" borderId="0"/>
    <xf numFmtId="0" fontId="1" fillId="0" borderId="0"/>
    <xf numFmtId="0" fontId="13" fillId="0" borderId="0"/>
    <xf numFmtId="43" fontId="13" fillId="0" borderId="0" applyFill="0" applyBorder="0" applyAlignment="0" applyProtection="0"/>
  </cellStyleXfs>
  <cellXfs count="321">
    <xf numFmtId="0" fontId="0" fillId="0" borderId="0" xfId="0"/>
    <xf numFmtId="0" fontId="3" fillId="0" borderId="0" xfId="2" applyFont="1"/>
    <xf numFmtId="0" fontId="4" fillId="0" borderId="0" xfId="3" applyFont="1"/>
    <xf numFmtId="0" fontId="5" fillId="0" borderId="0" xfId="3" applyFont="1"/>
    <xf numFmtId="0" fontId="3" fillId="0" borderId="0" xfId="2" applyFont="1" applyAlignment="1">
      <alignment wrapText="1"/>
    </xf>
    <xf numFmtId="0" fontId="6" fillId="0" borderId="0" xfId="2" applyFont="1" applyAlignment="1">
      <alignment wrapText="1"/>
    </xf>
    <xf numFmtId="164" fontId="6" fillId="0" borderId="0" xfId="1" applyNumberFormat="1" applyFont="1" applyAlignment="1">
      <alignment wrapText="1"/>
    </xf>
    <xf numFmtId="9" fontId="3" fillId="0" borderId="0" xfId="4" applyFont="1" applyAlignment="1">
      <alignment wrapText="1"/>
    </xf>
    <xf numFmtId="3" fontId="3" fillId="0" borderId="0" xfId="2" applyNumberFormat="1" applyFont="1"/>
    <xf numFmtId="164" fontId="6" fillId="0" borderId="0" xfId="1" applyNumberFormat="1" applyFont="1"/>
    <xf numFmtId="1" fontId="3" fillId="0" borderId="0" xfId="4" applyNumberFormat="1" applyFont="1" applyFill="1"/>
    <xf numFmtId="164" fontId="10" fillId="0" borderId="0" xfId="5" applyNumberFormat="1" applyFont="1"/>
    <xf numFmtId="164" fontId="11" fillId="0" borderId="0" xfId="1" applyNumberFormat="1" applyFont="1"/>
    <xf numFmtId="9" fontId="3" fillId="0" borderId="0" xfId="4" applyFont="1"/>
    <xf numFmtId="0" fontId="12" fillId="0" borderId="0" xfId="6"/>
    <xf numFmtId="164" fontId="10" fillId="0" borderId="0" xfId="1" applyNumberFormat="1" applyFont="1"/>
    <xf numFmtId="164" fontId="3" fillId="0" borderId="0" xfId="1" applyNumberFormat="1" applyFont="1"/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3" xfId="7" applyFont="1" applyBorder="1" applyAlignment="1">
      <alignment horizontal="center" vertical="center" wrapText="1"/>
    </xf>
    <xf numFmtId="164" fontId="10" fillId="0" borderId="3" xfId="1" applyNumberFormat="1" applyFont="1" applyBorder="1" applyAlignment="1">
      <alignment horizontal="center" vertical="center" wrapText="1"/>
    </xf>
    <xf numFmtId="9" fontId="10" fillId="0" borderId="3" xfId="4" applyFont="1" applyBorder="1" applyAlignment="1">
      <alignment horizontal="center" vertical="center" wrapText="1"/>
    </xf>
    <xf numFmtId="0" fontId="10" fillId="2" borderId="4" xfId="2" applyFont="1" applyFill="1" applyBorder="1"/>
    <xf numFmtId="0" fontId="10" fillId="2" borderId="5" xfId="2" applyFont="1" applyFill="1" applyBorder="1" applyAlignment="1">
      <alignment wrapText="1"/>
    </xf>
    <xf numFmtId="164" fontId="10" fillId="2" borderId="6" xfId="1" applyNumberFormat="1" applyFont="1" applyFill="1" applyBorder="1"/>
    <xf numFmtId="3" fontId="10" fillId="2" borderId="6" xfId="2" applyNumberFormat="1" applyFont="1" applyFill="1" applyBorder="1"/>
    <xf numFmtId="9" fontId="3" fillId="2" borderId="6" xfId="4" applyFont="1" applyFill="1" applyBorder="1" applyAlignment="1">
      <alignment wrapText="1"/>
    </xf>
    <xf numFmtId="0" fontId="10" fillId="3" borderId="4" xfId="2" quotePrefix="1" applyFont="1" applyFill="1" applyBorder="1"/>
    <xf numFmtId="0" fontId="10" fillId="3" borderId="5" xfId="2" applyFont="1" applyFill="1" applyBorder="1" applyAlignment="1">
      <alignment wrapText="1"/>
    </xf>
    <xf numFmtId="3" fontId="10" fillId="3" borderId="6" xfId="2" applyNumberFormat="1" applyFont="1" applyFill="1" applyBorder="1"/>
    <xf numFmtId="164" fontId="10" fillId="3" borderId="6" xfId="1" applyNumberFormat="1" applyFont="1" applyFill="1" applyBorder="1"/>
    <xf numFmtId="9" fontId="10" fillId="3" borderId="6" xfId="4" applyFont="1" applyFill="1" applyBorder="1"/>
    <xf numFmtId="0" fontId="14" fillId="0" borderId="0" xfId="2" applyFont="1"/>
    <xf numFmtId="0" fontId="3" fillId="0" borderId="7" xfId="2" applyFont="1" applyBorder="1" applyAlignment="1">
      <alignment horizontal="left" indent="1"/>
    </xf>
    <xf numFmtId="0" fontId="3" fillId="0" borderId="8" xfId="2" applyFont="1" applyBorder="1" applyAlignment="1">
      <alignment horizontal="left" wrapText="1" indent="2"/>
    </xf>
    <xf numFmtId="3" fontId="3" fillId="0" borderId="9" xfId="2" applyNumberFormat="1" applyFont="1" applyBorder="1"/>
    <xf numFmtId="164" fontId="3" fillId="0" borderId="9" xfId="1" applyNumberFormat="1" applyFont="1" applyBorder="1"/>
    <xf numFmtId="9" fontId="3" fillId="0" borderId="9" xfId="4" applyFont="1" applyFill="1" applyBorder="1"/>
    <xf numFmtId="0" fontId="10" fillId="3" borderId="7" xfId="2" applyFont="1" applyFill="1" applyBorder="1"/>
    <xf numFmtId="0" fontId="10" fillId="3" borderId="8" xfId="2" applyFont="1" applyFill="1" applyBorder="1" applyAlignment="1">
      <alignment wrapText="1"/>
    </xf>
    <xf numFmtId="3" fontId="10" fillId="3" borderId="9" xfId="2" applyNumberFormat="1" applyFont="1" applyFill="1" applyBorder="1"/>
    <xf numFmtId="164" fontId="10" fillId="3" borderId="9" xfId="1" applyNumberFormat="1" applyFont="1" applyFill="1" applyBorder="1"/>
    <xf numFmtId="9" fontId="10" fillId="3" borderId="9" xfId="4" applyFont="1" applyFill="1" applyBorder="1"/>
    <xf numFmtId="9" fontId="3" fillId="0" borderId="9" xfId="4" applyFont="1" applyBorder="1"/>
    <xf numFmtId="9" fontId="3" fillId="0" borderId="10" xfId="4" applyFont="1" applyFill="1" applyBorder="1"/>
    <xf numFmtId="0" fontId="2" fillId="0" borderId="0" xfId="2"/>
    <xf numFmtId="9" fontId="3" fillId="0" borderId="10" xfId="4" applyFont="1" applyFill="1" applyBorder="1" applyAlignment="1">
      <alignment wrapText="1"/>
    </xf>
    <xf numFmtId="0" fontId="15" fillId="0" borderId="7" xfId="2" applyFont="1" applyBorder="1" applyAlignment="1">
      <alignment horizontal="left" indent="2"/>
    </xf>
    <xf numFmtId="0" fontId="15" fillId="0" borderId="8" xfId="2" applyFont="1" applyBorder="1" applyAlignment="1">
      <alignment horizontal="left" wrapText="1" indent="3"/>
    </xf>
    <xf numFmtId="0" fontId="14" fillId="0" borderId="0" xfId="2" quotePrefix="1" applyFont="1"/>
    <xf numFmtId="9" fontId="3" fillId="3" borderId="9" xfId="4" applyFont="1" applyFill="1" applyBorder="1" applyAlignment="1">
      <alignment wrapText="1"/>
    </xf>
    <xf numFmtId="0" fontId="3" fillId="4" borderId="8" xfId="2" applyFont="1" applyFill="1" applyBorder="1" applyAlignment="1">
      <alignment horizontal="left" wrapText="1" indent="2"/>
    </xf>
    <xf numFmtId="9" fontId="3" fillId="0" borderId="9" xfId="4" applyFont="1" applyFill="1" applyBorder="1" applyAlignment="1">
      <alignment wrapText="1"/>
    </xf>
    <xf numFmtId="0" fontId="10" fillId="3" borderId="7" xfId="2" quotePrefix="1" applyFont="1" applyFill="1" applyBorder="1"/>
    <xf numFmtId="0" fontId="3" fillId="2" borderId="7" xfId="2" applyFont="1" applyFill="1" applyBorder="1" applyAlignment="1">
      <alignment horizontal="left" indent="1"/>
    </xf>
    <xf numFmtId="0" fontId="3" fillId="2" borderId="8" xfId="2" applyFont="1" applyFill="1" applyBorder="1" applyAlignment="1">
      <alignment horizontal="left" wrapText="1" indent="2"/>
    </xf>
    <xf numFmtId="3" fontId="3" fillId="2" borderId="9" xfId="2" applyNumberFormat="1" applyFont="1" applyFill="1" applyBorder="1"/>
    <xf numFmtId="164" fontId="3" fillId="5" borderId="9" xfId="1" applyNumberFormat="1" applyFont="1" applyFill="1" applyBorder="1"/>
    <xf numFmtId="3" fontId="3" fillId="5" borderId="9" xfId="2" applyNumberFormat="1" applyFont="1" applyFill="1" applyBorder="1"/>
    <xf numFmtId="164" fontId="6" fillId="0" borderId="9" xfId="1" applyNumberFormat="1" applyFont="1" applyBorder="1"/>
    <xf numFmtId="3" fontId="3" fillId="6" borderId="9" xfId="2" applyNumberFormat="1" applyFont="1" applyFill="1" applyBorder="1"/>
    <xf numFmtId="164" fontId="3" fillId="6" borderId="9" xfId="1" applyNumberFormat="1" applyFont="1" applyFill="1" applyBorder="1"/>
    <xf numFmtId="3" fontId="3" fillId="6" borderId="9" xfId="2" applyNumberFormat="1" applyFont="1" applyFill="1" applyBorder="1" applyAlignment="1">
      <alignment wrapText="1"/>
    </xf>
    <xf numFmtId="3" fontId="15" fillId="7" borderId="9" xfId="2" applyNumberFormat="1" applyFont="1" applyFill="1" applyBorder="1"/>
    <xf numFmtId="164" fontId="15" fillId="7" borderId="9" xfId="1" applyNumberFormat="1" applyFont="1" applyFill="1" applyBorder="1"/>
    <xf numFmtId="9" fontId="15" fillId="7" borderId="9" xfId="4" applyFont="1" applyFill="1" applyBorder="1" applyAlignment="1">
      <alignment wrapText="1"/>
    </xf>
    <xf numFmtId="0" fontId="15" fillId="0" borderId="0" xfId="2" applyFont="1"/>
    <xf numFmtId="3" fontId="15" fillId="8" borderId="9" xfId="2" applyNumberFormat="1" applyFont="1" applyFill="1" applyBorder="1"/>
    <xf numFmtId="9" fontId="15" fillId="8" borderId="9" xfId="4" applyFont="1" applyFill="1" applyBorder="1"/>
    <xf numFmtId="0" fontId="3" fillId="0" borderId="0" xfId="2" quotePrefix="1" applyFont="1"/>
    <xf numFmtId="0" fontId="3" fillId="9" borderId="8" xfId="2" applyFont="1" applyFill="1" applyBorder="1" applyAlignment="1">
      <alignment horizontal="left" wrapText="1" indent="2"/>
    </xf>
    <xf numFmtId="164" fontId="3" fillId="0" borderId="9" xfId="1" applyNumberFormat="1" applyFont="1" applyFill="1" applyBorder="1"/>
    <xf numFmtId="0" fontId="3" fillId="0" borderId="8" xfId="2" applyFont="1" applyBorder="1" applyAlignment="1">
      <alignment horizontal="left" wrapText="1" indent="3"/>
    </xf>
    <xf numFmtId="9" fontId="3" fillId="11" borderId="9" xfId="4" applyFont="1" applyFill="1" applyBorder="1" applyAlignment="1">
      <alignment wrapText="1"/>
    </xf>
    <xf numFmtId="9" fontId="3" fillId="12" borderId="9" xfId="4" applyFont="1" applyFill="1" applyBorder="1" applyAlignment="1">
      <alignment wrapText="1"/>
    </xf>
    <xf numFmtId="164" fontId="3" fillId="2" borderId="9" xfId="1" applyNumberFormat="1" applyFont="1" applyFill="1" applyBorder="1"/>
    <xf numFmtId="9" fontId="3" fillId="2" borderId="9" xfId="4" applyFont="1" applyFill="1" applyBorder="1" applyAlignment="1">
      <alignment wrapText="1"/>
    </xf>
    <xf numFmtId="0" fontId="6" fillId="0" borderId="0" xfId="2" applyFont="1"/>
    <xf numFmtId="9" fontId="3" fillId="12" borderId="10" xfId="4" applyFont="1" applyFill="1" applyBorder="1" applyAlignment="1">
      <alignment wrapText="1"/>
    </xf>
    <xf numFmtId="9" fontId="3" fillId="0" borderId="12" xfId="4" applyFont="1" applyFill="1" applyBorder="1"/>
    <xf numFmtId="0" fontId="2" fillId="10" borderId="0" xfId="2" applyFill="1"/>
    <xf numFmtId="0" fontId="3" fillId="9" borderId="8" xfId="2" applyFont="1" applyFill="1" applyBorder="1" applyAlignment="1">
      <alignment horizontal="left" wrapText="1" indent="3"/>
    </xf>
    <xf numFmtId="0" fontId="6" fillId="0" borderId="5" xfId="2" applyFont="1" applyBorder="1" applyAlignment="1">
      <alignment horizontal="left" wrapText="1" indent="2"/>
    </xf>
    <xf numFmtId="0" fontId="3" fillId="4" borderId="7" xfId="2" applyFont="1" applyFill="1" applyBorder="1" applyAlignment="1">
      <alignment horizontal="left" indent="2"/>
    </xf>
    <xf numFmtId="0" fontId="3" fillId="4" borderId="8" xfId="2" applyFont="1" applyFill="1" applyBorder="1" applyAlignment="1">
      <alignment horizontal="left" wrapText="1" indent="3"/>
    </xf>
    <xf numFmtId="1" fontId="3" fillId="0" borderId="9" xfId="4" applyNumberFormat="1" applyFont="1" applyFill="1" applyBorder="1"/>
    <xf numFmtId="0" fontId="10" fillId="0" borderId="13" xfId="2" applyFont="1" applyBorder="1"/>
    <xf numFmtId="0" fontId="10" fillId="0" borderId="14" xfId="2" applyFont="1" applyBorder="1" applyAlignment="1">
      <alignment horizontal="right" wrapText="1"/>
    </xf>
    <xf numFmtId="3" fontId="10" fillId="0" borderId="3" xfId="2" applyNumberFormat="1" applyFont="1" applyBorder="1"/>
    <xf numFmtId="164" fontId="10" fillId="0" borderId="3" xfId="1" applyNumberFormat="1" applyFont="1" applyBorder="1"/>
    <xf numFmtId="9" fontId="10" fillId="0" borderId="3" xfId="4" applyFont="1" applyBorder="1"/>
    <xf numFmtId="0" fontId="10" fillId="0" borderId="15" xfId="2" quotePrefix="1" applyFont="1" applyBorder="1"/>
    <xf numFmtId="0" fontId="10" fillId="0" borderId="16" xfId="2" applyFont="1" applyBorder="1" applyAlignment="1">
      <alignment wrapText="1"/>
    </xf>
    <xf numFmtId="3" fontId="10" fillId="0" borderId="17" xfId="2" applyNumberFormat="1" applyFont="1" applyBorder="1"/>
    <xf numFmtId="164" fontId="10" fillId="0" borderId="17" xfId="1" applyNumberFormat="1" applyFont="1" applyBorder="1"/>
    <xf numFmtId="9" fontId="10" fillId="0" borderId="17" xfId="4" applyFont="1" applyFill="1" applyBorder="1"/>
    <xf numFmtId="0" fontId="10" fillId="3" borderId="18" xfId="2" applyFont="1" applyFill="1" applyBorder="1" applyAlignment="1">
      <alignment wrapText="1"/>
    </xf>
    <xf numFmtId="164" fontId="10" fillId="3" borderId="12" xfId="1" applyNumberFormat="1" applyFont="1" applyFill="1" applyBorder="1"/>
    <xf numFmtId="49" fontId="3" fillId="0" borderId="18" xfId="2" applyNumberFormat="1" applyFont="1" applyBorder="1" applyAlignment="1">
      <alignment horizontal="left" wrapText="1" indent="4"/>
    </xf>
    <xf numFmtId="3" fontId="3" fillId="0" borderId="18" xfId="2" applyNumberFormat="1" applyFont="1" applyBorder="1"/>
    <xf numFmtId="164" fontId="3" fillId="0" borderId="12" xfId="1" applyNumberFormat="1" applyFont="1" applyBorder="1"/>
    <xf numFmtId="49" fontId="3" fillId="14" borderId="18" xfId="2" applyNumberFormat="1" applyFont="1" applyFill="1" applyBorder="1" applyAlignment="1">
      <alignment horizontal="left" wrapText="1" indent="4"/>
    </xf>
    <xf numFmtId="49" fontId="6" fillId="14" borderId="18" xfId="2" applyNumberFormat="1" applyFont="1" applyFill="1" applyBorder="1" applyAlignment="1">
      <alignment horizontal="left" wrapText="1" indent="4"/>
    </xf>
    <xf numFmtId="3" fontId="3" fillId="0" borderId="19" xfId="2" applyNumberFormat="1" applyFont="1" applyBorder="1"/>
    <xf numFmtId="9" fontId="3" fillId="0" borderId="20" xfId="4" applyFont="1" applyFill="1" applyBorder="1"/>
    <xf numFmtId="49" fontId="3" fillId="0" borderId="21" xfId="2" applyNumberFormat="1" applyFont="1" applyBorder="1" applyAlignment="1">
      <alignment horizontal="left" wrapText="1" indent="4"/>
    </xf>
    <xf numFmtId="164" fontId="3" fillId="0" borderId="22" xfId="1" applyNumberFormat="1" applyFont="1" applyBorder="1"/>
    <xf numFmtId="9" fontId="3" fillId="0" borderId="11" xfId="4" applyFont="1" applyFill="1" applyBorder="1" applyAlignment="1">
      <alignment wrapText="1"/>
    </xf>
    <xf numFmtId="49" fontId="3" fillId="0" borderId="8" xfId="2" applyNumberFormat="1" applyFont="1" applyBorder="1" applyAlignment="1">
      <alignment horizontal="left" wrapText="1" indent="4"/>
    </xf>
    <xf numFmtId="164" fontId="3" fillId="0" borderId="8" xfId="1" applyNumberFormat="1" applyFont="1" applyBorder="1"/>
    <xf numFmtId="9" fontId="3" fillId="0" borderId="6" xfId="4" applyFont="1" applyFill="1" applyBorder="1"/>
    <xf numFmtId="49" fontId="6" fillId="0" borderId="8" xfId="2" applyNumberFormat="1" applyFont="1" applyBorder="1" applyAlignment="1">
      <alignment horizontal="left" wrapText="1" indent="4"/>
    </xf>
    <xf numFmtId="3" fontId="3" fillId="0" borderId="20" xfId="2" applyNumberFormat="1" applyFont="1" applyBorder="1"/>
    <xf numFmtId="0" fontId="3" fillId="4" borderId="24" xfId="2" applyFont="1" applyFill="1" applyBorder="1" applyAlignment="1">
      <alignment horizontal="left" indent="2"/>
    </xf>
    <xf numFmtId="49" fontId="6" fillId="14" borderId="8" xfId="2" applyNumberFormat="1" applyFont="1" applyFill="1" applyBorder="1" applyAlignment="1">
      <alignment horizontal="left" wrapText="1" indent="4"/>
    </xf>
    <xf numFmtId="49" fontId="6" fillId="0" borderId="25" xfId="2" applyNumberFormat="1" applyFont="1" applyBorder="1" applyAlignment="1">
      <alignment horizontal="left" wrapText="1" indent="4"/>
    </xf>
    <xf numFmtId="0" fontId="10" fillId="0" borderId="26" xfId="2" applyFont="1" applyBorder="1"/>
    <xf numFmtId="0" fontId="10" fillId="0" borderId="27" xfId="2" applyFont="1" applyBorder="1" applyAlignment="1">
      <alignment horizontal="right" wrapText="1"/>
    </xf>
    <xf numFmtId="9" fontId="10" fillId="0" borderId="17" xfId="4" applyFont="1" applyBorder="1"/>
    <xf numFmtId="0" fontId="10" fillId="0" borderId="0" xfId="2" applyFont="1"/>
    <xf numFmtId="10" fontId="3" fillId="0" borderId="0" xfId="8" applyNumberFormat="1" applyFont="1"/>
    <xf numFmtId="49" fontId="10" fillId="3" borderId="28" xfId="2" applyNumberFormat="1" applyFont="1" applyFill="1" applyBorder="1" applyAlignment="1">
      <alignment horizontal="left" indent="2"/>
    </xf>
    <xf numFmtId="49" fontId="10" fillId="3" borderId="29" xfId="2" applyNumberFormat="1" applyFont="1" applyFill="1" applyBorder="1" applyAlignment="1">
      <alignment wrapText="1"/>
    </xf>
    <xf numFmtId="3" fontId="10" fillId="3" borderId="30" xfId="2" applyNumberFormat="1" applyFont="1" applyFill="1" applyBorder="1"/>
    <xf numFmtId="164" fontId="10" fillId="3" borderId="30" xfId="1" applyNumberFormat="1" applyFont="1" applyFill="1" applyBorder="1"/>
    <xf numFmtId="9" fontId="10" fillId="3" borderId="30" xfId="4" applyFont="1" applyFill="1" applyBorder="1"/>
    <xf numFmtId="49" fontId="3" fillId="2" borderId="7" xfId="2" applyNumberFormat="1" applyFont="1" applyFill="1" applyBorder="1" applyAlignment="1">
      <alignment horizontal="left" indent="1"/>
    </xf>
    <xf numFmtId="49" fontId="3" fillId="2" borderId="8" xfId="2" applyNumberFormat="1" applyFont="1" applyFill="1" applyBorder="1" applyAlignment="1">
      <alignment horizontal="left" wrapText="1" indent="2"/>
    </xf>
    <xf numFmtId="9" fontId="3" fillId="2" borderId="9" xfId="4" applyFont="1" applyFill="1" applyBorder="1"/>
    <xf numFmtId="49" fontId="10" fillId="3" borderId="7" xfId="2" applyNumberFormat="1" applyFont="1" applyFill="1" applyBorder="1"/>
    <xf numFmtId="49" fontId="10" fillId="3" borderId="8" xfId="2" applyNumberFormat="1" applyFont="1" applyFill="1" applyBorder="1" applyAlignment="1">
      <alignment wrapText="1"/>
    </xf>
    <xf numFmtId="0" fontId="16" fillId="0" borderId="0" xfId="2" applyFont="1"/>
    <xf numFmtId="49" fontId="3" fillId="0" borderId="7" xfId="2" applyNumberFormat="1" applyFont="1" applyBorder="1" applyAlignment="1">
      <alignment horizontal="left" indent="2"/>
    </xf>
    <xf numFmtId="49" fontId="3" fillId="0" borderId="8" xfId="2" applyNumberFormat="1" applyFont="1" applyBorder="1" applyAlignment="1">
      <alignment horizontal="left" wrapText="1" indent="2"/>
    </xf>
    <xf numFmtId="49" fontId="10" fillId="2" borderId="8" xfId="2" applyNumberFormat="1" applyFont="1" applyFill="1" applyBorder="1" applyAlignment="1">
      <alignment horizontal="left" wrapText="1" indent="2"/>
    </xf>
    <xf numFmtId="3" fontId="10" fillId="2" borderId="9" xfId="2" applyNumberFormat="1" applyFont="1" applyFill="1" applyBorder="1"/>
    <xf numFmtId="164" fontId="10" fillId="2" borderId="9" xfId="1" applyNumberFormat="1" applyFont="1" applyFill="1" applyBorder="1"/>
    <xf numFmtId="9" fontId="3" fillId="0" borderId="9" xfId="4" applyFont="1" applyBorder="1" applyAlignment="1">
      <alignment wrapText="1"/>
    </xf>
    <xf numFmtId="49" fontId="3" fillId="15" borderId="7" xfId="2" applyNumberFormat="1" applyFont="1" applyFill="1" applyBorder="1" applyAlignment="1">
      <alignment horizontal="left" indent="2"/>
    </xf>
    <xf numFmtId="0" fontId="3" fillId="11" borderId="8" xfId="2" applyFont="1" applyFill="1" applyBorder="1" applyAlignment="1">
      <alignment horizontal="left" wrapText="1" indent="3"/>
    </xf>
    <xf numFmtId="0" fontId="6" fillId="0" borderId="0" xfId="2" quotePrefix="1" applyFont="1"/>
    <xf numFmtId="9" fontId="3" fillId="0" borderId="11" xfId="4" applyFont="1" applyBorder="1" applyAlignment="1">
      <alignment wrapText="1"/>
    </xf>
    <xf numFmtId="9" fontId="10" fillId="2" borderId="9" xfId="4" applyFont="1" applyFill="1" applyBorder="1"/>
    <xf numFmtId="164" fontId="3" fillId="13" borderId="9" xfId="1" applyNumberFormat="1" applyFont="1" applyFill="1" applyBorder="1"/>
    <xf numFmtId="0" fontId="17" fillId="0" borderId="0" xfId="2" quotePrefix="1" applyFont="1"/>
    <xf numFmtId="49" fontId="17" fillId="0" borderId="7" xfId="2" applyNumberFormat="1" applyFont="1" applyBorder="1" applyAlignment="1">
      <alignment horizontal="left" indent="3"/>
    </xf>
    <xf numFmtId="0" fontId="17" fillId="11" borderId="8" xfId="2" applyFont="1" applyFill="1" applyBorder="1" applyAlignment="1">
      <alignment horizontal="left" wrapText="1" indent="6"/>
    </xf>
    <xf numFmtId="3" fontId="17" fillId="0" borderId="9" xfId="2" applyNumberFormat="1" applyFont="1" applyBorder="1"/>
    <xf numFmtId="164" fontId="17" fillId="13" borderId="9" xfId="1" applyNumberFormat="1" applyFont="1" applyFill="1" applyBorder="1"/>
    <xf numFmtId="9" fontId="17" fillId="0" borderId="9" xfId="4" applyFont="1" applyBorder="1" applyAlignment="1">
      <alignment wrapText="1"/>
    </xf>
    <xf numFmtId="0" fontId="17" fillId="0" borderId="0" xfId="2" applyFont="1"/>
    <xf numFmtId="3" fontId="3" fillId="11" borderId="9" xfId="2" applyNumberFormat="1" applyFont="1" applyFill="1" applyBorder="1"/>
    <xf numFmtId="0" fontId="6" fillId="11" borderId="8" xfId="2" applyFont="1" applyFill="1" applyBorder="1" applyAlignment="1">
      <alignment horizontal="left" wrapText="1" indent="3"/>
    </xf>
    <xf numFmtId="9" fontId="17" fillId="0" borderId="9" xfId="4" applyFont="1" applyFill="1" applyBorder="1" applyAlignment="1">
      <alignment wrapText="1"/>
    </xf>
    <xf numFmtId="9" fontId="17" fillId="2" borderId="9" xfId="4" applyFont="1" applyFill="1" applyBorder="1" applyAlignment="1">
      <alignment wrapText="1"/>
    </xf>
    <xf numFmtId="0" fontId="3" fillId="11" borderId="8" xfId="2" applyFont="1" applyFill="1" applyBorder="1" applyAlignment="1">
      <alignment horizontal="left" indent="2"/>
    </xf>
    <xf numFmtId="0" fontId="14" fillId="11" borderId="8" xfId="2" applyFont="1" applyFill="1" applyBorder="1" applyAlignment="1">
      <alignment horizontal="left" indent="2"/>
    </xf>
    <xf numFmtId="0" fontId="14" fillId="11" borderId="0" xfId="2" applyFont="1" applyFill="1"/>
    <xf numFmtId="0" fontId="3" fillId="11" borderId="31" xfId="2" applyFont="1" applyFill="1" applyBorder="1" applyAlignment="1">
      <alignment horizontal="left" indent="3"/>
    </xf>
    <xf numFmtId="164" fontId="3" fillId="11" borderId="9" xfId="1" applyNumberFormat="1" applyFont="1" applyFill="1" applyBorder="1"/>
    <xf numFmtId="9" fontId="3" fillId="11" borderId="9" xfId="4" applyFont="1" applyFill="1" applyBorder="1"/>
    <xf numFmtId="0" fontId="14" fillId="0" borderId="8" xfId="2" applyFont="1" applyBorder="1" applyAlignment="1">
      <alignment horizontal="left" indent="2"/>
    </xf>
    <xf numFmtId="0" fontId="3" fillId="0" borderId="31" xfId="2" applyFont="1" applyBorder="1" applyAlignment="1">
      <alignment horizontal="left" indent="3"/>
    </xf>
    <xf numFmtId="0" fontId="3" fillId="0" borderId="0" xfId="2" applyFont="1" applyAlignment="1">
      <alignment horizontal="right"/>
    </xf>
    <xf numFmtId="3" fontId="3" fillId="4" borderId="9" xfId="2" applyNumberFormat="1" applyFont="1" applyFill="1" applyBorder="1"/>
    <xf numFmtId="164" fontId="3" fillId="4" borderId="9" xfId="1" applyNumberFormat="1" applyFont="1" applyFill="1" applyBorder="1"/>
    <xf numFmtId="9" fontId="3" fillId="4" borderId="9" xfId="4" applyFont="1" applyFill="1" applyBorder="1" applyAlignment="1">
      <alignment wrapText="1"/>
    </xf>
    <xf numFmtId="49" fontId="10" fillId="2" borderId="7" xfId="2" applyNumberFormat="1" applyFont="1" applyFill="1" applyBorder="1" applyAlignment="1">
      <alignment horizontal="left" indent="1"/>
    </xf>
    <xf numFmtId="0" fontId="3" fillId="4" borderId="0" xfId="2" quotePrefix="1" applyFont="1" applyFill="1"/>
    <xf numFmtId="0" fontId="3" fillId="4" borderId="0" xfId="2" applyFont="1" applyFill="1"/>
    <xf numFmtId="49" fontId="3" fillId="4" borderId="7" xfId="2" applyNumberFormat="1" applyFont="1" applyFill="1" applyBorder="1" applyAlignment="1">
      <alignment horizontal="left" indent="2"/>
    </xf>
    <xf numFmtId="49" fontId="3" fillId="4" borderId="8" xfId="2" applyNumberFormat="1" applyFont="1" applyFill="1" applyBorder="1" applyAlignment="1">
      <alignment horizontal="left" wrapText="1" indent="4"/>
    </xf>
    <xf numFmtId="0" fontId="18" fillId="0" borderId="0" xfId="2" applyFont="1"/>
    <xf numFmtId="0" fontId="18" fillId="0" borderId="0" xfId="2" quotePrefix="1" applyFont="1"/>
    <xf numFmtId="49" fontId="10" fillId="0" borderId="7" xfId="2" applyNumberFormat="1" applyFont="1" applyBorder="1" applyAlignment="1">
      <alignment horizontal="left" indent="2"/>
    </xf>
    <xf numFmtId="49" fontId="10" fillId="0" borderId="8" xfId="2" applyNumberFormat="1" applyFont="1" applyBorder="1" applyAlignment="1">
      <alignment horizontal="left" wrapText="1" indent="4"/>
    </xf>
    <xf numFmtId="3" fontId="10" fillId="0" borderId="9" xfId="2" applyNumberFormat="1" applyFont="1" applyBorder="1"/>
    <xf numFmtId="164" fontId="10" fillId="0" borderId="9" xfId="1" applyNumberFormat="1" applyFont="1" applyBorder="1"/>
    <xf numFmtId="0" fontId="19" fillId="0" borderId="0" xfId="2" applyFont="1"/>
    <xf numFmtId="49" fontId="3" fillId="0" borderId="7" xfId="2" applyNumberFormat="1" applyFont="1" applyBorder="1" applyAlignment="1">
      <alignment horizontal="left" indent="3"/>
    </xf>
    <xf numFmtId="9" fontId="15" fillId="0" borderId="9" xfId="4" applyFont="1" applyFill="1" applyBorder="1" applyAlignment="1">
      <alignment wrapText="1"/>
    </xf>
    <xf numFmtId="49" fontId="20" fillId="2" borderId="7" xfId="2" applyNumberFormat="1" applyFont="1" applyFill="1" applyBorder="1" applyAlignment="1">
      <alignment horizontal="left" indent="1"/>
    </xf>
    <xf numFmtId="49" fontId="10" fillId="0" borderId="13" xfId="2" applyNumberFormat="1" applyFont="1" applyBorder="1"/>
    <xf numFmtId="49" fontId="10" fillId="0" borderId="14" xfId="2" applyNumberFormat="1" applyFont="1" applyBorder="1" applyAlignment="1">
      <alignment horizontal="right" wrapText="1"/>
    </xf>
    <xf numFmtId="3" fontId="10" fillId="0" borderId="32" xfId="2" applyNumberFormat="1" applyFont="1" applyBorder="1"/>
    <xf numFmtId="164" fontId="10" fillId="0" borderId="32" xfId="1" applyNumberFormat="1" applyFont="1" applyBorder="1"/>
    <xf numFmtId="9" fontId="10" fillId="0" borderId="32" xfId="4" applyFont="1" applyBorder="1"/>
    <xf numFmtId="3" fontId="10" fillId="0" borderId="33" xfId="2" applyNumberFormat="1" applyFont="1" applyBorder="1"/>
    <xf numFmtId="9" fontId="3" fillId="0" borderId="33" xfId="4" applyFont="1" applyBorder="1"/>
    <xf numFmtId="49" fontId="10" fillId="3" borderId="34" xfId="2" applyNumberFormat="1" applyFont="1" applyFill="1" applyBorder="1" applyAlignment="1">
      <alignment horizontal="center"/>
    </xf>
    <xf numFmtId="49" fontId="10" fillId="3" borderId="35" xfId="2" applyNumberFormat="1" applyFont="1" applyFill="1" applyBorder="1" applyAlignment="1">
      <alignment wrapText="1"/>
    </xf>
    <xf numFmtId="3" fontId="10" fillId="3" borderId="36" xfId="2" applyNumberFormat="1" applyFont="1" applyFill="1" applyBorder="1"/>
    <xf numFmtId="164" fontId="10" fillId="3" borderId="36" xfId="1" applyNumberFormat="1" applyFont="1" applyFill="1" applyBorder="1"/>
    <xf numFmtId="9" fontId="10" fillId="3" borderId="36" xfId="4" applyFont="1" applyFill="1" applyBorder="1"/>
    <xf numFmtId="9" fontId="17" fillId="14" borderId="9" xfId="4" applyFont="1" applyFill="1" applyBorder="1" applyAlignment="1">
      <alignment wrapText="1"/>
    </xf>
    <xf numFmtId="164" fontId="10" fillId="0" borderId="33" xfId="1" applyNumberFormat="1" applyFont="1" applyBorder="1"/>
    <xf numFmtId="164" fontId="3" fillId="0" borderId="0" xfId="1" applyNumberFormat="1" applyFont="1" applyAlignment="1">
      <alignment wrapText="1"/>
    </xf>
    <xf numFmtId="164" fontId="3" fillId="0" borderId="23" xfId="1" applyNumberFormat="1" applyFont="1" applyBorder="1"/>
    <xf numFmtId="9" fontId="3" fillId="14" borderId="9" xfId="4" applyFont="1" applyFill="1" applyBorder="1" applyAlignment="1">
      <alignment wrapText="1"/>
    </xf>
    <xf numFmtId="0" fontId="24" fillId="0" borderId="0" xfId="9" applyFont="1"/>
    <xf numFmtId="0" fontId="25" fillId="0" borderId="0" xfId="10" applyFont="1"/>
    <xf numFmtId="0" fontId="26" fillId="0" borderId="0" xfId="9" applyFont="1"/>
    <xf numFmtId="0" fontId="27" fillId="0" borderId="0" xfId="9" applyFont="1" applyAlignment="1">
      <alignment horizontal="center"/>
    </xf>
    <xf numFmtId="0" fontId="23" fillId="0" borderId="0" xfId="9" applyFont="1"/>
    <xf numFmtId="164" fontId="24" fillId="0" borderId="0" xfId="9" applyNumberFormat="1" applyFont="1"/>
    <xf numFmtId="0" fontId="28" fillId="0" borderId="0" xfId="11" applyFont="1"/>
    <xf numFmtId="164" fontId="27" fillId="0" borderId="0" xfId="9" applyNumberFormat="1" applyFont="1" applyAlignment="1">
      <alignment horizontal="center"/>
    </xf>
    <xf numFmtId="0" fontId="24" fillId="0" borderId="0" xfId="9" applyFont="1" applyAlignment="1">
      <alignment horizontal="center" vertical="center"/>
    </xf>
    <xf numFmtId="0" fontId="31" fillId="16" borderId="18" xfId="9" applyFont="1" applyFill="1" applyBorder="1" applyAlignment="1">
      <alignment horizontal="center" vertical="center"/>
    </xf>
    <xf numFmtId="0" fontId="31" fillId="16" borderId="8" xfId="9" applyFont="1" applyFill="1" applyBorder="1" applyAlignment="1">
      <alignment horizontal="center" vertical="center" wrapText="1"/>
    </xf>
    <xf numFmtId="0" fontId="31" fillId="16" borderId="8" xfId="9" applyFont="1" applyFill="1" applyBorder="1" applyAlignment="1">
      <alignment horizontal="center" vertical="center"/>
    </xf>
    <xf numFmtId="0" fontId="30" fillId="16" borderId="8" xfId="9" applyFont="1" applyFill="1" applyBorder="1" applyAlignment="1">
      <alignment horizontal="center" vertical="center" wrapText="1"/>
    </xf>
    <xf numFmtId="0" fontId="30" fillId="16" borderId="18" xfId="9" applyFont="1" applyFill="1" applyBorder="1" applyAlignment="1">
      <alignment horizontal="center" vertical="center" wrapText="1"/>
    </xf>
    <xf numFmtId="0" fontId="31" fillId="0" borderId="0" xfId="9" applyFont="1"/>
    <xf numFmtId="0" fontId="32" fillId="0" borderId="21" xfId="9" applyFont="1" applyBorder="1"/>
    <xf numFmtId="0" fontId="32" fillId="0" borderId="37" xfId="9" applyFont="1" applyBorder="1"/>
    <xf numFmtId="0" fontId="33" fillId="0" borderId="37" xfId="9" applyFont="1" applyBorder="1"/>
    <xf numFmtId="0" fontId="34" fillId="0" borderId="37" xfId="9" applyFont="1" applyBorder="1"/>
    <xf numFmtId="164" fontId="33" fillId="0" borderId="37" xfId="12" applyNumberFormat="1" applyFont="1" applyBorder="1"/>
    <xf numFmtId="164" fontId="29" fillId="0" borderId="37" xfId="12" applyNumberFormat="1" applyFont="1" applyBorder="1"/>
    <xf numFmtId="165" fontId="29" fillId="0" borderId="37" xfId="12" applyNumberFormat="1" applyFont="1" applyBorder="1"/>
    <xf numFmtId="164" fontId="29" fillId="0" borderId="38" xfId="12" applyNumberFormat="1" applyFont="1" applyBorder="1"/>
    <xf numFmtId="164" fontId="29" fillId="0" borderId="21" xfId="12" applyNumberFormat="1" applyFont="1" applyBorder="1"/>
    <xf numFmtId="164" fontId="29" fillId="17" borderId="38" xfId="12" applyNumberFormat="1" applyFont="1" applyFill="1" applyBorder="1"/>
    <xf numFmtId="0" fontId="34" fillId="0" borderId="40" xfId="9" applyFont="1" applyBorder="1"/>
    <xf numFmtId="0" fontId="32" fillId="0" borderId="39" xfId="9" applyFont="1" applyBorder="1"/>
    <xf numFmtId="0" fontId="33" fillId="0" borderId="39" xfId="9" applyFont="1" applyBorder="1"/>
    <xf numFmtId="0" fontId="34" fillId="0" borderId="39" xfId="9" applyFont="1" applyBorder="1"/>
    <xf numFmtId="164" fontId="33" fillId="0" borderId="39" xfId="12" applyNumberFormat="1" applyFont="1" applyBorder="1"/>
    <xf numFmtId="165" fontId="33" fillId="0" borderId="39" xfId="12" applyNumberFormat="1" applyFont="1" applyBorder="1"/>
    <xf numFmtId="164" fontId="33" fillId="0" borderId="5" xfId="12" applyNumberFormat="1" applyFont="1" applyBorder="1"/>
    <xf numFmtId="164" fontId="33" fillId="0" borderId="40" xfId="12" applyNumberFormat="1" applyFont="1" applyBorder="1"/>
    <xf numFmtId="164" fontId="33" fillId="17" borderId="5" xfId="12" applyNumberFormat="1" applyFont="1" applyFill="1" applyBorder="1"/>
    <xf numFmtId="0" fontId="35" fillId="0" borderId="0" xfId="9" applyFont="1"/>
    <xf numFmtId="0" fontId="35" fillId="0" borderId="37" xfId="9" applyFont="1" applyBorder="1"/>
    <xf numFmtId="0" fontId="36" fillId="0" borderId="37" xfId="9" applyFont="1" applyBorder="1"/>
    <xf numFmtId="0" fontId="8" fillId="0" borderId="37" xfId="9" applyBorder="1"/>
    <xf numFmtId="164" fontId="13" fillId="0" borderId="37" xfId="12" applyNumberFormat="1" applyBorder="1"/>
    <xf numFmtId="165" fontId="37" fillId="0" borderId="37" xfId="12" applyNumberFormat="1" applyFont="1" applyBorder="1"/>
    <xf numFmtId="164" fontId="37" fillId="0" borderId="38" xfId="12" applyNumberFormat="1" applyFont="1" applyBorder="1"/>
    <xf numFmtId="164" fontId="37" fillId="0" borderId="21" xfId="12" applyNumberFormat="1" applyFont="1" applyBorder="1"/>
    <xf numFmtId="164" fontId="37" fillId="17" borderId="38" xfId="12" applyNumberFormat="1" applyFont="1" applyFill="1" applyBorder="1"/>
    <xf numFmtId="0" fontId="8" fillId="0" borderId="39" xfId="9" applyBorder="1"/>
    <xf numFmtId="0" fontId="35" fillId="0" borderId="39" xfId="9" applyFont="1" applyBorder="1"/>
    <xf numFmtId="0" fontId="36" fillId="0" borderId="39" xfId="9" applyFont="1" applyBorder="1"/>
    <xf numFmtId="164" fontId="13" fillId="0" borderId="39" xfId="12" applyNumberFormat="1" applyBorder="1"/>
    <xf numFmtId="165" fontId="13" fillId="0" borderId="39" xfId="12" applyNumberFormat="1" applyBorder="1"/>
    <xf numFmtId="164" fontId="13" fillId="0" borderId="5" xfId="12" applyNumberFormat="1" applyBorder="1"/>
    <xf numFmtId="164" fontId="13" fillId="0" borderId="40" xfId="12" applyNumberFormat="1" applyBorder="1"/>
    <xf numFmtId="164" fontId="13" fillId="17" borderId="5" xfId="12" applyNumberFormat="1" applyFill="1" applyBorder="1"/>
    <xf numFmtId="0" fontId="8" fillId="0" borderId="0" xfId="9"/>
    <xf numFmtId="0" fontId="34" fillId="0" borderId="41" xfId="9" applyFont="1" applyBorder="1"/>
    <xf numFmtId="0" fontId="32" fillId="0" borderId="0" xfId="9" applyFont="1"/>
    <xf numFmtId="0" fontId="33" fillId="0" borderId="0" xfId="9" applyFont="1"/>
    <xf numFmtId="0" fontId="34" fillId="0" borderId="0" xfId="9" applyFont="1"/>
    <xf numFmtId="164" fontId="33" fillId="0" borderId="0" xfId="12" applyNumberFormat="1" applyFont="1" applyBorder="1"/>
    <xf numFmtId="164" fontId="33" fillId="0" borderId="42" xfId="12" applyNumberFormat="1" applyFont="1" applyBorder="1"/>
    <xf numFmtId="0" fontId="29" fillId="0" borderId="21" xfId="9" applyFont="1" applyBorder="1"/>
    <xf numFmtId="0" fontId="29" fillId="0" borderId="37" xfId="9" applyFont="1" applyBorder="1"/>
    <xf numFmtId="14" fontId="33" fillId="0" borderId="37" xfId="9" applyNumberFormat="1" applyFont="1" applyBorder="1"/>
    <xf numFmtId="0" fontId="30" fillId="0" borderId="0" xfId="9" applyFont="1"/>
    <xf numFmtId="0" fontId="33" fillId="0" borderId="40" xfId="9" applyFont="1" applyBorder="1"/>
    <xf numFmtId="0" fontId="29" fillId="0" borderId="39" xfId="9" applyFont="1" applyBorder="1"/>
    <xf numFmtId="0" fontId="39" fillId="0" borderId="21" xfId="9" applyFont="1" applyBorder="1"/>
    <xf numFmtId="0" fontId="40" fillId="0" borderId="37" xfId="9" applyFont="1" applyBorder="1"/>
    <xf numFmtId="164" fontId="40" fillId="0" borderId="37" xfId="12" applyNumberFormat="1" applyFont="1" applyBorder="1"/>
    <xf numFmtId="165" fontId="39" fillId="0" borderId="37" xfId="12" applyNumberFormat="1" applyFont="1" applyBorder="1"/>
    <xf numFmtId="164" fontId="39" fillId="0" borderId="38" xfId="12" applyNumberFormat="1" applyFont="1" applyBorder="1"/>
    <xf numFmtId="164" fontId="39" fillId="17" borderId="38" xfId="12" applyNumberFormat="1" applyFont="1" applyFill="1" applyBorder="1"/>
    <xf numFmtId="164" fontId="39" fillId="0" borderId="21" xfId="12" applyNumberFormat="1" applyFont="1" applyBorder="1"/>
    <xf numFmtId="0" fontId="41" fillId="0" borderId="0" xfId="9" applyFont="1"/>
    <xf numFmtId="0" fontId="38" fillId="0" borderId="0" xfId="9" applyFont="1"/>
    <xf numFmtId="0" fontId="39" fillId="0" borderId="40" xfId="9" applyFont="1" applyBorder="1"/>
    <xf numFmtId="0" fontId="40" fillId="0" borderId="39" xfId="9" applyFont="1" applyBorder="1"/>
    <xf numFmtId="164" fontId="40" fillId="0" borderId="39" xfId="12" applyNumberFormat="1" applyFont="1" applyBorder="1"/>
    <xf numFmtId="165" fontId="40" fillId="0" borderId="39" xfId="12" applyNumberFormat="1" applyFont="1" applyBorder="1"/>
    <xf numFmtId="164" fontId="40" fillId="0" borderId="5" xfId="12" applyNumberFormat="1" applyFont="1" applyBorder="1"/>
    <xf numFmtId="164" fontId="40" fillId="17" borderId="5" xfId="12" applyNumberFormat="1" applyFont="1" applyFill="1" applyBorder="1"/>
    <xf numFmtId="164" fontId="40" fillId="0" borderId="40" xfId="12" applyNumberFormat="1" applyFont="1" applyBorder="1"/>
    <xf numFmtId="164" fontId="33" fillId="0" borderId="0" xfId="12" applyNumberFormat="1" applyFont="1" applyFill="1" applyBorder="1"/>
    <xf numFmtId="165" fontId="33" fillId="0" borderId="0" xfId="12" applyNumberFormat="1" applyFont="1" applyFill="1" applyBorder="1"/>
    <xf numFmtId="165" fontId="42" fillId="0" borderId="0" xfId="12" applyNumberFormat="1" applyFont="1" applyFill="1" applyBorder="1"/>
    <xf numFmtId="164" fontId="30" fillId="16" borderId="0" xfId="9" applyNumberFormat="1" applyFont="1" applyFill="1"/>
    <xf numFmtId="165" fontId="29" fillId="0" borderId="0" xfId="12" applyNumberFormat="1" applyFont="1" applyFill="1" applyBorder="1" applyAlignment="1">
      <alignment horizontal="right"/>
    </xf>
    <xf numFmtId="164" fontId="29" fillId="18" borderId="38" xfId="12" applyNumberFormat="1" applyFont="1" applyFill="1" applyBorder="1"/>
    <xf numFmtId="165" fontId="33" fillId="0" borderId="0" xfId="12" applyNumberFormat="1" applyFont="1" applyFill="1" applyBorder="1" applyAlignment="1">
      <alignment horizontal="right"/>
    </xf>
    <xf numFmtId="164" fontId="33" fillId="18" borderId="5" xfId="12" applyNumberFormat="1" applyFont="1" applyFill="1" applyBorder="1"/>
    <xf numFmtId="164" fontId="30" fillId="18" borderId="5" xfId="9" applyNumberFormat="1" applyFont="1" applyFill="1" applyBorder="1"/>
    <xf numFmtId="0" fontId="30" fillId="0" borderId="0" xfId="9" applyFont="1" applyAlignment="1">
      <alignment wrapText="1"/>
    </xf>
    <xf numFmtId="164" fontId="23" fillId="0" borderId="0" xfId="9" applyNumberFormat="1" applyFont="1"/>
    <xf numFmtId="164" fontId="26" fillId="0" borderId="0" xfId="9" applyNumberFormat="1" applyFont="1"/>
    <xf numFmtId="14" fontId="32" fillId="0" borderId="37" xfId="9" applyNumberFormat="1" applyFont="1" applyBorder="1"/>
    <xf numFmtId="0" fontId="39" fillId="0" borderId="37" xfId="9" applyFont="1" applyBorder="1"/>
    <xf numFmtId="14" fontId="40" fillId="0" borderId="37" xfId="9" applyNumberFormat="1" applyFont="1" applyBorder="1"/>
    <xf numFmtId="0" fontId="29" fillId="0" borderId="0" xfId="9" applyFont="1"/>
    <xf numFmtId="0" fontId="29" fillId="0" borderId="0" xfId="9" applyFont="1" applyAlignment="1">
      <alignment horizontal="right"/>
    </xf>
    <xf numFmtId="164" fontId="29" fillId="18" borderId="5" xfId="9" applyNumberFormat="1" applyFont="1" applyFill="1" applyBorder="1"/>
    <xf numFmtId="164" fontId="29" fillId="18" borderId="8" xfId="9" applyNumberFormat="1" applyFont="1" applyFill="1" applyBorder="1"/>
    <xf numFmtId="0" fontId="26" fillId="0" borderId="0" xfId="11" applyFont="1" applyAlignment="1">
      <alignment horizontal="right"/>
    </xf>
    <xf numFmtId="164" fontId="26" fillId="0" borderId="42" xfId="9" applyNumberFormat="1" applyFont="1" applyBorder="1"/>
    <xf numFmtId="164" fontId="29" fillId="17" borderId="42" xfId="12" applyNumberFormat="1" applyFont="1" applyFill="1" applyBorder="1"/>
    <xf numFmtId="0" fontId="30" fillId="0" borderId="0" xfId="9" applyFont="1" applyAlignment="1">
      <alignment horizontal="right"/>
    </xf>
    <xf numFmtId="164" fontId="30" fillId="18" borderId="8" xfId="9" applyNumberFormat="1" applyFont="1" applyFill="1" applyBorder="1"/>
    <xf numFmtId="166" fontId="30" fillId="19" borderId="8" xfId="8" applyNumberFormat="1" applyFont="1" applyFill="1" applyBorder="1"/>
    <xf numFmtId="166" fontId="30" fillId="0" borderId="0" xfId="8" applyNumberFormat="1" applyFont="1" applyFill="1"/>
    <xf numFmtId="0" fontId="44" fillId="0" borderId="0" xfId="11" applyFont="1" applyAlignment="1">
      <alignment horizontal="right"/>
    </xf>
    <xf numFmtId="164" fontId="45" fillId="0" borderId="0" xfId="12" applyNumberFormat="1" applyFont="1"/>
    <xf numFmtId="166" fontId="23" fillId="0" borderId="0" xfId="8" applyNumberFormat="1" applyFont="1"/>
    <xf numFmtId="164" fontId="13" fillId="0" borderId="0" xfId="12" applyNumberFormat="1"/>
    <xf numFmtId="9" fontId="24" fillId="0" borderId="0" xfId="9" applyNumberFormat="1" applyFont="1"/>
    <xf numFmtId="164" fontId="33" fillId="0" borderId="0" xfId="12" applyNumberFormat="1" applyFont="1" applyAlignment="1">
      <alignment horizontal="right"/>
    </xf>
    <xf numFmtId="164" fontId="43" fillId="0" borderId="0" xfId="12" applyNumberFormat="1" applyFont="1"/>
    <xf numFmtId="164" fontId="37" fillId="0" borderId="38" xfId="12" applyNumberFormat="1" applyFont="1" applyFill="1" applyBorder="1"/>
    <xf numFmtId="164" fontId="13" fillId="0" borderId="5" xfId="12" applyNumberFormat="1" applyFill="1" applyBorder="1"/>
    <xf numFmtId="164" fontId="29" fillId="0" borderId="38" xfId="12" applyNumberFormat="1" applyFont="1" applyFill="1" applyBorder="1"/>
    <xf numFmtId="164" fontId="33" fillId="0" borderId="5" xfId="12" applyNumberFormat="1" applyFont="1" applyFill="1" applyBorder="1"/>
    <xf numFmtId="164" fontId="29" fillId="0" borderId="42" xfId="12" applyNumberFormat="1" applyFont="1" applyFill="1" applyBorder="1"/>
    <xf numFmtId="164" fontId="33" fillId="0" borderId="42" xfId="12" applyNumberFormat="1" applyFont="1" applyFill="1" applyBorder="1"/>
    <xf numFmtId="0" fontId="9" fillId="0" borderId="0" xfId="3" applyFont="1"/>
    <xf numFmtId="0" fontId="2" fillId="0" borderId="0" xfId="2"/>
    <xf numFmtId="0" fontId="4" fillId="0" borderId="0" xfId="3" applyFont="1"/>
  </cellXfs>
  <cellStyles count="13">
    <cellStyle name="Comma" xfId="1" builtinId="3"/>
    <cellStyle name="Comma 2" xfId="12" xr:uid="{26093672-6766-4259-A38E-79CF6A07E1FE}"/>
    <cellStyle name="Hyperlink" xfId="6" builtinId="8"/>
    <cellStyle name="Komats 10" xfId="5" xr:uid="{936BEEE1-B63C-4947-8A4B-3B0A1ECF8650}"/>
    <cellStyle name="Normal" xfId="0" builtinId="0"/>
    <cellStyle name="Normal 2" xfId="9" xr:uid="{4A3B6B32-53E8-4331-82E3-E775A919A840}"/>
    <cellStyle name="Normal 2 2" xfId="7" xr:uid="{330D0400-B9F2-44C4-96E4-1A24C6DEC329}"/>
    <cellStyle name="Normal 4" xfId="11" xr:uid="{DE7FA4BB-3E69-43B2-8EAB-6D73F40B25B4}"/>
    <cellStyle name="Parasts 2 2 2 2" xfId="10" xr:uid="{406ABDEB-F5B9-4811-BD61-507D215D75DF}"/>
    <cellStyle name="Parasts 2 2 5" xfId="2" xr:uid="{15FB8B08-F072-49D3-A5D7-7EE62FAAA8FD}"/>
    <cellStyle name="Parasts 2 2 5 2" xfId="3" xr:uid="{7BC7E728-D666-4AAD-A8A9-E7A3E5668C30}"/>
    <cellStyle name="Percent 4" xfId="8" xr:uid="{1780489E-C281-40B8-B268-AB3717242921}"/>
    <cellStyle name="Procenti 2 3" xfId="4" xr:uid="{6F9B400F-6337-4E19-883F-2AAFFD141ACC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33849-EBC5-4D99-A6CF-ECB41E6527B6}">
  <sheetPr>
    <tabColor rgb="FF92D050"/>
    <pageSetUpPr fitToPage="1"/>
  </sheetPr>
  <dimension ref="A1:H291"/>
  <sheetViews>
    <sheetView tabSelected="1" zoomScaleNormal="100" zoomScaleSheetLayoutView="80" workbookViewId="0">
      <pane xSplit="4" ySplit="5" topLeftCell="E6" activePane="bottomRight" state="frozen"/>
      <selection activeCell="C1" sqref="C1"/>
      <selection pane="topRight" activeCell="E1" sqref="E1"/>
      <selection pane="bottomLeft" activeCell="C6" sqref="C6"/>
      <selection pane="bottomRight" activeCell="F8" sqref="F8"/>
    </sheetView>
  </sheetViews>
  <sheetFormatPr defaultRowHeight="13.8" outlineLevelRow="1" outlineLevelCol="2" x14ac:dyDescent="0.25"/>
  <cols>
    <col min="1" max="1" width="7.875" style="1" hidden="1" customWidth="1" outlineLevel="2"/>
    <col min="2" max="2" width="11.375" style="1" hidden="1" customWidth="1" outlineLevel="2"/>
    <col min="3" max="3" width="15" style="119" customWidth="1" collapsed="1"/>
    <col min="4" max="4" width="48.625" style="5" customWidth="1"/>
    <col min="5" max="5" width="14.875" style="9" customWidth="1"/>
    <col min="6" max="6" width="14.875" style="16" customWidth="1" collapsed="1"/>
    <col min="7" max="7" width="14.875" style="1" customWidth="1" outlineLevel="1"/>
    <col min="8" max="8" width="54" style="13" customWidth="1" outlineLevel="1" collapsed="1"/>
    <col min="9" max="166" width="9" style="1"/>
    <col min="167" max="168" width="0" style="1" hidden="1" customWidth="1"/>
    <col min="169" max="169" width="13.75" style="1" customWidth="1"/>
    <col min="170" max="170" width="52.875" style="1" customWidth="1"/>
    <col min="171" max="210" width="0" style="1" hidden="1" customWidth="1"/>
    <col min="211" max="212" width="14.875" style="1" customWidth="1"/>
    <col min="213" max="214" width="0" style="1" hidden="1" customWidth="1"/>
    <col min="215" max="215" width="14.875" style="1" customWidth="1"/>
    <col min="216" max="217" width="0" style="1" hidden="1" customWidth="1"/>
    <col min="218" max="218" width="14.875" style="1" customWidth="1"/>
    <col min="219" max="220" width="0" style="1" hidden="1" customWidth="1"/>
    <col min="221" max="221" width="14.875" style="1" customWidth="1"/>
    <col min="222" max="223" width="0" style="1" hidden="1" customWidth="1"/>
    <col min="224" max="224" width="14.875" style="1" customWidth="1"/>
    <col min="225" max="226" width="0" style="1" hidden="1" customWidth="1"/>
    <col min="227" max="228" width="14.875" style="1" customWidth="1"/>
    <col min="229" max="229" width="44.375" style="1" customWidth="1"/>
    <col min="230" max="234" width="14.875" style="1" customWidth="1"/>
    <col min="235" max="235" width="63.875" style="1" customWidth="1"/>
    <col min="236" max="236" width="13.25" style="1" customWidth="1"/>
    <col min="237" max="422" width="9" style="1"/>
    <col min="423" max="424" width="0" style="1" hidden="1" customWidth="1"/>
    <col min="425" max="425" width="13.75" style="1" customWidth="1"/>
    <col min="426" max="426" width="52.875" style="1" customWidth="1"/>
    <col min="427" max="466" width="0" style="1" hidden="1" customWidth="1"/>
    <col min="467" max="468" width="14.875" style="1" customWidth="1"/>
    <col min="469" max="470" width="0" style="1" hidden="1" customWidth="1"/>
    <col min="471" max="471" width="14.875" style="1" customWidth="1"/>
    <col min="472" max="473" width="0" style="1" hidden="1" customWidth="1"/>
    <col min="474" max="474" width="14.875" style="1" customWidth="1"/>
    <col min="475" max="476" width="0" style="1" hidden="1" customWidth="1"/>
    <col min="477" max="477" width="14.875" style="1" customWidth="1"/>
    <col min="478" max="479" width="0" style="1" hidden="1" customWidth="1"/>
    <col min="480" max="480" width="14.875" style="1" customWidth="1"/>
    <col min="481" max="482" width="0" style="1" hidden="1" customWidth="1"/>
    <col min="483" max="484" width="14.875" style="1" customWidth="1"/>
    <col min="485" max="485" width="44.375" style="1" customWidth="1"/>
    <col min="486" max="490" width="14.875" style="1" customWidth="1"/>
    <col min="491" max="491" width="63.875" style="1" customWidth="1"/>
    <col min="492" max="492" width="13.25" style="1" customWidth="1"/>
    <col min="493" max="678" width="9" style="1"/>
    <col min="679" max="680" width="0" style="1" hidden="1" customWidth="1"/>
    <col min="681" max="681" width="13.75" style="1" customWidth="1"/>
    <col min="682" max="682" width="52.875" style="1" customWidth="1"/>
    <col min="683" max="722" width="0" style="1" hidden="1" customWidth="1"/>
    <col min="723" max="724" width="14.875" style="1" customWidth="1"/>
    <col min="725" max="726" width="0" style="1" hidden="1" customWidth="1"/>
    <col min="727" max="727" width="14.875" style="1" customWidth="1"/>
    <col min="728" max="729" width="0" style="1" hidden="1" customWidth="1"/>
    <col min="730" max="730" width="14.875" style="1" customWidth="1"/>
    <col min="731" max="732" width="0" style="1" hidden="1" customWidth="1"/>
    <col min="733" max="733" width="14.875" style="1" customWidth="1"/>
    <col min="734" max="735" width="0" style="1" hidden="1" customWidth="1"/>
    <col min="736" max="736" width="14.875" style="1" customWidth="1"/>
    <col min="737" max="738" width="0" style="1" hidden="1" customWidth="1"/>
    <col min="739" max="740" width="14.875" style="1" customWidth="1"/>
    <col min="741" max="741" width="44.375" style="1" customWidth="1"/>
    <col min="742" max="746" width="14.875" style="1" customWidth="1"/>
    <col min="747" max="747" width="63.875" style="1" customWidth="1"/>
    <col min="748" max="748" width="13.25" style="1" customWidth="1"/>
    <col min="749" max="934" width="9" style="1"/>
    <col min="935" max="936" width="0" style="1" hidden="1" customWidth="1"/>
    <col min="937" max="937" width="13.75" style="1" customWidth="1"/>
    <col min="938" max="938" width="52.875" style="1" customWidth="1"/>
    <col min="939" max="978" width="0" style="1" hidden="1" customWidth="1"/>
    <col min="979" max="980" width="14.875" style="1" customWidth="1"/>
    <col min="981" max="982" width="0" style="1" hidden="1" customWidth="1"/>
    <col min="983" max="983" width="14.875" style="1" customWidth="1"/>
    <col min="984" max="985" width="0" style="1" hidden="1" customWidth="1"/>
    <col min="986" max="986" width="14.875" style="1" customWidth="1"/>
    <col min="987" max="988" width="0" style="1" hidden="1" customWidth="1"/>
    <col min="989" max="989" width="14.875" style="1" customWidth="1"/>
    <col min="990" max="991" width="0" style="1" hidden="1" customWidth="1"/>
    <col min="992" max="992" width="14.875" style="1" customWidth="1"/>
    <col min="993" max="994" width="0" style="1" hidden="1" customWidth="1"/>
    <col min="995" max="996" width="14.875" style="1" customWidth="1"/>
    <col min="997" max="997" width="44.375" style="1" customWidth="1"/>
    <col min="998" max="1002" width="14.875" style="1" customWidth="1"/>
    <col min="1003" max="1003" width="63.875" style="1" customWidth="1"/>
    <col min="1004" max="1004" width="13.25" style="1" customWidth="1"/>
    <col min="1005" max="1190" width="9" style="1"/>
    <col min="1191" max="1192" width="0" style="1" hidden="1" customWidth="1"/>
    <col min="1193" max="1193" width="13.75" style="1" customWidth="1"/>
    <col min="1194" max="1194" width="52.875" style="1" customWidth="1"/>
    <col min="1195" max="1234" width="0" style="1" hidden="1" customWidth="1"/>
    <col min="1235" max="1236" width="14.875" style="1" customWidth="1"/>
    <col min="1237" max="1238" width="0" style="1" hidden="1" customWidth="1"/>
    <col min="1239" max="1239" width="14.875" style="1" customWidth="1"/>
    <col min="1240" max="1241" width="0" style="1" hidden="1" customWidth="1"/>
    <col min="1242" max="1242" width="14.875" style="1" customWidth="1"/>
    <col min="1243" max="1244" width="0" style="1" hidden="1" customWidth="1"/>
    <col min="1245" max="1245" width="14.875" style="1" customWidth="1"/>
    <col min="1246" max="1247" width="0" style="1" hidden="1" customWidth="1"/>
    <col min="1248" max="1248" width="14.875" style="1" customWidth="1"/>
    <col min="1249" max="1250" width="0" style="1" hidden="1" customWidth="1"/>
    <col min="1251" max="1252" width="14.875" style="1" customWidth="1"/>
    <col min="1253" max="1253" width="44.375" style="1" customWidth="1"/>
    <col min="1254" max="1258" width="14.875" style="1" customWidth="1"/>
    <col min="1259" max="1259" width="63.875" style="1" customWidth="1"/>
    <col min="1260" max="1260" width="13.25" style="1" customWidth="1"/>
    <col min="1261" max="1446" width="9" style="1"/>
    <col min="1447" max="1448" width="0" style="1" hidden="1" customWidth="1"/>
    <col min="1449" max="1449" width="13.75" style="1" customWidth="1"/>
    <col min="1450" max="1450" width="52.875" style="1" customWidth="1"/>
    <col min="1451" max="1490" width="0" style="1" hidden="1" customWidth="1"/>
    <col min="1491" max="1492" width="14.875" style="1" customWidth="1"/>
    <col min="1493" max="1494" width="0" style="1" hidden="1" customWidth="1"/>
    <col min="1495" max="1495" width="14.875" style="1" customWidth="1"/>
    <col min="1496" max="1497" width="0" style="1" hidden="1" customWidth="1"/>
    <col min="1498" max="1498" width="14.875" style="1" customWidth="1"/>
    <col min="1499" max="1500" width="0" style="1" hidden="1" customWidth="1"/>
    <col min="1501" max="1501" width="14.875" style="1" customWidth="1"/>
    <col min="1502" max="1503" width="0" style="1" hidden="1" customWidth="1"/>
    <col min="1504" max="1504" width="14.875" style="1" customWidth="1"/>
    <col min="1505" max="1506" width="0" style="1" hidden="1" customWidth="1"/>
    <col min="1507" max="1508" width="14.875" style="1" customWidth="1"/>
    <col min="1509" max="1509" width="44.375" style="1" customWidth="1"/>
    <col min="1510" max="1514" width="14.875" style="1" customWidth="1"/>
    <col min="1515" max="1515" width="63.875" style="1" customWidth="1"/>
    <col min="1516" max="1516" width="13.25" style="1" customWidth="1"/>
    <col min="1517" max="1702" width="9" style="1"/>
    <col min="1703" max="1704" width="0" style="1" hidden="1" customWidth="1"/>
    <col min="1705" max="1705" width="13.75" style="1" customWidth="1"/>
    <col min="1706" max="1706" width="52.875" style="1" customWidth="1"/>
    <col min="1707" max="1746" width="0" style="1" hidden="1" customWidth="1"/>
    <col min="1747" max="1748" width="14.875" style="1" customWidth="1"/>
    <col min="1749" max="1750" width="0" style="1" hidden="1" customWidth="1"/>
    <col min="1751" max="1751" width="14.875" style="1" customWidth="1"/>
    <col min="1752" max="1753" width="0" style="1" hidden="1" customWidth="1"/>
    <col min="1754" max="1754" width="14.875" style="1" customWidth="1"/>
    <col min="1755" max="1756" width="0" style="1" hidden="1" customWidth="1"/>
    <col min="1757" max="1757" width="14.875" style="1" customWidth="1"/>
    <col min="1758" max="1759" width="0" style="1" hidden="1" customWidth="1"/>
    <col min="1760" max="1760" width="14.875" style="1" customWidth="1"/>
    <col min="1761" max="1762" width="0" style="1" hidden="1" customWidth="1"/>
    <col min="1763" max="1764" width="14.875" style="1" customWidth="1"/>
    <col min="1765" max="1765" width="44.375" style="1" customWidth="1"/>
    <col min="1766" max="1770" width="14.875" style="1" customWidth="1"/>
    <col min="1771" max="1771" width="63.875" style="1" customWidth="1"/>
    <col min="1772" max="1772" width="13.25" style="1" customWidth="1"/>
    <col min="1773" max="1958" width="9" style="1"/>
    <col min="1959" max="1960" width="0" style="1" hidden="1" customWidth="1"/>
    <col min="1961" max="1961" width="13.75" style="1" customWidth="1"/>
    <col min="1962" max="1962" width="52.875" style="1" customWidth="1"/>
    <col min="1963" max="2002" width="0" style="1" hidden="1" customWidth="1"/>
    <col min="2003" max="2004" width="14.875" style="1" customWidth="1"/>
    <col min="2005" max="2006" width="0" style="1" hidden="1" customWidth="1"/>
    <col min="2007" max="2007" width="14.875" style="1" customWidth="1"/>
    <col min="2008" max="2009" width="0" style="1" hidden="1" customWidth="1"/>
    <col min="2010" max="2010" width="14.875" style="1" customWidth="1"/>
    <col min="2011" max="2012" width="0" style="1" hidden="1" customWidth="1"/>
    <col min="2013" max="2013" width="14.875" style="1" customWidth="1"/>
    <col min="2014" max="2015" width="0" style="1" hidden="1" customWidth="1"/>
    <col min="2016" max="2016" width="14.875" style="1" customWidth="1"/>
    <col min="2017" max="2018" width="0" style="1" hidden="1" customWidth="1"/>
    <col min="2019" max="2020" width="14.875" style="1" customWidth="1"/>
    <col min="2021" max="2021" width="44.375" style="1" customWidth="1"/>
    <col min="2022" max="2026" width="14.875" style="1" customWidth="1"/>
    <col min="2027" max="2027" width="63.875" style="1" customWidth="1"/>
    <col min="2028" max="2028" width="13.25" style="1" customWidth="1"/>
    <col min="2029" max="2214" width="9" style="1"/>
    <col min="2215" max="2216" width="0" style="1" hidden="1" customWidth="1"/>
    <col min="2217" max="2217" width="13.75" style="1" customWidth="1"/>
    <col min="2218" max="2218" width="52.875" style="1" customWidth="1"/>
    <col min="2219" max="2258" width="0" style="1" hidden="1" customWidth="1"/>
    <col min="2259" max="2260" width="14.875" style="1" customWidth="1"/>
    <col min="2261" max="2262" width="0" style="1" hidden="1" customWidth="1"/>
    <col min="2263" max="2263" width="14.875" style="1" customWidth="1"/>
    <col min="2264" max="2265" width="0" style="1" hidden="1" customWidth="1"/>
    <col min="2266" max="2266" width="14.875" style="1" customWidth="1"/>
    <col min="2267" max="2268" width="0" style="1" hidden="1" customWidth="1"/>
    <col min="2269" max="2269" width="14.875" style="1" customWidth="1"/>
    <col min="2270" max="2271" width="0" style="1" hidden="1" customWidth="1"/>
    <col min="2272" max="2272" width="14.875" style="1" customWidth="1"/>
    <col min="2273" max="2274" width="0" style="1" hidden="1" customWidth="1"/>
    <col min="2275" max="2276" width="14.875" style="1" customWidth="1"/>
    <col min="2277" max="2277" width="44.375" style="1" customWidth="1"/>
    <col min="2278" max="2282" width="14.875" style="1" customWidth="1"/>
    <col min="2283" max="2283" width="63.875" style="1" customWidth="1"/>
    <col min="2284" max="2284" width="13.25" style="1" customWidth="1"/>
    <col min="2285" max="2470" width="9" style="1"/>
    <col min="2471" max="2472" width="0" style="1" hidden="1" customWidth="1"/>
    <col min="2473" max="2473" width="13.75" style="1" customWidth="1"/>
    <col min="2474" max="2474" width="52.875" style="1" customWidth="1"/>
    <col min="2475" max="2514" width="0" style="1" hidden="1" customWidth="1"/>
    <col min="2515" max="2516" width="14.875" style="1" customWidth="1"/>
    <col min="2517" max="2518" width="0" style="1" hidden="1" customWidth="1"/>
    <col min="2519" max="2519" width="14.875" style="1" customWidth="1"/>
    <col min="2520" max="2521" width="0" style="1" hidden="1" customWidth="1"/>
    <col min="2522" max="2522" width="14.875" style="1" customWidth="1"/>
    <col min="2523" max="2524" width="0" style="1" hidden="1" customWidth="1"/>
    <col min="2525" max="2525" width="14.875" style="1" customWidth="1"/>
    <col min="2526" max="2527" width="0" style="1" hidden="1" customWidth="1"/>
    <col min="2528" max="2528" width="14.875" style="1" customWidth="1"/>
    <col min="2529" max="2530" width="0" style="1" hidden="1" customWidth="1"/>
    <col min="2531" max="2532" width="14.875" style="1" customWidth="1"/>
    <col min="2533" max="2533" width="44.375" style="1" customWidth="1"/>
    <col min="2534" max="2538" width="14.875" style="1" customWidth="1"/>
    <col min="2539" max="2539" width="63.875" style="1" customWidth="1"/>
    <col min="2540" max="2540" width="13.25" style="1" customWidth="1"/>
    <col min="2541" max="2726" width="9" style="1"/>
    <col min="2727" max="2728" width="0" style="1" hidden="1" customWidth="1"/>
    <col min="2729" max="2729" width="13.75" style="1" customWidth="1"/>
    <col min="2730" max="2730" width="52.875" style="1" customWidth="1"/>
    <col min="2731" max="2770" width="0" style="1" hidden="1" customWidth="1"/>
    <col min="2771" max="2772" width="14.875" style="1" customWidth="1"/>
    <col min="2773" max="2774" width="0" style="1" hidden="1" customWidth="1"/>
    <col min="2775" max="2775" width="14.875" style="1" customWidth="1"/>
    <col min="2776" max="2777" width="0" style="1" hidden="1" customWidth="1"/>
    <col min="2778" max="2778" width="14.875" style="1" customWidth="1"/>
    <col min="2779" max="2780" width="0" style="1" hidden="1" customWidth="1"/>
    <col min="2781" max="2781" width="14.875" style="1" customWidth="1"/>
    <col min="2782" max="2783" width="0" style="1" hidden="1" customWidth="1"/>
    <col min="2784" max="2784" width="14.875" style="1" customWidth="1"/>
    <col min="2785" max="2786" width="0" style="1" hidden="1" customWidth="1"/>
    <col min="2787" max="2788" width="14.875" style="1" customWidth="1"/>
    <col min="2789" max="2789" width="44.375" style="1" customWidth="1"/>
    <col min="2790" max="2794" width="14.875" style="1" customWidth="1"/>
    <col min="2795" max="2795" width="63.875" style="1" customWidth="1"/>
    <col min="2796" max="2796" width="13.25" style="1" customWidth="1"/>
    <col min="2797" max="2982" width="9" style="1"/>
    <col min="2983" max="2984" width="0" style="1" hidden="1" customWidth="1"/>
    <col min="2985" max="2985" width="13.75" style="1" customWidth="1"/>
    <col min="2986" max="2986" width="52.875" style="1" customWidth="1"/>
    <col min="2987" max="3026" width="0" style="1" hidden="1" customWidth="1"/>
    <col min="3027" max="3028" width="14.875" style="1" customWidth="1"/>
    <col min="3029" max="3030" width="0" style="1" hidden="1" customWidth="1"/>
    <col min="3031" max="3031" width="14.875" style="1" customWidth="1"/>
    <col min="3032" max="3033" width="0" style="1" hidden="1" customWidth="1"/>
    <col min="3034" max="3034" width="14.875" style="1" customWidth="1"/>
    <col min="3035" max="3036" width="0" style="1" hidden="1" customWidth="1"/>
    <col min="3037" max="3037" width="14.875" style="1" customWidth="1"/>
    <col min="3038" max="3039" width="0" style="1" hidden="1" customWidth="1"/>
    <col min="3040" max="3040" width="14.875" style="1" customWidth="1"/>
    <col min="3041" max="3042" width="0" style="1" hidden="1" customWidth="1"/>
    <col min="3043" max="3044" width="14.875" style="1" customWidth="1"/>
    <col min="3045" max="3045" width="44.375" style="1" customWidth="1"/>
    <col min="3046" max="3050" width="14.875" style="1" customWidth="1"/>
    <col min="3051" max="3051" width="63.875" style="1" customWidth="1"/>
    <col min="3052" max="3052" width="13.25" style="1" customWidth="1"/>
    <col min="3053" max="3238" width="9" style="1"/>
    <col min="3239" max="3240" width="0" style="1" hidden="1" customWidth="1"/>
    <col min="3241" max="3241" width="13.75" style="1" customWidth="1"/>
    <col min="3242" max="3242" width="52.875" style="1" customWidth="1"/>
    <col min="3243" max="3282" width="0" style="1" hidden="1" customWidth="1"/>
    <col min="3283" max="3284" width="14.875" style="1" customWidth="1"/>
    <col min="3285" max="3286" width="0" style="1" hidden="1" customWidth="1"/>
    <col min="3287" max="3287" width="14.875" style="1" customWidth="1"/>
    <col min="3288" max="3289" width="0" style="1" hidden="1" customWidth="1"/>
    <col min="3290" max="3290" width="14.875" style="1" customWidth="1"/>
    <col min="3291" max="3292" width="0" style="1" hidden="1" customWidth="1"/>
    <col min="3293" max="3293" width="14.875" style="1" customWidth="1"/>
    <col min="3294" max="3295" width="0" style="1" hidden="1" customWidth="1"/>
    <col min="3296" max="3296" width="14.875" style="1" customWidth="1"/>
    <col min="3297" max="3298" width="0" style="1" hidden="1" customWidth="1"/>
    <col min="3299" max="3300" width="14.875" style="1" customWidth="1"/>
    <col min="3301" max="3301" width="44.375" style="1" customWidth="1"/>
    <col min="3302" max="3306" width="14.875" style="1" customWidth="1"/>
    <col min="3307" max="3307" width="63.875" style="1" customWidth="1"/>
    <col min="3308" max="3308" width="13.25" style="1" customWidth="1"/>
    <col min="3309" max="3494" width="9" style="1"/>
    <col min="3495" max="3496" width="0" style="1" hidden="1" customWidth="1"/>
    <col min="3497" max="3497" width="13.75" style="1" customWidth="1"/>
    <col min="3498" max="3498" width="52.875" style="1" customWidth="1"/>
    <col min="3499" max="3538" width="0" style="1" hidden="1" customWidth="1"/>
    <col min="3539" max="3540" width="14.875" style="1" customWidth="1"/>
    <col min="3541" max="3542" width="0" style="1" hidden="1" customWidth="1"/>
    <col min="3543" max="3543" width="14.875" style="1" customWidth="1"/>
    <col min="3544" max="3545" width="0" style="1" hidden="1" customWidth="1"/>
    <col min="3546" max="3546" width="14.875" style="1" customWidth="1"/>
    <col min="3547" max="3548" width="0" style="1" hidden="1" customWidth="1"/>
    <col min="3549" max="3549" width="14.875" style="1" customWidth="1"/>
    <col min="3550" max="3551" width="0" style="1" hidden="1" customWidth="1"/>
    <col min="3552" max="3552" width="14.875" style="1" customWidth="1"/>
    <col min="3553" max="3554" width="0" style="1" hidden="1" customWidth="1"/>
    <col min="3555" max="3556" width="14.875" style="1" customWidth="1"/>
    <col min="3557" max="3557" width="44.375" style="1" customWidth="1"/>
    <col min="3558" max="3562" width="14.875" style="1" customWidth="1"/>
    <col min="3563" max="3563" width="63.875" style="1" customWidth="1"/>
    <col min="3564" max="3564" width="13.25" style="1" customWidth="1"/>
    <col min="3565" max="3750" width="9" style="1"/>
    <col min="3751" max="3752" width="0" style="1" hidden="1" customWidth="1"/>
    <col min="3753" max="3753" width="13.75" style="1" customWidth="1"/>
    <col min="3754" max="3754" width="52.875" style="1" customWidth="1"/>
    <col min="3755" max="3794" width="0" style="1" hidden="1" customWidth="1"/>
    <col min="3795" max="3796" width="14.875" style="1" customWidth="1"/>
    <col min="3797" max="3798" width="0" style="1" hidden="1" customWidth="1"/>
    <col min="3799" max="3799" width="14.875" style="1" customWidth="1"/>
    <col min="3800" max="3801" width="0" style="1" hidden="1" customWidth="1"/>
    <col min="3802" max="3802" width="14.875" style="1" customWidth="1"/>
    <col min="3803" max="3804" width="0" style="1" hidden="1" customWidth="1"/>
    <col min="3805" max="3805" width="14.875" style="1" customWidth="1"/>
    <col min="3806" max="3807" width="0" style="1" hidden="1" customWidth="1"/>
    <col min="3808" max="3808" width="14.875" style="1" customWidth="1"/>
    <col min="3809" max="3810" width="0" style="1" hidden="1" customWidth="1"/>
    <col min="3811" max="3812" width="14.875" style="1" customWidth="1"/>
    <col min="3813" max="3813" width="44.375" style="1" customWidth="1"/>
    <col min="3814" max="3818" width="14.875" style="1" customWidth="1"/>
    <col min="3819" max="3819" width="63.875" style="1" customWidth="1"/>
    <col min="3820" max="3820" width="13.25" style="1" customWidth="1"/>
    <col min="3821" max="4006" width="9" style="1"/>
    <col min="4007" max="4008" width="0" style="1" hidden="1" customWidth="1"/>
    <col min="4009" max="4009" width="13.75" style="1" customWidth="1"/>
    <col min="4010" max="4010" width="52.875" style="1" customWidth="1"/>
    <col min="4011" max="4050" width="0" style="1" hidden="1" customWidth="1"/>
    <col min="4051" max="4052" width="14.875" style="1" customWidth="1"/>
    <col min="4053" max="4054" width="0" style="1" hidden="1" customWidth="1"/>
    <col min="4055" max="4055" width="14.875" style="1" customWidth="1"/>
    <col min="4056" max="4057" width="0" style="1" hidden="1" customWidth="1"/>
    <col min="4058" max="4058" width="14.875" style="1" customWidth="1"/>
    <col min="4059" max="4060" width="0" style="1" hidden="1" customWidth="1"/>
    <col min="4061" max="4061" width="14.875" style="1" customWidth="1"/>
    <col min="4062" max="4063" width="0" style="1" hidden="1" customWidth="1"/>
    <col min="4064" max="4064" width="14.875" style="1" customWidth="1"/>
    <col min="4065" max="4066" width="0" style="1" hidden="1" customWidth="1"/>
    <col min="4067" max="4068" width="14.875" style="1" customWidth="1"/>
    <col min="4069" max="4069" width="44.375" style="1" customWidth="1"/>
    <col min="4070" max="4074" width="14.875" style="1" customWidth="1"/>
    <col min="4075" max="4075" width="63.875" style="1" customWidth="1"/>
    <col min="4076" max="4076" width="13.25" style="1" customWidth="1"/>
    <col min="4077" max="4262" width="9" style="1"/>
    <col min="4263" max="4264" width="0" style="1" hidden="1" customWidth="1"/>
    <col min="4265" max="4265" width="13.75" style="1" customWidth="1"/>
    <col min="4266" max="4266" width="52.875" style="1" customWidth="1"/>
    <col min="4267" max="4306" width="0" style="1" hidden="1" customWidth="1"/>
    <col min="4307" max="4308" width="14.875" style="1" customWidth="1"/>
    <col min="4309" max="4310" width="0" style="1" hidden="1" customWidth="1"/>
    <col min="4311" max="4311" width="14.875" style="1" customWidth="1"/>
    <col min="4312" max="4313" width="0" style="1" hidden="1" customWidth="1"/>
    <col min="4314" max="4314" width="14.875" style="1" customWidth="1"/>
    <col min="4315" max="4316" width="0" style="1" hidden="1" customWidth="1"/>
    <col min="4317" max="4317" width="14.875" style="1" customWidth="1"/>
    <col min="4318" max="4319" width="0" style="1" hidden="1" customWidth="1"/>
    <col min="4320" max="4320" width="14.875" style="1" customWidth="1"/>
    <col min="4321" max="4322" width="0" style="1" hidden="1" customWidth="1"/>
    <col min="4323" max="4324" width="14.875" style="1" customWidth="1"/>
    <col min="4325" max="4325" width="44.375" style="1" customWidth="1"/>
    <col min="4326" max="4330" width="14.875" style="1" customWidth="1"/>
    <col min="4331" max="4331" width="63.875" style="1" customWidth="1"/>
    <col min="4332" max="4332" width="13.25" style="1" customWidth="1"/>
    <col min="4333" max="4518" width="9" style="1"/>
    <col min="4519" max="4520" width="0" style="1" hidden="1" customWidth="1"/>
    <col min="4521" max="4521" width="13.75" style="1" customWidth="1"/>
    <col min="4522" max="4522" width="52.875" style="1" customWidth="1"/>
    <col min="4523" max="4562" width="0" style="1" hidden="1" customWidth="1"/>
    <col min="4563" max="4564" width="14.875" style="1" customWidth="1"/>
    <col min="4565" max="4566" width="0" style="1" hidden="1" customWidth="1"/>
    <col min="4567" max="4567" width="14.875" style="1" customWidth="1"/>
    <col min="4568" max="4569" width="0" style="1" hidden="1" customWidth="1"/>
    <col min="4570" max="4570" width="14.875" style="1" customWidth="1"/>
    <col min="4571" max="4572" width="0" style="1" hidden="1" customWidth="1"/>
    <col min="4573" max="4573" width="14.875" style="1" customWidth="1"/>
    <col min="4574" max="4575" width="0" style="1" hidden="1" customWidth="1"/>
    <col min="4576" max="4576" width="14.875" style="1" customWidth="1"/>
    <col min="4577" max="4578" width="0" style="1" hidden="1" customWidth="1"/>
    <col min="4579" max="4580" width="14.875" style="1" customWidth="1"/>
    <col min="4581" max="4581" width="44.375" style="1" customWidth="1"/>
    <col min="4582" max="4586" width="14.875" style="1" customWidth="1"/>
    <col min="4587" max="4587" width="63.875" style="1" customWidth="1"/>
    <col min="4588" max="4588" width="13.25" style="1" customWidth="1"/>
    <col min="4589" max="4774" width="9" style="1"/>
    <col min="4775" max="4776" width="0" style="1" hidden="1" customWidth="1"/>
    <col min="4777" max="4777" width="13.75" style="1" customWidth="1"/>
    <col min="4778" max="4778" width="52.875" style="1" customWidth="1"/>
    <col min="4779" max="4818" width="0" style="1" hidden="1" customWidth="1"/>
    <col min="4819" max="4820" width="14.875" style="1" customWidth="1"/>
    <col min="4821" max="4822" width="0" style="1" hidden="1" customWidth="1"/>
    <col min="4823" max="4823" width="14.875" style="1" customWidth="1"/>
    <col min="4824" max="4825" width="0" style="1" hidden="1" customWidth="1"/>
    <col min="4826" max="4826" width="14.875" style="1" customWidth="1"/>
    <col min="4827" max="4828" width="0" style="1" hidden="1" customWidth="1"/>
    <col min="4829" max="4829" width="14.875" style="1" customWidth="1"/>
    <col min="4830" max="4831" width="0" style="1" hidden="1" customWidth="1"/>
    <col min="4832" max="4832" width="14.875" style="1" customWidth="1"/>
    <col min="4833" max="4834" width="0" style="1" hidden="1" customWidth="1"/>
    <col min="4835" max="4836" width="14.875" style="1" customWidth="1"/>
    <col min="4837" max="4837" width="44.375" style="1" customWidth="1"/>
    <col min="4838" max="4842" width="14.875" style="1" customWidth="1"/>
    <col min="4843" max="4843" width="63.875" style="1" customWidth="1"/>
    <col min="4844" max="4844" width="13.25" style="1" customWidth="1"/>
    <col min="4845" max="5030" width="9" style="1"/>
    <col min="5031" max="5032" width="0" style="1" hidden="1" customWidth="1"/>
    <col min="5033" max="5033" width="13.75" style="1" customWidth="1"/>
    <col min="5034" max="5034" width="52.875" style="1" customWidth="1"/>
    <col min="5035" max="5074" width="0" style="1" hidden="1" customWidth="1"/>
    <col min="5075" max="5076" width="14.875" style="1" customWidth="1"/>
    <col min="5077" max="5078" width="0" style="1" hidden="1" customWidth="1"/>
    <col min="5079" max="5079" width="14.875" style="1" customWidth="1"/>
    <col min="5080" max="5081" width="0" style="1" hidden="1" customWidth="1"/>
    <col min="5082" max="5082" width="14.875" style="1" customWidth="1"/>
    <col min="5083" max="5084" width="0" style="1" hidden="1" customWidth="1"/>
    <col min="5085" max="5085" width="14.875" style="1" customWidth="1"/>
    <col min="5086" max="5087" width="0" style="1" hidden="1" customWidth="1"/>
    <col min="5088" max="5088" width="14.875" style="1" customWidth="1"/>
    <col min="5089" max="5090" width="0" style="1" hidden="1" customWidth="1"/>
    <col min="5091" max="5092" width="14.875" style="1" customWidth="1"/>
    <col min="5093" max="5093" width="44.375" style="1" customWidth="1"/>
    <col min="5094" max="5098" width="14.875" style="1" customWidth="1"/>
    <col min="5099" max="5099" width="63.875" style="1" customWidth="1"/>
    <col min="5100" max="5100" width="13.25" style="1" customWidth="1"/>
    <col min="5101" max="5286" width="9" style="1"/>
    <col min="5287" max="5288" width="0" style="1" hidden="1" customWidth="1"/>
    <col min="5289" max="5289" width="13.75" style="1" customWidth="1"/>
    <col min="5290" max="5290" width="52.875" style="1" customWidth="1"/>
    <col min="5291" max="5330" width="0" style="1" hidden="1" customWidth="1"/>
    <col min="5331" max="5332" width="14.875" style="1" customWidth="1"/>
    <col min="5333" max="5334" width="0" style="1" hidden="1" customWidth="1"/>
    <col min="5335" max="5335" width="14.875" style="1" customWidth="1"/>
    <col min="5336" max="5337" width="0" style="1" hidden="1" customWidth="1"/>
    <col min="5338" max="5338" width="14.875" style="1" customWidth="1"/>
    <col min="5339" max="5340" width="0" style="1" hidden="1" customWidth="1"/>
    <col min="5341" max="5341" width="14.875" style="1" customWidth="1"/>
    <col min="5342" max="5343" width="0" style="1" hidden="1" customWidth="1"/>
    <col min="5344" max="5344" width="14.875" style="1" customWidth="1"/>
    <col min="5345" max="5346" width="0" style="1" hidden="1" customWidth="1"/>
    <col min="5347" max="5348" width="14.875" style="1" customWidth="1"/>
    <col min="5349" max="5349" width="44.375" style="1" customWidth="1"/>
    <col min="5350" max="5354" width="14.875" style="1" customWidth="1"/>
    <col min="5355" max="5355" width="63.875" style="1" customWidth="1"/>
    <col min="5356" max="5356" width="13.25" style="1" customWidth="1"/>
    <col min="5357" max="5542" width="9" style="1"/>
    <col min="5543" max="5544" width="0" style="1" hidden="1" customWidth="1"/>
    <col min="5545" max="5545" width="13.75" style="1" customWidth="1"/>
    <col min="5546" max="5546" width="52.875" style="1" customWidth="1"/>
    <col min="5547" max="5586" width="0" style="1" hidden="1" customWidth="1"/>
    <col min="5587" max="5588" width="14.875" style="1" customWidth="1"/>
    <col min="5589" max="5590" width="0" style="1" hidden="1" customWidth="1"/>
    <col min="5591" max="5591" width="14.875" style="1" customWidth="1"/>
    <col min="5592" max="5593" width="0" style="1" hidden="1" customWidth="1"/>
    <col min="5594" max="5594" width="14.875" style="1" customWidth="1"/>
    <col min="5595" max="5596" width="0" style="1" hidden="1" customWidth="1"/>
    <col min="5597" max="5597" width="14.875" style="1" customWidth="1"/>
    <col min="5598" max="5599" width="0" style="1" hidden="1" customWidth="1"/>
    <col min="5600" max="5600" width="14.875" style="1" customWidth="1"/>
    <col min="5601" max="5602" width="0" style="1" hidden="1" customWidth="1"/>
    <col min="5603" max="5604" width="14.875" style="1" customWidth="1"/>
    <col min="5605" max="5605" width="44.375" style="1" customWidth="1"/>
    <col min="5606" max="5610" width="14.875" style="1" customWidth="1"/>
    <col min="5611" max="5611" width="63.875" style="1" customWidth="1"/>
    <col min="5612" max="5612" width="13.25" style="1" customWidth="1"/>
    <col min="5613" max="5798" width="9" style="1"/>
    <col min="5799" max="5800" width="0" style="1" hidden="1" customWidth="1"/>
    <col min="5801" max="5801" width="13.75" style="1" customWidth="1"/>
    <col min="5802" max="5802" width="52.875" style="1" customWidth="1"/>
    <col min="5803" max="5842" width="0" style="1" hidden="1" customWidth="1"/>
    <col min="5843" max="5844" width="14.875" style="1" customWidth="1"/>
    <col min="5845" max="5846" width="0" style="1" hidden="1" customWidth="1"/>
    <col min="5847" max="5847" width="14.875" style="1" customWidth="1"/>
    <col min="5848" max="5849" width="0" style="1" hidden="1" customWidth="1"/>
    <col min="5850" max="5850" width="14.875" style="1" customWidth="1"/>
    <col min="5851" max="5852" width="0" style="1" hidden="1" customWidth="1"/>
    <col min="5853" max="5853" width="14.875" style="1" customWidth="1"/>
    <col min="5854" max="5855" width="0" style="1" hidden="1" customWidth="1"/>
    <col min="5856" max="5856" width="14.875" style="1" customWidth="1"/>
    <col min="5857" max="5858" width="0" style="1" hidden="1" customWidth="1"/>
    <col min="5859" max="5860" width="14.875" style="1" customWidth="1"/>
    <col min="5861" max="5861" width="44.375" style="1" customWidth="1"/>
    <col min="5862" max="5866" width="14.875" style="1" customWidth="1"/>
    <col min="5867" max="5867" width="63.875" style="1" customWidth="1"/>
    <col min="5868" max="5868" width="13.25" style="1" customWidth="1"/>
    <col min="5869" max="6054" width="9" style="1"/>
    <col min="6055" max="6056" width="0" style="1" hidden="1" customWidth="1"/>
    <col min="6057" max="6057" width="13.75" style="1" customWidth="1"/>
    <col min="6058" max="6058" width="52.875" style="1" customWidth="1"/>
    <col min="6059" max="6098" width="0" style="1" hidden="1" customWidth="1"/>
    <col min="6099" max="6100" width="14.875" style="1" customWidth="1"/>
    <col min="6101" max="6102" width="0" style="1" hidden="1" customWidth="1"/>
    <col min="6103" max="6103" width="14.875" style="1" customWidth="1"/>
    <col min="6104" max="6105" width="0" style="1" hidden="1" customWidth="1"/>
    <col min="6106" max="6106" width="14.875" style="1" customWidth="1"/>
    <col min="6107" max="6108" width="0" style="1" hidden="1" customWidth="1"/>
    <col min="6109" max="6109" width="14.875" style="1" customWidth="1"/>
    <col min="6110" max="6111" width="0" style="1" hidden="1" customWidth="1"/>
    <col min="6112" max="6112" width="14.875" style="1" customWidth="1"/>
    <col min="6113" max="6114" width="0" style="1" hidden="1" customWidth="1"/>
    <col min="6115" max="6116" width="14.875" style="1" customWidth="1"/>
    <col min="6117" max="6117" width="44.375" style="1" customWidth="1"/>
    <col min="6118" max="6122" width="14.875" style="1" customWidth="1"/>
    <col min="6123" max="6123" width="63.875" style="1" customWidth="1"/>
    <col min="6124" max="6124" width="13.25" style="1" customWidth="1"/>
    <col min="6125" max="6310" width="9" style="1"/>
    <col min="6311" max="6312" width="0" style="1" hidden="1" customWidth="1"/>
    <col min="6313" max="6313" width="13.75" style="1" customWidth="1"/>
    <col min="6314" max="6314" width="52.875" style="1" customWidth="1"/>
    <col min="6315" max="6354" width="0" style="1" hidden="1" customWidth="1"/>
    <col min="6355" max="6356" width="14.875" style="1" customWidth="1"/>
    <col min="6357" max="6358" width="0" style="1" hidden="1" customWidth="1"/>
    <col min="6359" max="6359" width="14.875" style="1" customWidth="1"/>
    <col min="6360" max="6361" width="0" style="1" hidden="1" customWidth="1"/>
    <col min="6362" max="6362" width="14.875" style="1" customWidth="1"/>
    <col min="6363" max="6364" width="0" style="1" hidden="1" customWidth="1"/>
    <col min="6365" max="6365" width="14.875" style="1" customWidth="1"/>
    <col min="6366" max="6367" width="0" style="1" hidden="1" customWidth="1"/>
    <col min="6368" max="6368" width="14.875" style="1" customWidth="1"/>
    <col min="6369" max="6370" width="0" style="1" hidden="1" customWidth="1"/>
    <col min="6371" max="6372" width="14.875" style="1" customWidth="1"/>
    <col min="6373" max="6373" width="44.375" style="1" customWidth="1"/>
    <col min="6374" max="6378" width="14.875" style="1" customWidth="1"/>
    <col min="6379" max="6379" width="63.875" style="1" customWidth="1"/>
    <col min="6380" max="6380" width="13.25" style="1" customWidth="1"/>
    <col min="6381" max="6566" width="9" style="1"/>
    <col min="6567" max="6568" width="0" style="1" hidden="1" customWidth="1"/>
    <col min="6569" max="6569" width="13.75" style="1" customWidth="1"/>
    <col min="6570" max="6570" width="52.875" style="1" customWidth="1"/>
    <col min="6571" max="6610" width="0" style="1" hidden="1" customWidth="1"/>
    <col min="6611" max="6612" width="14.875" style="1" customWidth="1"/>
    <col min="6613" max="6614" width="0" style="1" hidden="1" customWidth="1"/>
    <col min="6615" max="6615" width="14.875" style="1" customWidth="1"/>
    <col min="6616" max="6617" width="0" style="1" hidden="1" customWidth="1"/>
    <col min="6618" max="6618" width="14.875" style="1" customWidth="1"/>
    <col min="6619" max="6620" width="0" style="1" hidden="1" customWidth="1"/>
    <col min="6621" max="6621" width="14.875" style="1" customWidth="1"/>
    <col min="6622" max="6623" width="0" style="1" hidden="1" customWidth="1"/>
    <col min="6624" max="6624" width="14.875" style="1" customWidth="1"/>
    <col min="6625" max="6626" width="0" style="1" hidden="1" customWidth="1"/>
    <col min="6627" max="6628" width="14.875" style="1" customWidth="1"/>
    <col min="6629" max="6629" width="44.375" style="1" customWidth="1"/>
    <col min="6630" max="6634" width="14.875" style="1" customWidth="1"/>
    <col min="6635" max="6635" width="63.875" style="1" customWidth="1"/>
    <col min="6636" max="6636" width="13.25" style="1" customWidth="1"/>
    <col min="6637" max="6822" width="9" style="1"/>
    <col min="6823" max="6824" width="0" style="1" hidden="1" customWidth="1"/>
    <col min="6825" max="6825" width="13.75" style="1" customWidth="1"/>
    <col min="6826" max="6826" width="52.875" style="1" customWidth="1"/>
    <col min="6827" max="6866" width="0" style="1" hidden="1" customWidth="1"/>
    <col min="6867" max="6868" width="14.875" style="1" customWidth="1"/>
    <col min="6869" max="6870" width="0" style="1" hidden="1" customWidth="1"/>
    <col min="6871" max="6871" width="14.875" style="1" customWidth="1"/>
    <col min="6872" max="6873" width="0" style="1" hidden="1" customWidth="1"/>
    <col min="6874" max="6874" width="14.875" style="1" customWidth="1"/>
    <col min="6875" max="6876" width="0" style="1" hidden="1" customWidth="1"/>
    <col min="6877" max="6877" width="14.875" style="1" customWidth="1"/>
    <col min="6878" max="6879" width="0" style="1" hidden="1" customWidth="1"/>
    <col min="6880" max="6880" width="14.875" style="1" customWidth="1"/>
    <col min="6881" max="6882" width="0" style="1" hidden="1" customWidth="1"/>
    <col min="6883" max="6884" width="14.875" style="1" customWidth="1"/>
    <col min="6885" max="6885" width="44.375" style="1" customWidth="1"/>
    <col min="6886" max="6890" width="14.875" style="1" customWidth="1"/>
    <col min="6891" max="6891" width="63.875" style="1" customWidth="1"/>
    <col min="6892" max="6892" width="13.25" style="1" customWidth="1"/>
    <col min="6893" max="7078" width="9" style="1"/>
    <col min="7079" max="7080" width="0" style="1" hidden="1" customWidth="1"/>
    <col min="7081" max="7081" width="13.75" style="1" customWidth="1"/>
    <col min="7082" max="7082" width="52.875" style="1" customWidth="1"/>
    <col min="7083" max="7122" width="0" style="1" hidden="1" customWidth="1"/>
    <col min="7123" max="7124" width="14.875" style="1" customWidth="1"/>
    <col min="7125" max="7126" width="0" style="1" hidden="1" customWidth="1"/>
    <col min="7127" max="7127" width="14.875" style="1" customWidth="1"/>
    <col min="7128" max="7129" width="0" style="1" hidden="1" customWidth="1"/>
    <col min="7130" max="7130" width="14.875" style="1" customWidth="1"/>
    <col min="7131" max="7132" width="0" style="1" hidden="1" customWidth="1"/>
    <col min="7133" max="7133" width="14.875" style="1" customWidth="1"/>
    <col min="7134" max="7135" width="0" style="1" hidden="1" customWidth="1"/>
    <col min="7136" max="7136" width="14.875" style="1" customWidth="1"/>
    <col min="7137" max="7138" width="0" style="1" hidden="1" customWidth="1"/>
    <col min="7139" max="7140" width="14.875" style="1" customWidth="1"/>
    <col min="7141" max="7141" width="44.375" style="1" customWidth="1"/>
    <col min="7142" max="7146" width="14.875" style="1" customWidth="1"/>
    <col min="7147" max="7147" width="63.875" style="1" customWidth="1"/>
    <col min="7148" max="7148" width="13.25" style="1" customWidth="1"/>
    <col min="7149" max="7334" width="9" style="1"/>
    <col min="7335" max="7336" width="0" style="1" hidden="1" customWidth="1"/>
    <col min="7337" max="7337" width="13.75" style="1" customWidth="1"/>
    <col min="7338" max="7338" width="52.875" style="1" customWidth="1"/>
    <col min="7339" max="7378" width="0" style="1" hidden="1" customWidth="1"/>
    <col min="7379" max="7380" width="14.875" style="1" customWidth="1"/>
    <col min="7381" max="7382" width="0" style="1" hidden="1" customWidth="1"/>
    <col min="7383" max="7383" width="14.875" style="1" customWidth="1"/>
    <col min="7384" max="7385" width="0" style="1" hidden="1" customWidth="1"/>
    <col min="7386" max="7386" width="14.875" style="1" customWidth="1"/>
    <col min="7387" max="7388" width="0" style="1" hidden="1" customWidth="1"/>
    <col min="7389" max="7389" width="14.875" style="1" customWidth="1"/>
    <col min="7390" max="7391" width="0" style="1" hidden="1" customWidth="1"/>
    <col min="7392" max="7392" width="14.875" style="1" customWidth="1"/>
    <col min="7393" max="7394" width="0" style="1" hidden="1" customWidth="1"/>
    <col min="7395" max="7396" width="14.875" style="1" customWidth="1"/>
    <col min="7397" max="7397" width="44.375" style="1" customWidth="1"/>
    <col min="7398" max="7402" width="14.875" style="1" customWidth="1"/>
    <col min="7403" max="7403" width="63.875" style="1" customWidth="1"/>
    <col min="7404" max="7404" width="13.25" style="1" customWidth="1"/>
    <col min="7405" max="7590" width="9" style="1"/>
    <col min="7591" max="7592" width="0" style="1" hidden="1" customWidth="1"/>
    <col min="7593" max="7593" width="13.75" style="1" customWidth="1"/>
    <col min="7594" max="7594" width="52.875" style="1" customWidth="1"/>
    <col min="7595" max="7634" width="0" style="1" hidden="1" customWidth="1"/>
    <col min="7635" max="7636" width="14.875" style="1" customWidth="1"/>
    <col min="7637" max="7638" width="0" style="1" hidden="1" customWidth="1"/>
    <col min="7639" max="7639" width="14.875" style="1" customWidth="1"/>
    <col min="7640" max="7641" width="0" style="1" hidden="1" customWidth="1"/>
    <col min="7642" max="7642" width="14.875" style="1" customWidth="1"/>
    <col min="7643" max="7644" width="0" style="1" hidden="1" customWidth="1"/>
    <col min="7645" max="7645" width="14.875" style="1" customWidth="1"/>
    <col min="7646" max="7647" width="0" style="1" hidden="1" customWidth="1"/>
    <col min="7648" max="7648" width="14.875" style="1" customWidth="1"/>
    <col min="7649" max="7650" width="0" style="1" hidden="1" customWidth="1"/>
    <col min="7651" max="7652" width="14.875" style="1" customWidth="1"/>
    <col min="7653" max="7653" width="44.375" style="1" customWidth="1"/>
    <col min="7654" max="7658" width="14.875" style="1" customWidth="1"/>
    <col min="7659" max="7659" width="63.875" style="1" customWidth="1"/>
    <col min="7660" max="7660" width="13.25" style="1" customWidth="1"/>
    <col min="7661" max="7846" width="9" style="1"/>
    <col min="7847" max="7848" width="0" style="1" hidden="1" customWidth="1"/>
    <col min="7849" max="7849" width="13.75" style="1" customWidth="1"/>
    <col min="7850" max="7850" width="52.875" style="1" customWidth="1"/>
    <col min="7851" max="7890" width="0" style="1" hidden="1" customWidth="1"/>
    <col min="7891" max="7892" width="14.875" style="1" customWidth="1"/>
    <col min="7893" max="7894" width="0" style="1" hidden="1" customWidth="1"/>
    <col min="7895" max="7895" width="14.875" style="1" customWidth="1"/>
    <col min="7896" max="7897" width="0" style="1" hidden="1" customWidth="1"/>
    <col min="7898" max="7898" width="14.875" style="1" customWidth="1"/>
    <col min="7899" max="7900" width="0" style="1" hidden="1" customWidth="1"/>
    <col min="7901" max="7901" width="14.875" style="1" customWidth="1"/>
    <col min="7902" max="7903" width="0" style="1" hidden="1" customWidth="1"/>
    <col min="7904" max="7904" width="14.875" style="1" customWidth="1"/>
    <col min="7905" max="7906" width="0" style="1" hidden="1" customWidth="1"/>
    <col min="7907" max="7908" width="14.875" style="1" customWidth="1"/>
    <col min="7909" max="7909" width="44.375" style="1" customWidth="1"/>
    <col min="7910" max="7914" width="14.875" style="1" customWidth="1"/>
    <col min="7915" max="7915" width="63.875" style="1" customWidth="1"/>
    <col min="7916" max="7916" width="13.25" style="1" customWidth="1"/>
    <col min="7917" max="8102" width="9" style="1"/>
    <col min="8103" max="8104" width="0" style="1" hidden="1" customWidth="1"/>
    <col min="8105" max="8105" width="13.75" style="1" customWidth="1"/>
    <col min="8106" max="8106" width="52.875" style="1" customWidth="1"/>
    <col min="8107" max="8146" width="0" style="1" hidden="1" customWidth="1"/>
    <col min="8147" max="8148" width="14.875" style="1" customWidth="1"/>
    <col min="8149" max="8150" width="0" style="1" hidden="1" customWidth="1"/>
    <col min="8151" max="8151" width="14.875" style="1" customWidth="1"/>
    <col min="8152" max="8153" width="0" style="1" hidden="1" customWidth="1"/>
    <col min="8154" max="8154" width="14.875" style="1" customWidth="1"/>
    <col min="8155" max="8156" width="0" style="1" hidden="1" customWidth="1"/>
    <col min="8157" max="8157" width="14.875" style="1" customWidth="1"/>
    <col min="8158" max="8159" width="0" style="1" hidden="1" customWidth="1"/>
    <col min="8160" max="8160" width="14.875" style="1" customWidth="1"/>
    <col min="8161" max="8162" width="0" style="1" hidden="1" customWidth="1"/>
    <col min="8163" max="8164" width="14.875" style="1" customWidth="1"/>
    <col min="8165" max="8165" width="44.375" style="1" customWidth="1"/>
    <col min="8166" max="8170" width="14.875" style="1" customWidth="1"/>
    <col min="8171" max="8171" width="63.875" style="1" customWidth="1"/>
    <col min="8172" max="8172" width="13.25" style="1" customWidth="1"/>
    <col min="8173" max="8358" width="9" style="1"/>
    <col min="8359" max="8360" width="0" style="1" hidden="1" customWidth="1"/>
    <col min="8361" max="8361" width="13.75" style="1" customWidth="1"/>
    <col min="8362" max="8362" width="52.875" style="1" customWidth="1"/>
    <col min="8363" max="8402" width="0" style="1" hidden="1" customWidth="1"/>
    <col min="8403" max="8404" width="14.875" style="1" customWidth="1"/>
    <col min="8405" max="8406" width="0" style="1" hidden="1" customWidth="1"/>
    <col min="8407" max="8407" width="14.875" style="1" customWidth="1"/>
    <col min="8408" max="8409" width="0" style="1" hidden="1" customWidth="1"/>
    <col min="8410" max="8410" width="14.875" style="1" customWidth="1"/>
    <col min="8411" max="8412" width="0" style="1" hidden="1" customWidth="1"/>
    <col min="8413" max="8413" width="14.875" style="1" customWidth="1"/>
    <col min="8414" max="8415" width="0" style="1" hidden="1" customWidth="1"/>
    <col min="8416" max="8416" width="14.875" style="1" customWidth="1"/>
    <col min="8417" max="8418" width="0" style="1" hidden="1" customWidth="1"/>
    <col min="8419" max="8420" width="14.875" style="1" customWidth="1"/>
    <col min="8421" max="8421" width="44.375" style="1" customWidth="1"/>
    <col min="8422" max="8426" width="14.875" style="1" customWidth="1"/>
    <col min="8427" max="8427" width="63.875" style="1" customWidth="1"/>
    <col min="8428" max="8428" width="13.25" style="1" customWidth="1"/>
    <col min="8429" max="8614" width="9" style="1"/>
    <col min="8615" max="8616" width="0" style="1" hidden="1" customWidth="1"/>
    <col min="8617" max="8617" width="13.75" style="1" customWidth="1"/>
    <col min="8618" max="8618" width="52.875" style="1" customWidth="1"/>
    <col min="8619" max="8658" width="0" style="1" hidden="1" customWidth="1"/>
    <col min="8659" max="8660" width="14.875" style="1" customWidth="1"/>
    <col min="8661" max="8662" width="0" style="1" hidden="1" customWidth="1"/>
    <col min="8663" max="8663" width="14.875" style="1" customWidth="1"/>
    <col min="8664" max="8665" width="0" style="1" hidden="1" customWidth="1"/>
    <col min="8666" max="8666" width="14.875" style="1" customWidth="1"/>
    <col min="8667" max="8668" width="0" style="1" hidden="1" customWidth="1"/>
    <col min="8669" max="8669" width="14.875" style="1" customWidth="1"/>
    <col min="8670" max="8671" width="0" style="1" hidden="1" customWidth="1"/>
    <col min="8672" max="8672" width="14.875" style="1" customWidth="1"/>
    <col min="8673" max="8674" width="0" style="1" hidden="1" customWidth="1"/>
    <col min="8675" max="8676" width="14.875" style="1" customWidth="1"/>
    <col min="8677" max="8677" width="44.375" style="1" customWidth="1"/>
    <col min="8678" max="8682" width="14.875" style="1" customWidth="1"/>
    <col min="8683" max="8683" width="63.875" style="1" customWidth="1"/>
    <col min="8684" max="8684" width="13.25" style="1" customWidth="1"/>
    <col min="8685" max="8870" width="9" style="1"/>
    <col min="8871" max="8872" width="0" style="1" hidden="1" customWidth="1"/>
    <col min="8873" max="8873" width="13.75" style="1" customWidth="1"/>
    <col min="8874" max="8874" width="52.875" style="1" customWidth="1"/>
    <col min="8875" max="8914" width="0" style="1" hidden="1" customWidth="1"/>
    <col min="8915" max="8916" width="14.875" style="1" customWidth="1"/>
    <col min="8917" max="8918" width="0" style="1" hidden="1" customWidth="1"/>
    <col min="8919" max="8919" width="14.875" style="1" customWidth="1"/>
    <col min="8920" max="8921" width="0" style="1" hidden="1" customWidth="1"/>
    <col min="8922" max="8922" width="14.875" style="1" customWidth="1"/>
    <col min="8923" max="8924" width="0" style="1" hidden="1" customWidth="1"/>
    <col min="8925" max="8925" width="14.875" style="1" customWidth="1"/>
    <col min="8926" max="8927" width="0" style="1" hidden="1" customWidth="1"/>
    <col min="8928" max="8928" width="14.875" style="1" customWidth="1"/>
    <col min="8929" max="8930" width="0" style="1" hidden="1" customWidth="1"/>
    <col min="8931" max="8932" width="14.875" style="1" customWidth="1"/>
    <col min="8933" max="8933" width="44.375" style="1" customWidth="1"/>
    <col min="8934" max="8938" width="14.875" style="1" customWidth="1"/>
    <col min="8939" max="8939" width="63.875" style="1" customWidth="1"/>
    <col min="8940" max="8940" width="13.25" style="1" customWidth="1"/>
    <col min="8941" max="9126" width="9" style="1"/>
    <col min="9127" max="9128" width="0" style="1" hidden="1" customWidth="1"/>
    <col min="9129" max="9129" width="13.75" style="1" customWidth="1"/>
    <col min="9130" max="9130" width="52.875" style="1" customWidth="1"/>
    <col min="9131" max="9170" width="0" style="1" hidden="1" customWidth="1"/>
    <col min="9171" max="9172" width="14.875" style="1" customWidth="1"/>
    <col min="9173" max="9174" width="0" style="1" hidden="1" customWidth="1"/>
    <col min="9175" max="9175" width="14.875" style="1" customWidth="1"/>
    <col min="9176" max="9177" width="0" style="1" hidden="1" customWidth="1"/>
    <col min="9178" max="9178" width="14.875" style="1" customWidth="1"/>
    <col min="9179" max="9180" width="0" style="1" hidden="1" customWidth="1"/>
    <col min="9181" max="9181" width="14.875" style="1" customWidth="1"/>
    <col min="9182" max="9183" width="0" style="1" hidden="1" customWidth="1"/>
    <col min="9184" max="9184" width="14.875" style="1" customWidth="1"/>
    <col min="9185" max="9186" width="0" style="1" hidden="1" customWidth="1"/>
    <col min="9187" max="9188" width="14.875" style="1" customWidth="1"/>
    <col min="9189" max="9189" width="44.375" style="1" customWidth="1"/>
    <col min="9190" max="9194" width="14.875" style="1" customWidth="1"/>
    <col min="9195" max="9195" width="63.875" style="1" customWidth="1"/>
    <col min="9196" max="9196" width="13.25" style="1" customWidth="1"/>
    <col min="9197" max="9382" width="9" style="1"/>
    <col min="9383" max="9384" width="0" style="1" hidden="1" customWidth="1"/>
    <col min="9385" max="9385" width="13.75" style="1" customWidth="1"/>
    <col min="9386" max="9386" width="52.875" style="1" customWidth="1"/>
    <col min="9387" max="9426" width="0" style="1" hidden="1" customWidth="1"/>
    <col min="9427" max="9428" width="14.875" style="1" customWidth="1"/>
    <col min="9429" max="9430" width="0" style="1" hidden="1" customWidth="1"/>
    <col min="9431" max="9431" width="14.875" style="1" customWidth="1"/>
    <col min="9432" max="9433" width="0" style="1" hidden="1" customWidth="1"/>
    <col min="9434" max="9434" width="14.875" style="1" customWidth="1"/>
    <col min="9435" max="9436" width="0" style="1" hidden="1" customWidth="1"/>
    <col min="9437" max="9437" width="14.875" style="1" customWidth="1"/>
    <col min="9438" max="9439" width="0" style="1" hidden="1" customWidth="1"/>
    <col min="9440" max="9440" width="14.875" style="1" customWidth="1"/>
    <col min="9441" max="9442" width="0" style="1" hidden="1" customWidth="1"/>
    <col min="9443" max="9444" width="14.875" style="1" customWidth="1"/>
    <col min="9445" max="9445" width="44.375" style="1" customWidth="1"/>
    <col min="9446" max="9450" width="14.875" style="1" customWidth="1"/>
    <col min="9451" max="9451" width="63.875" style="1" customWidth="1"/>
    <col min="9452" max="9452" width="13.25" style="1" customWidth="1"/>
    <col min="9453" max="9638" width="9" style="1"/>
    <col min="9639" max="9640" width="0" style="1" hidden="1" customWidth="1"/>
    <col min="9641" max="9641" width="13.75" style="1" customWidth="1"/>
    <col min="9642" max="9642" width="52.875" style="1" customWidth="1"/>
    <col min="9643" max="9682" width="0" style="1" hidden="1" customWidth="1"/>
    <col min="9683" max="9684" width="14.875" style="1" customWidth="1"/>
    <col min="9685" max="9686" width="0" style="1" hidden="1" customWidth="1"/>
    <col min="9687" max="9687" width="14.875" style="1" customWidth="1"/>
    <col min="9688" max="9689" width="0" style="1" hidden="1" customWidth="1"/>
    <col min="9690" max="9690" width="14.875" style="1" customWidth="1"/>
    <col min="9691" max="9692" width="0" style="1" hidden="1" customWidth="1"/>
    <col min="9693" max="9693" width="14.875" style="1" customWidth="1"/>
    <col min="9694" max="9695" width="0" style="1" hidden="1" customWidth="1"/>
    <col min="9696" max="9696" width="14.875" style="1" customWidth="1"/>
    <col min="9697" max="9698" width="0" style="1" hidden="1" customWidth="1"/>
    <col min="9699" max="9700" width="14.875" style="1" customWidth="1"/>
    <col min="9701" max="9701" width="44.375" style="1" customWidth="1"/>
    <col min="9702" max="9706" width="14.875" style="1" customWidth="1"/>
    <col min="9707" max="9707" width="63.875" style="1" customWidth="1"/>
    <col min="9708" max="9708" width="13.25" style="1" customWidth="1"/>
    <col min="9709" max="9894" width="9" style="1"/>
    <col min="9895" max="9896" width="0" style="1" hidden="1" customWidth="1"/>
    <col min="9897" max="9897" width="13.75" style="1" customWidth="1"/>
    <col min="9898" max="9898" width="52.875" style="1" customWidth="1"/>
    <col min="9899" max="9938" width="0" style="1" hidden="1" customWidth="1"/>
    <col min="9939" max="9940" width="14.875" style="1" customWidth="1"/>
    <col min="9941" max="9942" width="0" style="1" hidden="1" customWidth="1"/>
    <col min="9943" max="9943" width="14.875" style="1" customWidth="1"/>
    <col min="9944" max="9945" width="0" style="1" hidden="1" customWidth="1"/>
    <col min="9946" max="9946" width="14.875" style="1" customWidth="1"/>
    <col min="9947" max="9948" width="0" style="1" hidden="1" customWidth="1"/>
    <col min="9949" max="9949" width="14.875" style="1" customWidth="1"/>
    <col min="9950" max="9951" width="0" style="1" hidden="1" customWidth="1"/>
    <col min="9952" max="9952" width="14.875" style="1" customWidth="1"/>
    <col min="9953" max="9954" width="0" style="1" hidden="1" customWidth="1"/>
    <col min="9955" max="9956" width="14.875" style="1" customWidth="1"/>
    <col min="9957" max="9957" width="44.375" style="1" customWidth="1"/>
    <col min="9958" max="9962" width="14.875" style="1" customWidth="1"/>
    <col min="9963" max="9963" width="63.875" style="1" customWidth="1"/>
    <col min="9964" max="9964" width="13.25" style="1" customWidth="1"/>
    <col min="9965" max="10150" width="9" style="1"/>
    <col min="10151" max="10152" width="0" style="1" hidden="1" customWidth="1"/>
    <col min="10153" max="10153" width="13.75" style="1" customWidth="1"/>
    <col min="10154" max="10154" width="52.875" style="1" customWidth="1"/>
    <col min="10155" max="10194" width="0" style="1" hidden="1" customWidth="1"/>
    <col min="10195" max="10196" width="14.875" style="1" customWidth="1"/>
    <col min="10197" max="10198" width="0" style="1" hidden="1" customWidth="1"/>
    <col min="10199" max="10199" width="14.875" style="1" customWidth="1"/>
    <col min="10200" max="10201" width="0" style="1" hidden="1" customWidth="1"/>
    <col min="10202" max="10202" width="14.875" style="1" customWidth="1"/>
    <col min="10203" max="10204" width="0" style="1" hidden="1" customWidth="1"/>
    <col min="10205" max="10205" width="14.875" style="1" customWidth="1"/>
    <col min="10206" max="10207" width="0" style="1" hidden="1" customWidth="1"/>
    <col min="10208" max="10208" width="14.875" style="1" customWidth="1"/>
    <col min="10209" max="10210" width="0" style="1" hidden="1" customWidth="1"/>
    <col min="10211" max="10212" width="14.875" style="1" customWidth="1"/>
    <col min="10213" max="10213" width="44.375" style="1" customWidth="1"/>
    <col min="10214" max="10218" width="14.875" style="1" customWidth="1"/>
    <col min="10219" max="10219" width="63.875" style="1" customWidth="1"/>
    <col min="10220" max="10220" width="13.25" style="1" customWidth="1"/>
    <col min="10221" max="10406" width="9" style="1"/>
    <col min="10407" max="10408" width="0" style="1" hidden="1" customWidth="1"/>
    <col min="10409" max="10409" width="13.75" style="1" customWidth="1"/>
    <col min="10410" max="10410" width="52.875" style="1" customWidth="1"/>
    <col min="10411" max="10450" width="0" style="1" hidden="1" customWidth="1"/>
    <col min="10451" max="10452" width="14.875" style="1" customWidth="1"/>
    <col min="10453" max="10454" width="0" style="1" hidden="1" customWidth="1"/>
    <col min="10455" max="10455" width="14.875" style="1" customWidth="1"/>
    <col min="10456" max="10457" width="0" style="1" hidden="1" customWidth="1"/>
    <col min="10458" max="10458" width="14.875" style="1" customWidth="1"/>
    <col min="10459" max="10460" width="0" style="1" hidden="1" customWidth="1"/>
    <col min="10461" max="10461" width="14.875" style="1" customWidth="1"/>
    <col min="10462" max="10463" width="0" style="1" hidden="1" customWidth="1"/>
    <col min="10464" max="10464" width="14.875" style="1" customWidth="1"/>
    <col min="10465" max="10466" width="0" style="1" hidden="1" customWidth="1"/>
    <col min="10467" max="10468" width="14.875" style="1" customWidth="1"/>
    <col min="10469" max="10469" width="44.375" style="1" customWidth="1"/>
    <col min="10470" max="10474" width="14.875" style="1" customWidth="1"/>
    <col min="10475" max="10475" width="63.875" style="1" customWidth="1"/>
    <col min="10476" max="10476" width="13.25" style="1" customWidth="1"/>
    <col min="10477" max="10662" width="9" style="1"/>
    <col min="10663" max="10664" width="0" style="1" hidden="1" customWidth="1"/>
    <col min="10665" max="10665" width="13.75" style="1" customWidth="1"/>
    <col min="10666" max="10666" width="52.875" style="1" customWidth="1"/>
    <col min="10667" max="10706" width="0" style="1" hidden="1" customWidth="1"/>
    <col min="10707" max="10708" width="14.875" style="1" customWidth="1"/>
    <col min="10709" max="10710" width="0" style="1" hidden="1" customWidth="1"/>
    <col min="10711" max="10711" width="14.875" style="1" customWidth="1"/>
    <col min="10712" max="10713" width="0" style="1" hidden="1" customWidth="1"/>
    <col min="10714" max="10714" width="14.875" style="1" customWidth="1"/>
    <col min="10715" max="10716" width="0" style="1" hidden="1" customWidth="1"/>
    <col min="10717" max="10717" width="14.875" style="1" customWidth="1"/>
    <col min="10718" max="10719" width="0" style="1" hidden="1" customWidth="1"/>
    <col min="10720" max="10720" width="14.875" style="1" customWidth="1"/>
    <col min="10721" max="10722" width="0" style="1" hidden="1" customWidth="1"/>
    <col min="10723" max="10724" width="14.875" style="1" customWidth="1"/>
    <col min="10725" max="10725" width="44.375" style="1" customWidth="1"/>
    <col min="10726" max="10730" width="14.875" style="1" customWidth="1"/>
    <col min="10731" max="10731" width="63.875" style="1" customWidth="1"/>
    <col min="10732" max="10732" width="13.25" style="1" customWidth="1"/>
    <col min="10733" max="10918" width="9" style="1"/>
    <col min="10919" max="10920" width="0" style="1" hidden="1" customWidth="1"/>
    <col min="10921" max="10921" width="13.75" style="1" customWidth="1"/>
    <col min="10922" max="10922" width="52.875" style="1" customWidth="1"/>
    <col min="10923" max="10962" width="0" style="1" hidden="1" customWidth="1"/>
    <col min="10963" max="10964" width="14.875" style="1" customWidth="1"/>
    <col min="10965" max="10966" width="0" style="1" hidden="1" customWidth="1"/>
    <col min="10967" max="10967" width="14.875" style="1" customWidth="1"/>
    <col min="10968" max="10969" width="0" style="1" hidden="1" customWidth="1"/>
    <col min="10970" max="10970" width="14.875" style="1" customWidth="1"/>
    <col min="10971" max="10972" width="0" style="1" hidden="1" customWidth="1"/>
    <col min="10973" max="10973" width="14.875" style="1" customWidth="1"/>
    <col min="10974" max="10975" width="0" style="1" hidden="1" customWidth="1"/>
    <col min="10976" max="10976" width="14.875" style="1" customWidth="1"/>
    <col min="10977" max="10978" width="0" style="1" hidden="1" customWidth="1"/>
    <col min="10979" max="10980" width="14.875" style="1" customWidth="1"/>
    <col min="10981" max="10981" width="44.375" style="1" customWidth="1"/>
    <col min="10982" max="10986" width="14.875" style="1" customWidth="1"/>
    <col min="10987" max="10987" width="63.875" style="1" customWidth="1"/>
    <col min="10988" max="10988" width="13.25" style="1" customWidth="1"/>
    <col min="10989" max="11174" width="9" style="1"/>
    <col min="11175" max="11176" width="0" style="1" hidden="1" customWidth="1"/>
    <col min="11177" max="11177" width="13.75" style="1" customWidth="1"/>
    <col min="11178" max="11178" width="52.875" style="1" customWidth="1"/>
    <col min="11179" max="11218" width="0" style="1" hidden="1" customWidth="1"/>
    <col min="11219" max="11220" width="14.875" style="1" customWidth="1"/>
    <col min="11221" max="11222" width="0" style="1" hidden="1" customWidth="1"/>
    <col min="11223" max="11223" width="14.875" style="1" customWidth="1"/>
    <col min="11224" max="11225" width="0" style="1" hidden="1" customWidth="1"/>
    <col min="11226" max="11226" width="14.875" style="1" customWidth="1"/>
    <col min="11227" max="11228" width="0" style="1" hidden="1" customWidth="1"/>
    <col min="11229" max="11229" width="14.875" style="1" customWidth="1"/>
    <col min="11230" max="11231" width="0" style="1" hidden="1" customWidth="1"/>
    <col min="11232" max="11232" width="14.875" style="1" customWidth="1"/>
    <col min="11233" max="11234" width="0" style="1" hidden="1" customWidth="1"/>
    <col min="11235" max="11236" width="14.875" style="1" customWidth="1"/>
    <col min="11237" max="11237" width="44.375" style="1" customWidth="1"/>
    <col min="11238" max="11242" width="14.875" style="1" customWidth="1"/>
    <col min="11243" max="11243" width="63.875" style="1" customWidth="1"/>
    <col min="11244" max="11244" width="13.25" style="1" customWidth="1"/>
    <col min="11245" max="11430" width="9" style="1"/>
    <col min="11431" max="11432" width="0" style="1" hidden="1" customWidth="1"/>
    <col min="11433" max="11433" width="13.75" style="1" customWidth="1"/>
    <col min="11434" max="11434" width="52.875" style="1" customWidth="1"/>
    <col min="11435" max="11474" width="0" style="1" hidden="1" customWidth="1"/>
    <col min="11475" max="11476" width="14.875" style="1" customWidth="1"/>
    <col min="11477" max="11478" width="0" style="1" hidden="1" customWidth="1"/>
    <col min="11479" max="11479" width="14.875" style="1" customWidth="1"/>
    <col min="11480" max="11481" width="0" style="1" hidden="1" customWidth="1"/>
    <col min="11482" max="11482" width="14.875" style="1" customWidth="1"/>
    <col min="11483" max="11484" width="0" style="1" hidden="1" customWidth="1"/>
    <col min="11485" max="11485" width="14.875" style="1" customWidth="1"/>
    <col min="11486" max="11487" width="0" style="1" hidden="1" customWidth="1"/>
    <col min="11488" max="11488" width="14.875" style="1" customWidth="1"/>
    <col min="11489" max="11490" width="0" style="1" hidden="1" customWidth="1"/>
    <col min="11491" max="11492" width="14.875" style="1" customWidth="1"/>
    <col min="11493" max="11493" width="44.375" style="1" customWidth="1"/>
    <col min="11494" max="11498" width="14.875" style="1" customWidth="1"/>
    <col min="11499" max="11499" width="63.875" style="1" customWidth="1"/>
    <col min="11500" max="11500" width="13.25" style="1" customWidth="1"/>
    <col min="11501" max="11686" width="9" style="1"/>
    <col min="11687" max="11688" width="0" style="1" hidden="1" customWidth="1"/>
    <col min="11689" max="11689" width="13.75" style="1" customWidth="1"/>
    <col min="11690" max="11690" width="52.875" style="1" customWidth="1"/>
    <col min="11691" max="11730" width="0" style="1" hidden="1" customWidth="1"/>
    <col min="11731" max="11732" width="14.875" style="1" customWidth="1"/>
    <col min="11733" max="11734" width="0" style="1" hidden="1" customWidth="1"/>
    <col min="11735" max="11735" width="14.875" style="1" customWidth="1"/>
    <col min="11736" max="11737" width="0" style="1" hidden="1" customWidth="1"/>
    <col min="11738" max="11738" width="14.875" style="1" customWidth="1"/>
    <col min="11739" max="11740" width="0" style="1" hidden="1" customWidth="1"/>
    <col min="11741" max="11741" width="14.875" style="1" customWidth="1"/>
    <col min="11742" max="11743" width="0" style="1" hidden="1" customWidth="1"/>
    <col min="11744" max="11744" width="14.875" style="1" customWidth="1"/>
    <col min="11745" max="11746" width="0" style="1" hidden="1" customWidth="1"/>
    <col min="11747" max="11748" width="14.875" style="1" customWidth="1"/>
    <col min="11749" max="11749" width="44.375" style="1" customWidth="1"/>
    <col min="11750" max="11754" width="14.875" style="1" customWidth="1"/>
    <col min="11755" max="11755" width="63.875" style="1" customWidth="1"/>
    <col min="11756" max="11756" width="13.25" style="1" customWidth="1"/>
    <col min="11757" max="11942" width="9" style="1"/>
    <col min="11943" max="11944" width="0" style="1" hidden="1" customWidth="1"/>
    <col min="11945" max="11945" width="13.75" style="1" customWidth="1"/>
    <col min="11946" max="11946" width="52.875" style="1" customWidth="1"/>
    <col min="11947" max="11986" width="0" style="1" hidden="1" customWidth="1"/>
    <col min="11987" max="11988" width="14.875" style="1" customWidth="1"/>
    <col min="11989" max="11990" width="0" style="1" hidden="1" customWidth="1"/>
    <col min="11991" max="11991" width="14.875" style="1" customWidth="1"/>
    <col min="11992" max="11993" width="0" style="1" hidden="1" customWidth="1"/>
    <col min="11994" max="11994" width="14.875" style="1" customWidth="1"/>
    <col min="11995" max="11996" width="0" style="1" hidden="1" customWidth="1"/>
    <col min="11997" max="11997" width="14.875" style="1" customWidth="1"/>
    <col min="11998" max="11999" width="0" style="1" hidden="1" customWidth="1"/>
    <col min="12000" max="12000" width="14.875" style="1" customWidth="1"/>
    <col min="12001" max="12002" width="0" style="1" hidden="1" customWidth="1"/>
    <col min="12003" max="12004" width="14.875" style="1" customWidth="1"/>
    <col min="12005" max="12005" width="44.375" style="1" customWidth="1"/>
    <col min="12006" max="12010" width="14.875" style="1" customWidth="1"/>
    <col min="12011" max="12011" width="63.875" style="1" customWidth="1"/>
    <col min="12012" max="12012" width="13.25" style="1" customWidth="1"/>
    <col min="12013" max="12198" width="9" style="1"/>
    <col min="12199" max="12200" width="0" style="1" hidden="1" customWidth="1"/>
    <col min="12201" max="12201" width="13.75" style="1" customWidth="1"/>
    <col min="12202" max="12202" width="52.875" style="1" customWidth="1"/>
    <col min="12203" max="12242" width="0" style="1" hidden="1" customWidth="1"/>
    <col min="12243" max="12244" width="14.875" style="1" customWidth="1"/>
    <col min="12245" max="12246" width="0" style="1" hidden="1" customWidth="1"/>
    <col min="12247" max="12247" width="14.875" style="1" customWidth="1"/>
    <col min="12248" max="12249" width="0" style="1" hidden="1" customWidth="1"/>
    <col min="12250" max="12250" width="14.875" style="1" customWidth="1"/>
    <col min="12251" max="12252" width="0" style="1" hidden="1" customWidth="1"/>
    <col min="12253" max="12253" width="14.875" style="1" customWidth="1"/>
    <col min="12254" max="12255" width="0" style="1" hidden="1" customWidth="1"/>
    <col min="12256" max="12256" width="14.875" style="1" customWidth="1"/>
    <col min="12257" max="12258" width="0" style="1" hidden="1" customWidth="1"/>
    <col min="12259" max="12260" width="14.875" style="1" customWidth="1"/>
    <col min="12261" max="12261" width="44.375" style="1" customWidth="1"/>
    <col min="12262" max="12266" width="14.875" style="1" customWidth="1"/>
    <col min="12267" max="12267" width="63.875" style="1" customWidth="1"/>
    <col min="12268" max="12268" width="13.25" style="1" customWidth="1"/>
    <col min="12269" max="12454" width="9" style="1"/>
    <col min="12455" max="12456" width="0" style="1" hidden="1" customWidth="1"/>
    <col min="12457" max="12457" width="13.75" style="1" customWidth="1"/>
    <col min="12458" max="12458" width="52.875" style="1" customWidth="1"/>
    <col min="12459" max="12498" width="0" style="1" hidden="1" customWidth="1"/>
    <col min="12499" max="12500" width="14.875" style="1" customWidth="1"/>
    <col min="12501" max="12502" width="0" style="1" hidden="1" customWidth="1"/>
    <col min="12503" max="12503" width="14.875" style="1" customWidth="1"/>
    <col min="12504" max="12505" width="0" style="1" hidden="1" customWidth="1"/>
    <col min="12506" max="12506" width="14.875" style="1" customWidth="1"/>
    <col min="12507" max="12508" width="0" style="1" hidden="1" customWidth="1"/>
    <col min="12509" max="12509" width="14.875" style="1" customWidth="1"/>
    <col min="12510" max="12511" width="0" style="1" hidden="1" customWidth="1"/>
    <col min="12512" max="12512" width="14.875" style="1" customWidth="1"/>
    <col min="12513" max="12514" width="0" style="1" hidden="1" customWidth="1"/>
    <col min="12515" max="12516" width="14.875" style="1" customWidth="1"/>
    <col min="12517" max="12517" width="44.375" style="1" customWidth="1"/>
    <col min="12518" max="12522" width="14.875" style="1" customWidth="1"/>
    <col min="12523" max="12523" width="63.875" style="1" customWidth="1"/>
    <col min="12524" max="12524" width="13.25" style="1" customWidth="1"/>
    <col min="12525" max="12710" width="9" style="1"/>
    <col min="12711" max="12712" width="0" style="1" hidden="1" customWidth="1"/>
    <col min="12713" max="12713" width="13.75" style="1" customWidth="1"/>
    <col min="12714" max="12714" width="52.875" style="1" customWidth="1"/>
    <col min="12715" max="12754" width="0" style="1" hidden="1" customWidth="1"/>
    <col min="12755" max="12756" width="14.875" style="1" customWidth="1"/>
    <col min="12757" max="12758" width="0" style="1" hidden="1" customWidth="1"/>
    <col min="12759" max="12759" width="14.875" style="1" customWidth="1"/>
    <col min="12760" max="12761" width="0" style="1" hidden="1" customWidth="1"/>
    <col min="12762" max="12762" width="14.875" style="1" customWidth="1"/>
    <col min="12763" max="12764" width="0" style="1" hidden="1" customWidth="1"/>
    <col min="12765" max="12765" width="14.875" style="1" customWidth="1"/>
    <col min="12766" max="12767" width="0" style="1" hidden="1" customWidth="1"/>
    <col min="12768" max="12768" width="14.875" style="1" customWidth="1"/>
    <col min="12769" max="12770" width="0" style="1" hidden="1" customWidth="1"/>
    <col min="12771" max="12772" width="14.875" style="1" customWidth="1"/>
    <col min="12773" max="12773" width="44.375" style="1" customWidth="1"/>
    <col min="12774" max="12778" width="14.875" style="1" customWidth="1"/>
    <col min="12779" max="12779" width="63.875" style="1" customWidth="1"/>
    <col min="12780" max="12780" width="13.25" style="1" customWidth="1"/>
    <col min="12781" max="12966" width="9" style="1"/>
    <col min="12967" max="12968" width="0" style="1" hidden="1" customWidth="1"/>
    <col min="12969" max="12969" width="13.75" style="1" customWidth="1"/>
    <col min="12970" max="12970" width="52.875" style="1" customWidth="1"/>
    <col min="12971" max="13010" width="0" style="1" hidden="1" customWidth="1"/>
    <col min="13011" max="13012" width="14.875" style="1" customWidth="1"/>
    <col min="13013" max="13014" width="0" style="1" hidden="1" customWidth="1"/>
    <col min="13015" max="13015" width="14.875" style="1" customWidth="1"/>
    <col min="13016" max="13017" width="0" style="1" hidden="1" customWidth="1"/>
    <col min="13018" max="13018" width="14.875" style="1" customWidth="1"/>
    <col min="13019" max="13020" width="0" style="1" hidden="1" customWidth="1"/>
    <col min="13021" max="13021" width="14.875" style="1" customWidth="1"/>
    <col min="13022" max="13023" width="0" style="1" hidden="1" customWidth="1"/>
    <col min="13024" max="13024" width="14.875" style="1" customWidth="1"/>
    <col min="13025" max="13026" width="0" style="1" hidden="1" customWidth="1"/>
    <col min="13027" max="13028" width="14.875" style="1" customWidth="1"/>
    <col min="13029" max="13029" width="44.375" style="1" customWidth="1"/>
    <col min="13030" max="13034" width="14.875" style="1" customWidth="1"/>
    <col min="13035" max="13035" width="63.875" style="1" customWidth="1"/>
    <col min="13036" max="13036" width="13.25" style="1" customWidth="1"/>
    <col min="13037" max="13222" width="9" style="1"/>
    <col min="13223" max="13224" width="0" style="1" hidden="1" customWidth="1"/>
    <col min="13225" max="13225" width="13.75" style="1" customWidth="1"/>
    <col min="13226" max="13226" width="52.875" style="1" customWidth="1"/>
    <col min="13227" max="13266" width="0" style="1" hidden="1" customWidth="1"/>
    <col min="13267" max="13268" width="14.875" style="1" customWidth="1"/>
    <col min="13269" max="13270" width="0" style="1" hidden="1" customWidth="1"/>
    <col min="13271" max="13271" width="14.875" style="1" customWidth="1"/>
    <col min="13272" max="13273" width="0" style="1" hidden="1" customWidth="1"/>
    <col min="13274" max="13274" width="14.875" style="1" customWidth="1"/>
    <col min="13275" max="13276" width="0" style="1" hidden="1" customWidth="1"/>
    <col min="13277" max="13277" width="14.875" style="1" customWidth="1"/>
    <col min="13278" max="13279" width="0" style="1" hidden="1" customWidth="1"/>
    <col min="13280" max="13280" width="14.875" style="1" customWidth="1"/>
    <col min="13281" max="13282" width="0" style="1" hidden="1" customWidth="1"/>
    <col min="13283" max="13284" width="14.875" style="1" customWidth="1"/>
    <col min="13285" max="13285" width="44.375" style="1" customWidth="1"/>
    <col min="13286" max="13290" width="14.875" style="1" customWidth="1"/>
    <col min="13291" max="13291" width="63.875" style="1" customWidth="1"/>
    <col min="13292" max="13292" width="13.25" style="1" customWidth="1"/>
    <col min="13293" max="13478" width="9" style="1"/>
    <col min="13479" max="13480" width="0" style="1" hidden="1" customWidth="1"/>
    <col min="13481" max="13481" width="13.75" style="1" customWidth="1"/>
    <col min="13482" max="13482" width="52.875" style="1" customWidth="1"/>
    <col min="13483" max="13522" width="0" style="1" hidden="1" customWidth="1"/>
    <col min="13523" max="13524" width="14.875" style="1" customWidth="1"/>
    <col min="13525" max="13526" width="0" style="1" hidden="1" customWidth="1"/>
    <col min="13527" max="13527" width="14.875" style="1" customWidth="1"/>
    <col min="13528" max="13529" width="0" style="1" hidden="1" customWidth="1"/>
    <col min="13530" max="13530" width="14.875" style="1" customWidth="1"/>
    <col min="13531" max="13532" width="0" style="1" hidden="1" customWidth="1"/>
    <col min="13533" max="13533" width="14.875" style="1" customWidth="1"/>
    <col min="13534" max="13535" width="0" style="1" hidden="1" customWidth="1"/>
    <col min="13536" max="13536" width="14.875" style="1" customWidth="1"/>
    <col min="13537" max="13538" width="0" style="1" hidden="1" customWidth="1"/>
    <col min="13539" max="13540" width="14.875" style="1" customWidth="1"/>
    <col min="13541" max="13541" width="44.375" style="1" customWidth="1"/>
    <col min="13542" max="13546" width="14.875" style="1" customWidth="1"/>
    <col min="13547" max="13547" width="63.875" style="1" customWidth="1"/>
    <col min="13548" max="13548" width="13.25" style="1" customWidth="1"/>
    <col min="13549" max="13734" width="9" style="1"/>
    <col min="13735" max="13736" width="0" style="1" hidden="1" customWidth="1"/>
    <col min="13737" max="13737" width="13.75" style="1" customWidth="1"/>
    <col min="13738" max="13738" width="52.875" style="1" customWidth="1"/>
    <col min="13739" max="13778" width="0" style="1" hidden="1" customWidth="1"/>
    <col min="13779" max="13780" width="14.875" style="1" customWidth="1"/>
    <col min="13781" max="13782" width="0" style="1" hidden="1" customWidth="1"/>
    <col min="13783" max="13783" width="14.875" style="1" customWidth="1"/>
    <col min="13784" max="13785" width="0" style="1" hidden="1" customWidth="1"/>
    <col min="13786" max="13786" width="14.875" style="1" customWidth="1"/>
    <col min="13787" max="13788" width="0" style="1" hidden="1" customWidth="1"/>
    <col min="13789" max="13789" width="14.875" style="1" customWidth="1"/>
    <col min="13790" max="13791" width="0" style="1" hidden="1" customWidth="1"/>
    <col min="13792" max="13792" width="14.875" style="1" customWidth="1"/>
    <col min="13793" max="13794" width="0" style="1" hidden="1" customWidth="1"/>
    <col min="13795" max="13796" width="14.875" style="1" customWidth="1"/>
    <col min="13797" max="13797" width="44.375" style="1" customWidth="1"/>
    <col min="13798" max="13802" width="14.875" style="1" customWidth="1"/>
    <col min="13803" max="13803" width="63.875" style="1" customWidth="1"/>
    <col min="13804" max="13804" width="13.25" style="1" customWidth="1"/>
    <col min="13805" max="13990" width="9" style="1"/>
    <col min="13991" max="13992" width="0" style="1" hidden="1" customWidth="1"/>
    <col min="13993" max="13993" width="13.75" style="1" customWidth="1"/>
    <col min="13994" max="13994" width="52.875" style="1" customWidth="1"/>
    <col min="13995" max="14034" width="0" style="1" hidden="1" customWidth="1"/>
    <col min="14035" max="14036" width="14.875" style="1" customWidth="1"/>
    <col min="14037" max="14038" width="0" style="1" hidden="1" customWidth="1"/>
    <col min="14039" max="14039" width="14.875" style="1" customWidth="1"/>
    <col min="14040" max="14041" width="0" style="1" hidden="1" customWidth="1"/>
    <col min="14042" max="14042" width="14.875" style="1" customWidth="1"/>
    <col min="14043" max="14044" width="0" style="1" hidden="1" customWidth="1"/>
    <col min="14045" max="14045" width="14.875" style="1" customWidth="1"/>
    <col min="14046" max="14047" width="0" style="1" hidden="1" customWidth="1"/>
    <col min="14048" max="14048" width="14.875" style="1" customWidth="1"/>
    <col min="14049" max="14050" width="0" style="1" hidden="1" customWidth="1"/>
    <col min="14051" max="14052" width="14.875" style="1" customWidth="1"/>
    <col min="14053" max="14053" width="44.375" style="1" customWidth="1"/>
    <col min="14054" max="14058" width="14.875" style="1" customWidth="1"/>
    <col min="14059" max="14059" width="63.875" style="1" customWidth="1"/>
    <col min="14060" max="14060" width="13.25" style="1" customWidth="1"/>
    <col min="14061" max="14246" width="9" style="1"/>
    <col min="14247" max="14248" width="0" style="1" hidden="1" customWidth="1"/>
    <col min="14249" max="14249" width="13.75" style="1" customWidth="1"/>
    <col min="14250" max="14250" width="52.875" style="1" customWidth="1"/>
    <col min="14251" max="14290" width="0" style="1" hidden="1" customWidth="1"/>
    <col min="14291" max="14292" width="14.875" style="1" customWidth="1"/>
    <col min="14293" max="14294" width="0" style="1" hidden="1" customWidth="1"/>
    <col min="14295" max="14295" width="14.875" style="1" customWidth="1"/>
    <col min="14296" max="14297" width="0" style="1" hidden="1" customWidth="1"/>
    <col min="14298" max="14298" width="14.875" style="1" customWidth="1"/>
    <col min="14299" max="14300" width="0" style="1" hidden="1" customWidth="1"/>
    <col min="14301" max="14301" width="14.875" style="1" customWidth="1"/>
    <col min="14302" max="14303" width="0" style="1" hidden="1" customWidth="1"/>
    <col min="14304" max="14304" width="14.875" style="1" customWidth="1"/>
    <col min="14305" max="14306" width="0" style="1" hidden="1" customWidth="1"/>
    <col min="14307" max="14308" width="14.875" style="1" customWidth="1"/>
    <col min="14309" max="14309" width="44.375" style="1" customWidth="1"/>
    <col min="14310" max="14314" width="14.875" style="1" customWidth="1"/>
    <col min="14315" max="14315" width="63.875" style="1" customWidth="1"/>
    <col min="14316" max="14316" width="13.25" style="1" customWidth="1"/>
    <col min="14317" max="14502" width="9" style="1"/>
    <col min="14503" max="14504" width="0" style="1" hidden="1" customWidth="1"/>
    <col min="14505" max="14505" width="13.75" style="1" customWidth="1"/>
    <col min="14506" max="14506" width="52.875" style="1" customWidth="1"/>
    <col min="14507" max="14546" width="0" style="1" hidden="1" customWidth="1"/>
    <col min="14547" max="14548" width="14.875" style="1" customWidth="1"/>
    <col min="14549" max="14550" width="0" style="1" hidden="1" customWidth="1"/>
    <col min="14551" max="14551" width="14.875" style="1" customWidth="1"/>
    <col min="14552" max="14553" width="0" style="1" hidden="1" customWidth="1"/>
    <col min="14554" max="14554" width="14.875" style="1" customWidth="1"/>
    <col min="14555" max="14556" width="0" style="1" hidden="1" customWidth="1"/>
    <col min="14557" max="14557" width="14.875" style="1" customWidth="1"/>
    <col min="14558" max="14559" width="0" style="1" hidden="1" customWidth="1"/>
    <col min="14560" max="14560" width="14.875" style="1" customWidth="1"/>
    <col min="14561" max="14562" width="0" style="1" hidden="1" customWidth="1"/>
    <col min="14563" max="14564" width="14.875" style="1" customWidth="1"/>
    <col min="14565" max="14565" width="44.375" style="1" customWidth="1"/>
    <col min="14566" max="14570" width="14.875" style="1" customWidth="1"/>
    <col min="14571" max="14571" width="63.875" style="1" customWidth="1"/>
    <col min="14572" max="14572" width="13.25" style="1" customWidth="1"/>
    <col min="14573" max="14758" width="9" style="1"/>
    <col min="14759" max="14760" width="0" style="1" hidden="1" customWidth="1"/>
    <col min="14761" max="14761" width="13.75" style="1" customWidth="1"/>
    <col min="14762" max="14762" width="52.875" style="1" customWidth="1"/>
    <col min="14763" max="14802" width="0" style="1" hidden="1" customWidth="1"/>
    <col min="14803" max="14804" width="14.875" style="1" customWidth="1"/>
    <col min="14805" max="14806" width="0" style="1" hidden="1" customWidth="1"/>
    <col min="14807" max="14807" width="14.875" style="1" customWidth="1"/>
    <col min="14808" max="14809" width="0" style="1" hidden="1" customWidth="1"/>
    <col min="14810" max="14810" width="14.875" style="1" customWidth="1"/>
    <col min="14811" max="14812" width="0" style="1" hidden="1" customWidth="1"/>
    <col min="14813" max="14813" width="14.875" style="1" customWidth="1"/>
    <col min="14814" max="14815" width="0" style="1" hidden="1" customWidth="1"/>
    <col min="14816" max="14816" width="14.875" style="1" customWidth="1"/>
    <col min="14817" max="14818" width="0" style="1" hidden="1" customWidth="1"/>
    <col min="14819" max="14820" width="14.875" style="1" customWidth="1"/>
    <col min="14821" max="14821" width="44.375" style="1" customWidth="1"/>
    <col min="14822" max="14826" width="14.875" style="1" customWidth="1"/>
    <col min="14827" max="14827" width="63.875" style="1" customWidth="1"/>
    <col min="14828" max="14828" width="13.25" style="1" customWidth="1"/>
    <col min="14829" max="15014" width="9" style="1"/>
    <col min="15015" max="15016" width="0" style="1" hidden="1" customWidth="1"/>
    <col min="15017" max="15017" width="13.75" style="1" customWidth="1"/>
    <col min="15018" max="15018" width="52.875" style="1" customWidth="1"/>
    <col min="15019" max="15058" width="0" style="1" hidden="1" customWidth="1"/>
    <col min="15059" max="15060" width="14.875" style="1" customWidth="1"/>
    <col min="15061" max="15062" width="0" style="1" hidden="1" customWidth="1"/>
    <col min="15063" max="15063" width="14.875" style="1" customWidth="1"/>
    <col min="15064" max="15065" width="0" style="1" hidden="1" customWidth="1"/>
    <col min="15066" max="15066" width="14.875" style="1" customWidth="1"/>
    <col min="15067" max="15068" width="0" style="1" hidden="1" customWidth="1"/>
    <col min="15069" max="15069" width="14.875" style="1" customWidth="1"/>
    <col min="15070" max="15071" width="0" style="1" hidden="1" customWidth="1"/>
    <col min="15072" max="15072" width="14.875" style="1" customWidth="1"/>
    <col min="15073" max="15074" width="0" style="1" hidden="1" customWidth="1"/>
    <col min="15075" max="15076" width="14.875" style="1" customWidth="1"/>
    <col min="15077" max="15077" width="44.375" style="1" customWidth="1"/>
    <col min="15078" max="15082" width="14.875" style="1" customWidth="1"/>
    <col min="15083" max="15083" width="63.875" style="1" customWidth="1"/>
    <col min="15084" max="15084" width="13.25" style="1" customWidth="1"/>
    <col min="15085" max="15270" width="9" style="1"/>
    <col min="15271" max="15272" width="0" style="1" hidden="1" customWidth="1"/>
    <col min="15273" max="15273" width="13.75" style="1" customWidth="1"/>
    <col min="15274" max="15274" width="52.875" style="1" customWidth="1"/>
    <col min="15275" max="15314" width="0" style="1" hidden="1" customWidth="1"/>
    <col min="15315" max="15316" width="14.875" style="1" customWidth="1"/>
    <col min="15317" max="15318" width="0" style="1" hidden="1" customWidth="1"/>
    <col min="15319" max="15319" width="14.875" style="1" customWidth="1"/>
    <col min="15320" max="15321" width="0" style="1" hidden="1" customWidth="1"/>
    <col min="15322" max="15322" width="14.875" style="1" customWidth="1"/>
    <col min="15323" max="15324" width="0" style="1" hidden="1" customWidth="1"/>
    <col min="15325" max="15325" width="14.875" style="1" customWidth="1"/>
    <col min="15326" max="15327" width="0" style="1" hidden="1" customWidth="1"/>
    <col min="15328" max="15328" width="14.875" style="1" customWidth="1"/>
    <col min="15329" max="15330" width="0" style="1" hidden="1" customWidth="1"/>
    <col min="15331" max="15332" width="14.875" style="1" customWidth="1"/>
    <col min="15333" max="15333" width="44.375" style="1" customWidth="1"/>
    <col min="15334" max="15338" width="14.875" style="1" customWidth="1"/>
    <col min="15339" max="15339" width="63.875" style="1" customWidth="1"/>
    <col min="15340" max="15340" width="13.25" style="1" customWidth="1"/>
    <col min="15341" max="15526" width="9" style="1"/>
    <col min="15527" max="15528" width="0" style="1" hidden="1" customWidth="1"/>
    <col min="15529" max="15529" width="13.75" style="1" customWidth="1"/>
    <col min="15530" max="15530" width="52.875" style="1" customWidth="1"/>
    <col min="15531" max="15570" width="0" style="1" hidden="1" customWidth="1"/>
    <col min="15571" max="15572" width="14.875" style="1" customWidth="1"/>
    <col min="15573" max="15574" width="0" style="1" hidden="1" customWidth="1"/>
    <col min="15575" max="15575" width="14.875" style="1" customWidth="1"/>
    <col min="15576" max="15577" width="0" style="1" hidden="1" customWidth="1"/>
    <col min="15578" max="15578" width="14.875" style="1" customWidth="1"/>
    <col min="15579" max="15580" width="0" style="1" hidden="1" customWidth="1"/>
    <col min="15581" max="15581" width="14.875" style="1" customWidth="1"/>
    <col min="15582" max="15583" width="0" style="1" hidden="1" customWidth="1"/>
    <col min="15584" max="15584" width="14.875" style="1" customWidth="1"/>
    <col min="15585" max="15586" width="0" style="1" hidden="1" customWidth="1"/>
    <col min="15587" max="15588" width="14.875" style="1" customWidth="1"/>
    <col min="15589" max="15589" width="44.375" style="1" customWidth="1"/>
    <col min="15590" max="15594" width="14.875" style="1" customWidth="1"/>
    <col min="15595" max="15595" width="63.875" style="1" customWidth="1"/>
    <col min="15596" max="15596" width="13.25" style="1" customWidth="1"/>
    <col min="15597" max="15782" width="9" style="1"/>
    <col min="15783" max="15784" width="0" style="1" hidden="1" customWidth="1"/>
    <col min="15785" max="15785" width="13.75" style="1" customWidth="1"/>
    <col min="15786" max="15786" width="52.875" style="1" customWidth="1"/>
    <col min="15787" max="15826" width="0" style="1" hidden="1" customWidth="1"/>
    <col min="15827" max="15828" width="14.875" style="1" customWidth="1"/>
    <col min="15829" max="15830" width="0" style="1" hidden="1" customWidth="1"/>
    <col min="15831" max="15831" width="14.875" style="1" customWidth="1"/>
    <col min="15832" max="15833" width="0" style="1" hidden="1" customWidth="1"/>
    <col min="15834" max="15834" width="14.875" style="1" customWidth="1"/>
    <col min="15835" max="15836" width="0" style="1" hidden="1" customWidth="1"/>
    <col min="15837" max="15837" width="14.875" style="1" customWidth="1"/>
    <col min="15838" max="15839" width="0" style="1" hidden="1" customWidth="1"/>
    <col min="15840" max="15840" width="14.875" style="1" customWidth="1"/>
    <col min="15841" max="15842" width="0" style="1" hidden="1" customWidth="1"/>
    <col min="15843" max="15844" width="14.875" style="1" customWidth="1"/>
    <col min="15845" max="15845" width="44.375" style="1" customWidth="1"/>
    <col min="15846" max="15850" width="14.875" style="1" customWidth="1"/>
    <col min="15851" max="15851" width="63.875" style="1" customWidth="1"/>
    <col min="15852" max="15852" width="13.25" style="1" customWidth="1"/>
    <col min="15853" max="16038" width="9" style="1"/>
    <col min="16039" max="16040" width="0" style="1" hidden="1" customWidth="1"/>
    <col min="16041" max="16041" width="13.75" style="1" customWidth="1"/>
    <col min="16042" max="16042" width="52.875" style="1" customWidth="1"/>
    <col min="16043" max="16082" width="0" style="1" hidden="1" customWidth="1"/>
    <col min="16083" max="16084" width="14.875" style="1" customWidth="1"/>
    <col min="16085" max="16086" width="0" style="1" hidden="1" customWidth="1"/>
    <col min="16087" max="16087" width="14.875" style="1" customWidth="1"/>
    <col min="16088" max="16089" width="0" style="1" hidden="1" customWidth="1"/>
    <col min="16090" max="16090" width="14.875" style="1" customWidth="1"/>
    <col min="16091" max="16092" width="0" style="1" hidden="1" customWidth="1"/>
    <col min="16093" max="16093" width="14.875" style="1" customWidth="1"/>
    <col min="16094" max="16095" width="0" style="1" hidden="1" customWidth="1"/>
    <col min="16096" max="16096" width="14.875" style="1" customWidth="1"/>
    <col min="16097" max="16098" width="0" style="1" hidden="1" customWidth="1"/>
    <col min="16099" max="16100" width="14.875" style="1" customWidth="1"/>
    <col min="16101" max="16101" width="44.375" style="1" customWidth="1"/>
    <col min="16102" max="16106" width="14.875" style="1" customWidth="1"/>
    <col min="16107" max="16107" width="63.875" style="1" customWidth="1"/>
    <col min="16108" max="16108" width="13.25" style="1" customWidth="1"/>
    <col min="16109" max="16307" width="9" style="1"/>
    <col min="16308" max="16340" width="9.125" style="1" customWidth="1"/>
    <col min="16341" max="16348" width="9" style="1"/>
    <col min="16349" max="16384" width="9.125" style="1" customWidth="1"/>
  </cols>
  <sheetData>
    <row r="1" spans="1:8" ht="24.6" outlineLevel="1" x14ac:dyDescent="0.4">
      <c r="C1" s="2" t="s">
        <v>656</v>
      </c>
      <c r="D1" s="3"/>
      <c r="E1" s="6"/>
      <c r="F1" s="196"/>
      <c r="G1" s="4"/>
      <c r="H1" s="7"/>
    </row>
    <row r="2" spans="1:8" ht="24.6" outlineLevel="1" x14ac:dyDescent="0.4">
      <c r="C2" s="320" t="s">
        <v>1</v>
      </c>
      <c r="D2" s="320"/>
      <c r="G2" s="8"/>
      <c r="H2" s="10"/>
    </row>
    <row r="3" spans="1:8" ht="20.399999999999999" outlineLevel="1" x14ac:dyDescent="0.35">
      <c r="C3" s="318" t="s">
        <v>2</v>
      </c>
      <c r="D3" s="318"/>
      <c r="E3" s="12"/>
      <c r="F3" s="15"/>
      <c r="G3" s="11"/>
    </row>
    <row r="4" spans="1:8" ht="14.4" outlineLevel="1" thickBot="1" x14ac:dyDescent="0.3">
      <c r="C4" s="14"/>
      <c r="E4" s="12"/>
      <c r="F4" s="15"/>
      <c r="G4" s="13"/>
    </row>
    <row r="5" spans="1:8" ht="55.2" customHeight="1" thickBot="1" x14ac:dyDescent="0.3">
      <c r="C5" s="17" t="s">
        <v>3</v>
      </c>
      <c r="D5" s="18" t="s">
        <v>4</v>
      </c>
      <c r="E5" s="20" t="s">
        <v>6</v>
      </c>
      <c r="F5" s="20" t="s">
        <v>7</v>
      </c>
      <c r="G5" s="19" t="s">
        <v>8</v>
      </c>
      <c r="H5" s="21" t="s">
        <v>9</v>
      </c>
    </row>
    <row r="6" spans="1:8" x14ac:dyDescent="0.25">
      <c r="C6" s="22" t="s">
        <v>10</v>
      </c>
      <c r="D6" s="23" t="s">
        <v>11</v>
      </c>
      <c r="E6" s="24">
        <v>38074624</v>
      </c>
      <c r="F6" s="24">
        <f t="shared" ref="F6" si="0">ROUND((F7+F10+F13+F16+F19),0)</f>
        <v>38074624</v>
      </c>
      <c r="G6" s="25">
        <f>F6-E6</f>
        <v>0</v>
      </c>
      <c r="H6" s="26"/>
    </row>
    <row r="7" spans="1:8" x14ac:dyDescent="0.25">
      <c r="B7" s="1" t="s">
        <v>12</v>
      </c>
      <c r="C7" s="27" t="s">
        <v>13</v>
      </c>
      <c r="D7" s="28" t="s">
        <v>14</v>
      </c>
      <c r="E7" s="30">
        <v>34831773</v>
      </c>
      <c r="F7" s="30">
        <f t="shared" ref="F7" si="1">SUM(F8:F8)</f>
        <v>34831773</v>
      </c>
      <c r="G7" s="29">
        <f t="shared" ref="G7:G71" si="2">F7-E7</f>
        <v>0</v>
      </c>
      <c r="H7" s="31"/>
    </row>
    <row r="8" spans="1:8" ht="18" customHeight="1" x14ac:dyDescent="0.25">
      <c r="A8" s="1" t="s">
        <v>15</v>
      </c>
      <c r="B8" s="32" t="s">
        <v>16</v>
      </c>
      <c r="C8" s="33" t="s">
        <v>17</v>
      </c>
      <c r="D8" s="34" t="s">
        <v>18</v>
      </c>
      <c r="E8" s="36">
        <v>34831773</v>
      </c>
      <c r="F8" s="36">
        <f>ROUND(E8,0)</f>
        <v>34831773</v>
      </c>
      <c r="G8" s="35">
        <f t="shared" si="2"/>
        <v>0</v>
      </c>
      <c r="H8" s="37"/>
    </row>
    <row r="9" spans="1:8" ht="32.4" customHeight="1" x14ac:dyDescent="0.25">
      <c r="C9" s="22" t="s">
        <v>19</v>
      </c>
      <c r="D9" s="23" t="s">
        <v>20</v>
      </c>
      <c r="E9" s="24">
        <v>3172850.61</v>
      </c>
      <c r="F9" s="24">
        <f>F10+F13+F16</f>
        <v>3172851</v>
      </c>
      <c r="G9" s="25">
        <f t="shared" si="2"/>
        <v>0.39000000013038516</v>
      </c>
      <c r="H9" s="26"/>
    </row>
    <row r="10" spans="1:8" x14ac:dyDescent="0.25">
      <c r="B10" s="1" t="s">
        <v>21</v>
      </c>
      <c r="C10" s="38" t="s">
        <v>22</v>
      </c>
      <c r="D10" s="39" t="s">
        <v>23</v>
      </c>
      <c r="E10" s="41">
        <v>2040017.74</v>
      </c>
      <c r="F10" s="41">
        <f>SUM(F11:F12)</f>
        <v>2040018</v>
      </c>
      <c r="G10" s="40">
        <f t="shared" si="2"/>
        <v>0.26000000000931323</v>
      </c>
      <c r="H10" s="42"/>
    </row>
    <row r="11" spans="1:8" x14ac:dyDescent="0.25">
      <c r="A11" s="1" t="s">
        <v>15</v>
      </c>
      <c r="B11" s="32" t="s">
        <v>24</v>
      </c>
      <c r="C11" s="33" t="s">
        <v>25</v>
      </c>
      <c r="D11" s="34" t="s">
        <v>18</v>
      </c>
      <c r="E11" s="36">
        <v>1900000</v>
      </c>
      <c r="F11" s="36">
        <f>ROUND(E11,0)</f>
        <v>1900000</v>
      </c>
      <c r="G11" s="35">
        <f t="shared" si="2"/>
        <v>0</v>
      </c>
      <c r="H11" s="43"/>
    </row>
    <row r="12" spans="1:8" x14ac:dyDescent="0.25">
      <c r="A12" s="1" t="s">
        <v>15</v>
      </c>
      <c r="B12" s="32" t="s">
        <v>26</v>
      </c>
      <c r="C12" s="33" t="s">
        <v>27</v>
      </c>
      <c r="D12" s="34" t="s">
        <v>28</v>
      </c>
      <c r="E12" s="36">
        <v>140017.74</v>
      </c>
      <c r="F12" s="36">
        <f>ROUND(E12,0)</f>
        <v>140018</v>
      </c>
      <c r="G12" s="35">
        <f t="shared" si="2"/>
        <v>0.26000000000931323</v>
      </c>
      <c r="H12" s="37"/>
    </row>
    <row r="13" spans="1:8" x14ac:dyDescent="0.25">
      <c r="B13" s="1" t="s">
        <v>29</v>
      </c>
      <c r="C13" s="38" t="s">
        <v>30</v>
      </c>
      <c r="D13" s="39" t="s">
        <v>31</v>
      </c>
      <c r="E13" s="41">
        <v>410966.93</v>
      </c>
      <c r="F13" s="41">
        <f>SUM(F14:F15)</f>
        <v>410967</v>
      </c>
      <c r="G13" s="40">
        <f t="shared" si="2"/>
        <v>7.0000000006984919E-2</v>
      </c>
      <c r="H13" s="42"/>
    </row>
    <row r="14" spans="1:8" x14ac:dyDescent="0.25">
      <c r="A14" s="1" t="s">
        <v>15</v>
      </c>
      <c r="B14" s="32" t="s">
        <v>32</v>
      </c>
      <c r="C14" s="33" t="s">
        <v>33</v>
      </c>
      <c r="D14" s="34" t="s">
        <v>34</v>
      </c>
      <c r="E14" s="36">
        <v>350989</v>
      </c>
      <c r="F14" s="36">
        <f>ROUND(E14,0)</f>
        <v>350989</v>
      </c>
      <c r="G14" s="35">
        <f t="shared" si="2"/>
        <v>0</v>
      </c>
      <c r="H14" s="44"/>
    </row>
    <row r="15" spans="1:8" x14ac:dyDescent="0.25">
      <c r="A15" s="1" t="s">
        <v>15</v>
      </c>
      <c r="B15" s="32" t="s">
        <v>35</v>
      </c>
      <c r="C15" s="33" t="s">
        <v>36</v>
      </c>
      <c r="D15" s="34" t="s">
        <v>28</v>
      </c>
      <c r="E15" s="36">
        <v>59977.93</v>
      </c>
      <c r="F15" s="36">
        <f>ROUND(E15,0)</f>
        <v>59978</v>
      </c>
      <c r="G15" s="35">
        <f t="shared" si="2"/>
        <v>6.9999999999708962E-2</v>
      </c>
      <c r="H15" s="37"/>
    </row>
    <row r="16" spans="1:8" ht="27.6" x14ac:dyDescent="0.25">
      <c r="B16" s="1" t="s">
        <v>37</v>
      </c>
      <c r="C16" s="38" t="s">
        <v>38</v>
      </c>
      <c r="D16" s="39" t="s">
        <v>39</v>
      </c>
      <c r="E16" s="41">
        <v>721865.94</v>
      </c>
      <c r="F16" s="41">
        <f>SUM(F17:F18)</f>
        <v>721866</v>
      </c>
      <c r="G16" s="40">
        <f t="shared" si="2"/>
        <v>6.0000000055879354E-2</v>
      </c>
      <c r="H16" s="42"/>
    </row>
    <row r="17" spans="1:8" ht="18.75" customHeight="1" x14ac:dyDescent="0.25">
      <c r="A17" s="1" t="s">
        <v>15</v>
      </c>
      <c r="B17" s="32" t="s">
        <v>40</v>
      </c>
      <c r="C17" s="33" t="s">
        <v>41</v>
      </c>
      <c r="D17" s="34" t="s">
        <v>34</v>
      </c>
      <c r="E17" s="36">
        <v>650000</v>
      </c>
      <c r="F17" s="36">
        <f>ROUND(E17,0)</f>
        <v>650000</v>
      </c>
      <c r="G17" s="35">
        <f t="shared" si="2"/>
        <v>0</v>
      </c>
      <c r="H17" s="44"/>
    </row>
    <row r="18" spans="1:8" x14ac:dyDescent="0.25">
      <c r="A18" s="1" t="s">
        <v>15</v>
      </c>
      <c r="B18" s="32" t="s">
        <v>42</v>
      </c>
      <c r="C18" s="33" t="s">
        <v>43</v>
      </c>
      <c r="D18" s="34" t="s">
        <v>28</v>
      </c>
      <c r="E18" s="36">
        <v>71865.94</v>
      </c>
      <c r="F18" s="36">
        <f>ROUND(E18,0)</f>
        <v>71866</v>
      </c>
      <c r="G18" s="35">
        <f t="shared" si="2"/>
        <v>5.9999999997671694E-2</v>
      </c>
      <c r="H18" s="43"/>
    </row>
    <row r="19" spans="1:8" ht="28.2" x14ac:dyDescent="0.3">
      <c r="B19" s="45"/>
      <c r="C19" s="38" t="s">
        <v>44</v>
      </c>
      <c r="D19" s="39" t="s">
        <v>45</v>
      </c>
      <c r="E19" s="41">
        <v>70000</v>
      </c>
      <c r="F19" s="41">
        <f t="shared" ref="F19" si="3">SUM(F20:F21)</f>
        <v>70000</v>
      </c>
      <c r="G19" s="40">
        <f t="shared" si="2"/>
        <v>0</v>
      </c>
      <c r="H19" s="42"/>
    </row>
    <row r="20" spans="1:8" ht="14.4" hidden="1" customHeight="1" outlineLevel="1" x14ac:dyDescent="0.25">
      <c r="B20" s="32" t="s">
        <v>46</v>
      </c>
      <c r="C20" s="33" t="s">
        <v>47</v>
      </c>
      <c r="D20" s="34" t="s">
        <v>48</v>
      </c>
      <c r="E20" s="36">
        <v>0</v>
      </c>
      <c r="F20" s="36">
        <f>ROUND(E20,0)</f>
        <v>0</v>
      </c>
      <c r="G20" s="35">
        <f t="shared" si="2"/>
        <v>0</v>
      </c>
      <c r="H20" s="44"/>
    </row>
    <row r="21" spans="1:8" ht="15.6" customHeight="1" collapsed="1" x14ac:dyDescent="0.25">
      <c r="B21" s="32" t="s">
        <v>49</v>
      </c>
      <c r="C21" s="33" t="s">
        <v>47</v>
      </c>
      <c r="D21" s="34" t="s">
        <v>50</v>
      </c>
      <c r="E21" s="36">
        <v>70000</v>
      </c>
      <c r="F21" s="36">
        <f>ROUND(E21,0)</f>
        <v>70000</v>
      </c>
      <c r="G21" s="35">
        <f t="shared" si="2"/>
        <v>0</v>
      </c>
      <c r="H21" s="46"/>
    </row>
    <row r="22" spans="1:8" ht="15.75" customHeight="1" x14ac:dyDescent="0.25">
      <c r="B22" s="1" t="s">
        <v>51</v>
      </c>
      <c r="C22" s="38" t="s">
        <v>52</v>
      </c>
      <c r="D22" s="39" t="s">
        <v>53</v>
      </c>
      <c r="E22" s="41">
        <v>160000</v>
      </c>
      <c r="F22" s="41">
        <f t="shared" ref="F22" si="4">F23+F27</f>
        <v>160000</v>
      </c>
      <c r="G22" s="40">
        <f t="shared" si="2"/>
        <v>0</v>
      </c>
      <c r="H22" s="42"/>
    </row>
    <row r="23" spans="1:8" x14ac:dyDescent="0.25">
      <c r="A23" s="1" t="s">
        <v>15</v>
      </c>
      <c r="B23" s="1" t="s">
        <v>54</v>
      </c>
      <c r="C23" s="33" t="s">
        <v>55</v>
      </c>
      <c r="D23" s="34" t="s">
        <v>56</v>
      </c>
      <c r="E23" s="36">
        <v>6700</v>
      </c>
      <c r="F23" s="36">
        <f>F24+F25+F26</f>
        <v>6700</v>
      </c>
      <c r="G23" s="35">
        <f>F23-E23</f>
        <v>0</v>
      </c>
      <c r="H23" s="43"/>
    </row>
    <row r="24" spans="1:8" ht="26.4" x14ac:dyDescent="0.25">
      <c r="B24" s="32" t="s">
        <v>57</v>
      </c>
      <c r="C24" s="47" t="s">
        <v>58</v>
      </c>
      <c r="D24" s="48" t="s">
        <v>59</v>
      </c>
      <c r="E24" s="36">
        <v>1700</v>
      </c>
      <c r="F24" s="36">
        <f>ROUND(E24,0)</f>
        <v>1700</v>
      </c>
      <c r="G24" s="35">
        <f t="shared" si="2"/>
        <v>0</v>
      </c>
      <c r="H24" s="43"/>
    </row>
    <row r="25" spans="1:8" ht="26.4" x14ac:dyDescent="0.25">
      <c r="B25" s="32" t="s">
        <v>60</v>
      </c>
      <c r="C25" s="47" t="s">
        <v>61</v>
      </c>
      <c r="D25" s="48" t="s">
        <v>62</v>
      </c>
      <c r="E25" s="36">
        <v>4500</v>
      </c>
      <c r="F25" s="36">
        <f>ROUND(E25,0)</f>
        <v>4500</v>
      </c>
      <c r="G25" s="35">
        <f t="shared" si="2"/>
        <v>0</v>
      </c>
      <c r="H25" s="43"/>
    </row>
    <row r="26" spans="1:8" ht="26.4" x14ac:dyDescent="0.25">
      <c r="B26" s="32" t="s">
        <v>63</v>
      </c>
      <c r="C26" s="47" t="s">
        <v>64</v>
      </c>
      <c r="D26" s="48" t="s">
        <v>65</v>
      </c>
      <c r="E26" s="36">
        <v>500</v>
      </c>
      <c r="F26" s="36">
        <f>ROUND(E26,0)</f>
        <v>500</v>
      </c>
      <c r="G26" s="35">
        <f t="shared" si="2"/>
        <v>0</v>
      </c>
      <c r="H26" s="43"/>
    </row>
    <row r="27" spans="1:8" x14ac:dyDescent="0.25">
      <c r="A27" s="1" t="s">
        <v>15</v>
      </c>
      <c r="B27" s="1" t="s">
        <v>66</v>
      </c>
      <c r="C27" s="33" t="s">
        <v>67</v>
      </c>
      <c r="D27" s="34" t="s">
        <v>68</v>
      </c>
      <c r="E27" s="36">
        <v>153300</v>
      </c>
      <c r="F27" s="36">
        <f t="shared" ref="F27" si="5">SUM(F28:F33)</f>
        <v>153300</v>
      </c>
      <c r="G27" s="35">
        <f t="shared" si="2"/>
        <v>0</v>
      </c>
      <c r="H27" s="43"/>
    </row>
    <row r="28" spans="1:8" ht="26.4" x14ac:dyDescent="0.25">
      <c r="B28" s="32" t="s">
        <v>69</v>
      </c>
      <c r="C28" s="47" t="s">
        <v>70</v>
      </c>
      <c r="D28" s="48" t="s">
        <v>71</v>
      </c>
      <c r="E28" s="36">
        <v>350</v>
      </c>
      <c r="F28" s="36">
        <f t="shared" ref="F28:F33" si="6">ROUND(E28,0)</f>
        <v>350</v>
      </c>
      <c r="G28" s="35">
        <f t="shared" si="2"/>
        <v>0</v>
      </c>
      <c r="H28" s="43"/>
    </row>
    <row r="29" spans="1:8" ht="26.4" x14ac:dyDescent="0.25">
      <c r="B29" s="49" t="s">
        <v>72</v>
      </c>
      <c r="C29" s="47" t="s">
        <v>73</v>
      </c>
      <c r="D29" s="48" t="s">
        <v>74</v>
      </c>
      <c r="E29" s="36">
        <v>1100</v>
      </c>
      <c r="F29" s="36">
        <f t="shared" si="6"/>
        <v>1100</v>
      </c>
      <c r="G29" s="35">
        <f t="shared" si="2"/>
        <v>0</v>
      </c>
      <c r="H29" s="43"/>
    </row>
    <row r="30" spans="1:8" x14ac:dyDescent="0.25">
      <c r="B30" s="32" t="s">
        <v>75</v>
      </c>
      <c r="C30" s="47" t="s">
        <v>76</v>
      </c>
      <c r="D30" s="48" t="s">
        <v>77</v>
      </c>
      <c r="E30" s="36">
        <v>27000</v>
      </c>
      <c r="F30" s="36">
        <f t="shared" si="6"/>
        <v>27000</v>
      </c>
      <c r="G30" s="35">
        <f t="shared" si="2"/>
        <v>0</v>
      </c>
      <c r="H30" s="43"/>
    </row>
    <row r="31" spans="1:8" ht="26.4" x14ac:dyDescent="0.25">
      <c r="B31" s="32" t="s">
        <v>78</v>
      </c>
      <c r="C31" s="47" t="s">
        <v>79</v>
      </c>
      <c r="D31" s="48" t="s">
        <v>80</v>
      </c>
      <c r="E31" s="36">
        <v>11500</v>
      </c>
      <c r="F31" s="36">
        <f t="shared" si="6"/>
        <v>11500</v>
      </c>
      <c r="G31" s="35">
        <f t="shared" si="2"/>
        <v>0</v>
      </c>
      <c r="H31" s="43"/>
    </row>
    <row r="32" spans="1:8" x14ac:dyDescent="0.25">
      <c r="B32" s="32" t="s">
        <v>81</v>
      </c>
      <c r="C32" s="47" t="s">
        <v>82</v>
      </c>
      <c r="D32" s="48" t="s">
        <v>83</v>
      </c>
      <c r="E32" s="36">
        <v>106350</v>
      </c>
      <c r="F32" s="36">
        <f t="shared" si="6"/>
        <v>106350</v>
      </c>
      <c r="G32" s="35">
        <f t="shared" si="2"/>
        <v>0</v>
      </c>
      <c r="H32" s="43"/>
    </row>
    <row r="33" spans="1:8" x14ac:dyDescent="0.25">
      <c r="B33" s="32" t="s">
        <v>84</v>
      </c>
      <c r="C33" s="47" t="s">
        <v>85</v>
      </c>
      <c r="D33" s="48" t="s">
        <v>86</v>
      </c>
      <c r="E33" s="36">
        <v>7000</v>
      </c>
      <c r="F33" s="36">
        <f t="shared" si="6"/>
        <v>7000</v>
      </c>
      <c r="G33" s="35">
        <f t="shared" si="2"/>
        <v>0</v>
      </c>
      <c r="H33" s="43"/>
    </row>
    <row r="34" spans="1:8" ht="18" customHeight="1" x14ac:dyDescent="0.25">
      <c r="B34" s="1" t="s">
        <v>87</v>
      </c>
      <c r="C34" s="38" t="s">
        <v>88</v>
      </c>
      <c r="D34" s="39" t="s">
        <v>89</v>
      </c>
      <c r="E34" s="41">
        <v>65000</v>
      </c>
      <c r="F34" s="41">
        <f>F35+F36</f>
        <v>65000</v>
      </c>
      <c r="G34" s="40">
        <f t="shared" si="2"/>
        <v>0</v>
      </c>
      <c r="H34" s="50"/>
    </row>
    <row r="35" spans="1:8" ht="16.5" customHeight="1" x14ac:dyDescent="0.3">
      <c r="B35" s="45" t="s">
        <v>90</v>
      </c>
      <c r="C35" s="33" t="s">
        <v>91</v>
      </c>
      <c r="D35" s="34" t="s">
        <v>89</v>
      </c>
      <c r="E35" s="36">
        <v>31000</v>
      </c>
      <c r="F35" s="36">
        <f>ROUND(E35,0)</f>
        <v>31000</v>
      </c>
      <c r="G35" s="35">
        <f t="shared" si="2"/>
        <v>0</v>
      </c>
      <c r="H35" s="37"/>
    </row>
    <row r="36" spans="1:8" ht="28.2" x14ac:dyDescent="0.3">
      <c r="B36" s="45" t="s">
        <v>92</v>
      </c>
      <c r="C36" s="33" t="s">
        <v>93</v>
      </c>
      <c r="D36" s="34" t="s">
        <v>94</v>
      </c>
      <c r="E36" s="36">
        <v>34000</v>
      </c>
      <c r="F36" s="36">
        <f>ROUND(E36,0)</f>
        <v>34000</v>
      </c>
      <c r="G36" s="35">
        <f t="shared" si="2"/>
        <v>0</v>
      </c>
      <c r="H36" s="37"/>
    </row>
    <row r="37" spans="1:8" x14ac:dyDescent="0.25">
      <c r="B37" s="1" t="s">
        <v>95</v>
      </c>
      <c r="C37" s="38" t="s">
        <v>96</v>
      </c>
      <c r="D37" s="39" t="s">
        <v>97</v>
      </c>
      <c r="E37" s="41">
        <v>6453</v>
      </c>
      <c r="F37" s="41">
        <f>F38+F39+F40</f>
        <v>6453</v>
      </c>
      <c r="G37" s="40">
        <f t="shared" si="2"/>
        <v>0</v>
      </c>
      <c r="H37" s="42"/>
    </row>
    <row r="38" spans="1:8" ht="29.4" customHeight="1" x14ac:dyDescent="0.25">
      <c r="A38" s="1" t="s">
        <v>15</v>
      </c>
      <c r="B38" s="4" t="s">
        <v>98</v>
      </c>
      <c r="C38" s="33" t="s">
        <v>99</v>
      </c>
      <c r="D38" s="51" t="s">
        <v>100</v>
      </c>
      <c r="E38" s="36">
        <v>0</v>
      </c>
      <c r="F38" s="36">
        <f>ROUND(E38,0)</f>
        <v>0</v>
      </c>
      <c r="G38" s="35">
        <f t="shared" si="2"/>
        <v>0</v>
      </c>
      <c r="H38" s="52"/>
    </row>
    <row r="39" spans="1:8" ht="27.6" x14ac:dyDescent="0.25">
      <c r="B39" s="1" t="s">
        <v>101</v>
      </c>
      <c r="C39" s="33" t="s">
        <v>102</v>
      </c>
      <c r="D39" s="34" t="s">
        <v>103</v>
      </c>
      <c r="E39" s="36">
        <v>500</v>
      </c>
      <c r="F39" s="36">
        <f>ROUND(E39,0)</f>
        <v>500</v>
      </c>
      <c r="G39" s="35">
        <f t="shared" si="2"/>
        <v>0</v>
      </c>
      <c r="H39" s="52"/>
    </row>
    <row r="40" spans="1:8" x14ac:dyDescent="0.25">
      <c r="C40" s="33" t="s">
        <v>104</v>
      </c>
      <c r="D40" s="34" t="s">
        <v>105</v>
      </c>
      <c r="E40" s="36">
        <v>5953</v>
      </c>
      <c r="F40" s="36">
        <f>ROUND(E40,0)</f>
        <v>5953</v>
      </c>
      <c r="G40" s="35">
        <f t="shared" si="2"/>
        <v>0</v>
      </c>
      <c r="H40" s="37"/>
    </row>
    <row r="41" spans="1:8" ht="15" customHeight="1" x14ac:dyDescent="0.25">
      <c r="B41" s="1" t="s">
        <v>106</v>
      </c>
      <c r="C41" s="53" t="s">
        <v>107</v>
      </c>
      <c r="D41" s="39" t="s">
        <v>108</v>
      </c>
      <c r="E41" s="41">
        <v>5856</v>
      </c>
      <c r="F41" s="41">
        <f>ROUND(E41,0)</f>
        <v>5856</v>
      </c>
      <c r="G41" s="40">
        <f t="shared" si="2"/>
        <v>0</v>
      </c>
      <c r="H41" s="50"/>
    </row>
    <row r="42" spans="1:8" ht="27.6" x14ac:dyDescent="0.25">
      <c r="C42" s="53" t="s">
        <v>109</v>
      </c>
      <c r="D42" s="39" t="s">
        <v>110</v>
      </c>
      <c r="E42" s="41">
        <v>10153512</v>
      </c>
      <c r="F42" s="41">
        <f t="shared" ref="F42" si="7">F43+F66+F87</f>
        <v>10476146</v>
      </c>
      <c r="G42" s="40">
        <f t="shared" si="2"/>
        <v>322634</v>
      </c>
      <c r="H42" s="40"/>
    </row>
    <row r="43" spans="1:8" ht="17.399999999999999" customHeight="1" x14ac:dyDescent="0.25">
      <c r="B43" s="32"/>
      <c r="C43" s="54" t="s">
        <v>111</v>
      </c>
      <c r="D43" s="55" t="s">
        <v>112</v>
      </c>
      <c r="E43" s="57">
        <v>8993696</v>
      </c>
      <c r="F43" s="57">
        <f t="shared" ref="F43" si="8">SUM(F44:F47)+F50+SUM(F54:F65)</f>
        <v>9205065</v>
      </c>
      <c r="G43" s="58">
        <f t="shared" si="2"/>
        <v>211369</v>
      </c>
      <c r="H43" s="58"/>
    </row>
    <row r="44" spans="1:8" ht="16.95" customHeight="1" x14ac:dyDescent="0.25">
      <c r="A44" s="1" t="s">
        <v>113</v>
      </c>
      <c r="B44" s="1" t="s">
        <v>114</v>
      </c>
      <c r="C44" s="47" t="s">
        <v>115</v>
      </c>
      <c r="D44" s="34" t="s">
        <v>116</v>
      </c>
      <c r="E44" s="36">
        <v>651116</v>
      </c>
      <c r="F44" s="36">
        <f>ROUND(E44,0)+142597</f>
        <v>793713</v>
      </c>
      <c r="G44" s="35">
        <f t="shared" si="2"/>
        <v>142597</v>
      </c>
      <c r="H44" s="52" t="s">
        <v>117</v>
      </c>
    </row>
    <row r="45" spans="1:8" ht="13.95" customHeight="1" x14ac:dyDescent="0.3">
      <c r="A45" s="1" t="s">
        <v>113</v>
      </c>
      <c r="B45" s="45" t="s">
        <v>118</v>
      </c>
      <c r="C45" s="47" t="s">
        <v>119</v>
      </c>
      <c r="D45" s="34" t="s">
        <v>120</v>
      </c>
      <c r="E45" s="36">
        <v>314606</v>
      </c>
      <c r="F45" s="36">
        <f>ROUND(E45,0)</f>
        <v>314606</v>
      </c>
      <c r="G45" s="35">
        <f t="shared" si="2"/>
        <v>0</v>
      </c>
      <c r="H45" s="37"/>
    </row>
    <row r="46" spans="1:8" ht="14.4" x14ac:dyDescent="0.3">
      <c r="B46" s="45" t="s">
        <v>121</v>
      </c>
      <c r="C46" s="47" t="s">
        <v>122</v>
      </c>
      <c r="D46" s="34" t="s">
        <v>123</v>
      </c>
      <c r="E46" s="36">
        <v>249276</v>
      </c>
      <c r="F46" s="36">
        <f>ROUND(E46,0)</f>
        <v>249276</v>
      </c>
      <c r="G46" s="35">
        <f t="shared" si="2"/>
        <v>0</v>
      </c>
      <c r="H46" s="52"/>
    </row>
    <row r="47" spans="1:8" ht="14.25" customHeight="1" x14ac:dyDescent="0.3">
      <c r="A47" s="1" t="s">
        <v>113</v>
      </c>
      <c r="B47" s="45" t="s">
        <v>124</v>
      </c>
      <c r="C47" s="47" t="s">
        <v>125</v>
      </c>
      <c r="D47" s="34" t="s">
        <v>126</v>
      </c>
      <c r="E47" s="35">
        <v>0</v>
      </c>
      <c r="F47" s="36">
        <f t="shared" ref="F47" si="9">F48+F49</f>
        <v>0</v>
      </c>
      <c r="G47" s="35">
        <f t="shared" si="2"/>
        <v>0</v>
      </c>
      <c r="H47" s="35"/>
    </row>
    <row r="48" spans="1:8" ht="14.25" customHeight="1" x14ac:dyDescent="0.3">
      <c r="B48" s="45"/>
      <c r="C48" s="47" t="s">
        <v>127</v>
      </c>
      <c r="D48" s="48" t="s">
        <v>128</v>
      </c>
      <c r="E48" s="59"/>
      <c r="F48" s="36"/>
      <c r="G48" s="35">
        <f t="shared" si="2"/>
        <v>0</v>
      </c>
      <c r="H48" s="52"/>
    </row>
    <row r="49" spans="1:8" ht="17.399999999999999" customHeight="1" x14ac:dyDescent="0.3">
      <c r="B49" s="45"/>
      <c r="C49" s="47" t="s">
        <v>129</v>
      </c>
      <c r="D49" s="48" t="s">
        <v>130</v>
      </c>
      <c r="E49" s="59"/>
      <c r="F49" s="36"/>
      <c r="G49" s="35">
        <f t="shared" si="2"/>
        <v>0</v>
      </c>
      <c r="H49" s="52"/>
    </row>
    <row r="50" spans="1:8" ht="13.95" customHeight="1" x14ac:dyDescent="0.25">
      <c r="B50" s="1" t="s">
        <v>131</v>
      </c>
      <c r="C50" s="47" t="s">
        <v>132</v>
      </c>
      <c r="D50" s="34" t="s">
        <v>133</v>
      </c>
      <c r="E50" s="61">
        <v>6510554</v>
      </c>
      <c r="F50" s="61">
        <f>F51+F52+F53</f>
        <v>6510554</v>
      </c>
      <c r="G50" s="60">
        <f t="shared" si="2"/>
        <v>0</v>
      </c>
      <c r="H50" s="62"/>
    </row>
    <row r="51" spans="1:8" s="66" customFormat="1" ht="14.4" x14ac:dyDescent="0.3">
      <c r="A51" s="1" t="s">
        <v>113</v>
      </c>
      <c r="B51" s="45" t="s">
        <v>134</v>
      </c>
      <c r="C51" s="47" t="s">
        <v>135</v>
      </c>
      <c r="D51" s="48" t="s">
        <v>136</v>
      </c>
      <c r="E51" s="64">
        <v>1100762</v>
      </c>
      <c r="F51" s="64">
        <f t="shared" ref="F51:F64" si="10">ROUND(E51,0)</f>
        <v>1100762</v>
      </c>
      <c r="G51" s="63">
        <f t="shared" si="2"/>
        <v>0</v>
      </c>
      <c r="H51" s="65"/>
    </row>
    <row r="52" spans="1:8" s="66" customFormat="1" ht="14.4" x14ac:dyDescent="0.3">
      <c r="A52" s="1" t="s">
        <v>113</v>
      </c>
      <c r="B52" s="45" t="s">
        <v>137</v>
      </c>
      <c r="C52" s="47" t="s">
        <v>138</v>
      </c>
      <c r="D52" s="48" t="s">
        <v>139</v>
      </c>
      <c r="E52" s="64">
        <v>5092428</v>
      </c>
      <c r="F52" s="64">
        <f>ROUND(E52,0)</f>
        <v>5092428</v>
      </c>
      <c r="G52" s="63">
        <f t="shared" si="2"/>
        <v>0</v>
      </c>
      <c r="H52" s="65"/>
    </row>
    <row r="53" spans="1:8" s="66" customFormat="1" x14ac:dyDescent="0.25">
      <c r="A53" s="1" t="s">
        <v>113</v>
      </c>
      <c r="B53" s="1"/>
      <c r="C53" s="47" t="s">
        <v>140</v>
      </c>
      <c r="D53" s="48" t="s">
        <v>141</v>
      </c>
      <c r="E53" s="64">
        <v>317364</v>
      </c>
      <c r="F53" s="64">
        <f t="shared" si="10"/>
        <v>317364</v>
      </c>
      <c r="G53" s="67">
        <f t="shared" si="2"/>
        <v>0</v>
      </c>
      <c r="H53" s="68"/>
    </row>
    <row r="54" spans="1:8" ht="31.5" customHeight="1" x14ac:dyDescent="0.25">
      <c r="A54" s="1" t="s">
        <v>113</v>
      </c>
      <c r="B54" s="1" t="s">
        <v>142</v>
      </c>
      <c r="C54" s="47" t="s">
        <v>143</v>
      </c>
      <c r="D54" s="34" t="s">
        <v>144</v>
      </c>
      <c r="E54" s="36">
        <v>13088</v>
      </c>
      <c r="F54" s="36">
        <f t="shared" si="10"/>
        <v>13088</v>
      </c>
      <c r="G54" s="35">
        <f t="shared" si="2"/>
        <v>0</v>
      </c>
      <c r="H54" s="43"/>
    </row>
    <row r="55" spans="1:8" ht="19.2" customHeight="1" x14ac:dyDescent="0.3">
      <c r="A55" s="1" t="s">
        <v>113</v>
      </c>
      <c r="B55" s="45" t="s">
        <v>145</v>
      </c>
      <c r="C55" s="47" t="s">
        <v>146</v>
      </c>
      <c r="D55" s="34" t="s">
        <v>147</v>
      </c>
      <c r="E55" s="36">
        <v>14485</v>
      </c>
      <c r="F55" s="36">
        <f>ROUND(E55,0)</f>
        <v>14485</v>
      </c>
      <c r="G55" s="35">
        <f t="shared" si="2"/>
        <v>0</v>
      </c>
      <c r="H55" s="37"/>
    </row>
    <row r="56" spans="1:8" ht="19.2" customHeight="1" x14ac:dyDescent="0.3">
      <c r="B56" s="45"/>
      <c r="C56" s="47" t="s">
        <v>148</v>
      </c>
      <c r="D56" s="34" t="s">
        <v>149</v>
      </c>
      <c r="E56" s="36">
        <v>3668</v>
      </c>
      <c r="F56" s="36">
        <f>ROUND(E56,0)</f>
        <v>3668</v>
      </c>
      <c r="G56" s="35">
        <f t="shared" si="2"/>
        <v>0</v>
      </c>
      <c r="H56" s="37"/>
    </row>
    <row r="57" spans="1:8" ht="18.600000000000001" customHeight="1" x14ac:dyDescent="0.25">
      <c r="B57" s="1" t="s">
        <v>150</v>
      </c>
      <c r="C57" s="47" t="s">
        <v>151</v>
      </c>
      <c r="D57" s="34" t="s">
        <v>152</v>
      </c>
      <c r="E57" s="36">
        <v>501000</v>
      </c>
      <c r="F57" s="36">
        <f t="shared" si="10"/>
        <v>501000</v>
      </c>
      <c r="G57" s="35">
        <f t="shared" si="2"/>
        <v>0</v>
      </c>
      <c r="H57" s="52"/>
    </row>
    <row r="58" spans="1:8" ht="31.5" customHeight="1" x14ac:dyDescent="0.25">
      <c r="C58" s="47" t="s">
        <v>153</v>
      </c>
      <c r="D58" s="34" t="s">
        <v>154</v>
      </c>
      <c r="E58" s="36">
        <v>0</v>
      </c>
      <c r="F58" s="36">
        <f t="shared" si="10"/>
        <v>0</v>
      </c>
      <c r="G58" s="35">
        <f t="shared" si="2"/>
        <v>0</v>
      </c>
      <c r="H58" s="37"/>
    </row>
    <row r="59" spans="1:8" ht="31.5" customHeight="1" x14ac:dyDescent="0.25">
      <c r="C59" s="47"/>
      <c r="D59" s="34" t="s">
        <v>155</v>
      </c>
      <c r="E59" s="36">
        <v>0</v>
      </c>
      <c r="F59" s="36"/>
      <c r="G59" s="35">
        <f t="shared" si="2"/>
        <v>0</v>
      </c>
      <c r="H59" s="37"/>
    </row>
    <row r="60" spans="1:8" ht="28.2" customHeight="1" x14ac:dyDescent="0.25">
      <c r="B60" s="69" t="s">
        <v>156</v>
      </c>
      <c r="C60" s="47" t="s">
        <v>157</v>
      </c>
      <c r="D60" s="70" t="s">
        <v>158</v>
      </c>
      <c r="E60" s="36">
        <v>342263</v>
      </c>
      <c r="F60" s="36">
        <f>ROUND(E60,0)+59292+1248</f>
        <v>402803</v>
      </c>
      <c r="G60" s="35">
        <f t="shared" si="2"/>
        <v>60540</v>
      </c>
      <c r="H60" s="52" t="s">
        <v>159</v>
      </c>
    </row>
    <row r="61" spans="1:8" ht="58.95" customHeight="1" x14ac:dyDescent="0.25">
      <c r="C61" s="47"/>
      <c r="D61" s="34" t="s">
        <v>160</v>
      </c>
      <c r="E61" s="36">
        <v>0</v>
      </c>
      <c r="F61" s="36">
        <f t="shared" si="10"/>
        <v>0</v>
      </c>
      <c r="G61" s="35">
        <f t="shared" si="2"/>
        <v>0</v>
      </c>
      <c r="H61" s="52"/>
    </row>
    <row r="62" spans="1:8" ht="15.6" customHeight="1" x14ac:dyDescent="0.25">
      <c r="C62" s="47" t="s">
        <v>161</v>
      </c>
      <c r="D62" s="34" t="s">
        <v>162</v>
      </c>
      <c r="E62" s="36">
        <v>50000</v>
      </c>
      <c r="F62" s="36">
        <f t="shared" si="10"/>
        <v>50000</v>
      </c>
      <c r="G62" s="35">
        <f t="shared" si="2"/>
        <v>0</v>
      </c>
      <c r="H62" s="52"/>
    </row>
    <row r="63" spans="1:8" ht="17.399999999999999" customHeight="1" x14ac:dyDescent="0.25">
      <c r="B63" s="1" t="s">
        <v>131</v>
      </c>
      <c r="C63" s="47" t="s">
        <v>163</v>
      </c>
      <c r="D63" s="34" t="s">
        <v>164</v>
      </c>
      <c r="E63" s="36">
        <v>200000</v>
      </c>
      <c r="F63" s="36">
        <f t="shared" si="10"/>
        <v>200000</v>
      </c>
      <c r="G63" s="35">
        <f t="shared" si="2"/>
        <v>0</v>
      </c>
      <c r="H63" s="52"/>
    </row>
    <row r="64" spans="1:8" ht="14.4" x14ac:dyDescent="0.3">
      <c r="A64" s="1" t="s">
        <v>113</v>
      </c>
      <c r="B64" s="45" t="s">
        <v>165</v>
      </c>
      <c r="C64" s="47" t="s">
        <v>166</v>
      </c>
      <c r="D64" s="72" t="s">
        <v>167</v>
      </c>
      <c r="E64" s="36">
        <v>0</v>
      </c>
      <c r="F64" s="36">
        <f t="shared" si="10"/>
        <v>0</v>
      </c>
      <c r="G64" s="35">
        <f>F64-E64</f>
        <v>0</v>
      </c>
      <c r="H64" s="73"/>
    </row>
    <row r="65" spans="1:8" ht="39.6" customHeight="1" x14ac:dyDescent="0.25">
      <c r="A65" s="69" t="s">
        <v>168</v>
      </c>
      <c r="B65" s="1" t="s">
        <v>169</v>
      </c>
      <c r="C65" s="47" t="s">
        <v>170</v>
      </c>
      <c r="D65" s="34" t="s">
        <v>171</v>
      </c>
      <c r="E65" s="36">
        <v>143640</v>
      </c>
      <c r="F65" s="36">
        <f>ROUND(E65,0)+8232</f>
        <v>151872</v>
      </c>
      <c r="G65" s="35">
        <f t="shared" si="2"/>
        <v>8232</v>
      </c>
      <c r="H65" s="74" t="s">
        <v>172</v>
      </c>
    </row>
    <row r="66" spans="1:8" ht="32.25" customHeight="1" x14ac:dyDescent="0.25">
      <c r="C66" s="54" t="s">
        <v>173</v>
      </c>
      <c r="D66" s="55" t="s">
        <v>174</v>
      </c>
      <c r="E66" s="75">
        <v>1159816</v>
      </c>
      <c r="F66" s="75">
        <f t="shared" ref="F66" si="11">SUM(F67:F86)</f>
        <v>1271081</v>
      </c>
      <c r="G66" s="56">
        <f t="shared" si="2"/>
        <v>111265</v>
      </c>
      <c r="H66" s="76"/>
    </row>
    <row r="67" spans="1:8" x14ac:dyDescent="0.25">
      <c r="A67" s="1" t="s">
        <v>175</v>
      </c>
      <c r="B67" s="1" t="s">
        <v>176</v>
      </c>
      <c r="C67" s="47" t="s">
        <v>177</v>
      </c>
      <c r="D67" s="72" t="s">
        <v>178</v>
      </c>
      <c r="E67" s="36">
        <v>0</v>
      </c>
      <c r="F67" s="36">
        <f>ROUND(E67,0)+(109839-16873)</f>
        <v>92966</v>
      </c>
      <c r="G67" s="35">
        <f t="shared" si="2"/>
        <v>92966</v>
      </c>
      <c r="H67" s="44" t="s">
        <v>179</v>
      </c>
    </row>
    <row r="68" spans="1:8" x14ac:dyDescent="0.25">
      <c r="C68" s="47" t="s">
        <v>180</v>
      </c>
      <c r="D68" s="72" t="s">
        <v>181</v>
      </c>
      <c r="E68" s="36">
        <v>63988</v>
      </c>
      <c r="F68" s="36">
        <f t="shared" ref="F68:F87" si="12">ROUND(E68,0)</f>
        <v>63988</v>
      </c>
      <c r="G68" s="35">
        <f t="shared" si="2"/>
        <v>0</v>
      </c>
      <c r="H68" s="52"/>
    </row>
    <row r="69" spans="1:8" ht="27.6" x14ac:dyDescent="0.25">
      <c r="B69" s="77" t="s">
        <v>182</v>
      </c>
      <c r="C69" s="47" t="s">
        <v>183</v>
      </c>
      <c r="D69" s="72" t="s">
        <v>184</v>
      </c>
      <c r="E69" s="36">
        <v>2532</v>
      </c>
      <c r="F69" s="36">
        <f t="shared" si="12"/>
        <v>2532</v>
      </c>
      <c r="G69" s="35">
        <f t="shared" si="2"/>
        <v>0</v>
      </c>
      <c r="H69" s="44"/>
    </row>
    <row r="70" spans="1:8" ht="27.6" x14ac:dyDescent="0.25">
      <c r="B70" s="77"/>
      <c r="C70" s="47" t="s">
        <v>185</v>
      </c>
      <c r="D70" s="72" t="s">
        <v>186</v>
      </c>
      <c r="E70" s="36">
        <v>5135</v>
      </c>
      <c r="F70" s="36">
        <f t="shared" si="12"/>
        <v>5135</v>
      </c>
      <c r="G70" s="35">
        <f t="shared" si="2"/>
        <v>0</v>
      </c>
      <c r="H70" s="44"/>
    </row>
    <row r="71" spans="1:8" x14ac:dyDescent="0.25">
      <c r="B71" s="77"/>
      <c r="C71" s="47" t="s">
        <v>187</v>
      </c>
      <c r="D71" s="72" t="s">
        <v>188</v>
      </c>
      <c r="E71" s="36">
        <v>9000</v>
      </c>
      <c r="F71" s="36">
        <f t="shared" si="12"/>
        <v>9000</v>
      </c>
      <c r="G71" s="35">
        <f t="shared" si="2"/>
        <v>0</v>
      </c>
      <c r="H71" s="44"/>
    </row>
    <row r="72" spans="1:8" ht="55.2" x14ac:dyDescent="0.25">
      <c r="B72" s="77"/>
      <c r="C72" s="47" t="s">
        <v>189</v>
      </c>
      <c r="D72" s="72" t="s">
        <v>190</v>
      </c>
      <c r="E72" s="36">
        <v>6010</v>
      </c>
      <c r="F72" s="36">
        <f t="shared" si="12"/>
        <v>6010</v>
      </c>
      <c r="G72" s="35">
        <f>F72-E72</f>
        <v>0</v>
      </c>
      <c r="H72" s="44"/>
    </row>
    <row r="73" spans="1:8" ht="41.4" x14ac:dyDescent="0.25">
      <c r="B73" s="77"/>
      <c r="C73" s="47" t="s">
        <v>191</v>
      </c>
      <c r="D73" s="72" t="s">
        <v>192</v>
      </c>
      <c r="E73" s="36">
        <v>30655</v>
      </c>
      <c r="F73" s="36">
        <f>ROUND(E73,0)</f>
        <v>30655</v>
      </c>
      <c r="G73" s="35">
        <f>F73-E73</f>
        <v>0</v>
      </c>
      <c r="H73" s="44"/>
    </row>
    <row r="74" spans="1:8" x14ac:dyDescent="0.25">
      <c r="A74" s="69" t="s">
        <v>193</v>
      </c>
      <c r="B74" s="77"/>
      <c r="C74" s="47" t="s">
        <v>194</v>
      </c>
      <c r="D74" s="72" t="s">
        <v>195</v>
      </c>
      <c r="E74" s="36">
        <v>0</v>
      </c>
      <c r="F74" s="36">
        <f>ROUND(E74,0)</f>
        <v>0</v>
      </c>
      <c r="G74" s="35">
        <f>F74-E74</f>
        <v>0</v>
      </c>
      <c r="H74" s="44"/>
    </row>
    <row r="75" spans="1:8" ht="55.2" x14ac:dyDescent="0.25">
      <c r="A75" s="69" t="s">
        <v>196</v>
      </c>
      <c r="B75" s="77"/>
      <c r="C75" s="47" t="s">
        <v>197</v>
      </c>
      <c r="D75" s="72" t="s">
        <v>198</v>
      </c>
      <c r="E75" s="36">
        <v>0</v>
      </c>
      <c r="F75" s="36">
        <f>ROUND(E75,0)+18299</f>
        <v>18299</v>
      </c>
      <c r="G75" s="35">
        <f>F75-E75</f>
        <v>18299</v>
      </c>
      <c r="H75" s="78" t="s">
        <v>199</v>
      </c>
    </row>
    <row r="76" spans="1:8" ht="41.4" x14ac:dyDescent="0.25">
      <c r="B76" s="1" t="s">
        <v>200</v>
      </c>
      <c r="C76" s="47" t="s">
        <v>201</v>
      </c>
      <c r="D76" s="72" t="s">
        <v>202</v>
      </c>
      <c r="E76" s="36">
        <v>0</v>
      </c>
      <c r="F76" s="36">
        <f t="shared" si="12"/>
        <v>0</v>
      </c>
      <c r="G76" s="35">
        <f t="shared" ref="G76:G124" si="13">F76-E76</f>
        <v>0</v>
      </c>
      <c r="H76" s="46"/>
    </row>
    <row r="77" spans="1:8" ht="28.2" x14ac:dyDescent="0.3">
      <c r="B77" s="45" t="s">
        <v>203</v>
      </c>
      <c r="C77" s="47" t="s">
        <v>204</v>
      </c>
      <c r="D77" s="72" t="s">
        <v>205</v>
      </c>
      <c r="E77" s="36">
        <v>0</v>
      </c>
      <c r="F77" s="36">
        <f t="shared" si="12"/>
        <v>0</v>
      </c>
      <c r="G77" s="35">
        <f t="shared" si="13"/>
        <v>0</v>
      </c>
      <c r="H77" s="79"/>
    </row>
    <row r="78" spans="1:8" ht="28.2" x14ac:dyDescent="0.3">
      <c r="B78" s="45"/>
      <c r="C78" s="47" t="s">
        <v>206</v>
      </c>
      <c r="D78" s="72" t="s">
        <v>207</v>
      </c>
      <c r="E78" s="36">
        <v>0</v>
      </c>
      <c r="F78" s="36">
        <f t="shared" si="12"/>
        <v>0</v>
      </c>
      <c r="G78" s="35">
        <f t="shared" si="13"/>
        <v>0</v>
      </c>
      <c r="H78" s="79"/>
    </row>
    <row r="79" spans="1:8" ht="14.4" x14ac:dyDescent="0.3">
      <c r="B79" s="45"/>
      <c r="C79" s="47" t="s">
        <v>208</v>
      </c>
      <c r="D79" s="72" t="s">
        <v>209</v>
      </c>
      <c r="E79" s="36">
        <v>0</v>
      </c>
      <c r="F79" s="36">
        <f t="shared" si="12"/>
        <v>0</v>
      </c>
      <c r="G79" s="35">
        <f t="shared" si="13"/>
        <v>0</v>
      </c>
      <c r="H79" s="79"/>
    </row>
    <row r="80" spans="1:8" ht="28.2" x14ac:dyDescent="0.3">
      <c r="B80" s="45"/>
      <c r="C80" s="47" t="s">
        <v>210</v>
      </c>
      <c r="D80" s="72" t="s">
        <v>211</v>
      </c>
      <c r="E80" s="36">
        <v>0</v>
      </c>
      <c r="F80" s="36">
        <f t="shared" si="12"/>
        <v>0</v>
      </c>
      <c r="G80" s="35">
        <f t="shared" si="13"/>
        <v>0</v>
      </c>
      <c r="H80" s="79"/>
    </row>
    <row r="81" spans="1:8" ht="14.4" x14ac:dyDescent="0.3">
      <c r="B81" s="80" t="s">
        <v>212</v>
      </c>
      <c r="C81" s="47" t="s">
        <v>213</v>
      </c>
      <c r="D81" s="72" t="s">
        <v>214</v>
      </c>
      <c r="E81" s="36">
        <v>0</v>
      </c>
      <c r="F81" s="36">
        <f t="shared" si="12"/>
        <v>0</v>
      </c>
      <c r="G81" s="35">
        <f t="shared" si="13"/>
        <v>0</v>
      </c>
      <c r="H81" s="79"/>
    </row>
    <row r="82" spans="1:8" ht="14.4" x14ac:dyDescent="0.3">
      <c r="B82" s="45"/>
      <c r="C82" s="47" t="s">
        <v>215</v>
      </c>
      <c r="D82" s="72" t="s">
        <v>216</v>
      </c>
      <c r="E82" s="36">
        <v>150645</v>
      </c>
      <c r="F82" s="36">
        <f t="shared" si="12"/>
        <v>150645</v>
      </c>
      <c r="G82" s="35">
        <f t="shared" si="13"/>
        <v>0</v>
      </c>
      <c r="H82" s="79"/>
    </row>
    <row r="83" spans="1:8" ht="41.4" customHeight="1" x14ac:dyDescent="0.3">
      <c r="B83" s="45"/>
      <c r="C83" s="47" t="s">
        <v>217</v>
      </c>
      <c r="D83" s="72" t="s">
        <v>218</v>
      </c>
      <c r="E83" s="36">
        <v>118650</v>
      </c>
      <c r="F83" s="36">
        <f t="shared" si="12"/>
        <v>118650</v>
      </c>
      <c r="G83" s="35">
        <f t="shared" si="13"/>
        <v>0</v>
      </c>
      <c r="H83" s="79"/>
    </row>
    <row r="84" spans="1:8" ht="14.4" x14ac:dyDescent="0.3">
      <c r="B84" s="45"/>
      <c r="C84" s="47" t="s">
        <v>219</v>
      </c>
      <c r="D84" s="72" t="s">
        <v>220</v>
      </c>
      <c r="E84" s="36">
        <v>390462</v>
      </c>
      <c r="F84" s="36">
        <f t="shared" si="12"/>
        <v>390462</v>
      </c>
      <c r="G84" s="35">
        <f t="shared" si="13"/>
        <v>0</v>
      </c>
      <c r="H84" s="79"/>
    </row>
    <row r="85" spans="1:8" ht="28.2" x14ac:dyDescent="0.3">
      <c r="B85" s="80" t="s">
        <v>212</v>
      </c>
      <c r="C85" s="47" t="s">
        <v>221</v>
      </c>
      <c r="D85" s="72" t="s">
        <v>222</v>
      </c>
      <c r="E85" s="36">
        <v>0</v>
      </c>
      <c r="F85" s="36">
        <f t="shared" si="12"/>
        <v>0</v>
      </c>
      <c r="G85" s="35">
        <f t="shared" si="13"/>
        <v>0</v>
      </c>
      <c r="H85" s="79"/>
    </row>
    <row r="86" spans="1:8" x14ac:dyDescent="0.25">
      <c r="B86" s="69" t="s">
        <v>223</v>
      </c>
      <c r="C86" s="47" t="s">
        <v>224</v>
      </c>
      <c r="D86" s="81" t="s">
        <v>225</v>
      </c>
      <c r="E86" s="36">
        <v>382739</v>
      </c>
      <c r="F86" s="36">
        <f t="shared" si="12"/>
        <v>382739</v>
      </c>
      <c r="G86" s="35">
        <f t="shared" si="13"/>
        <v>0</v>
      </c>
      <c r="H86" s="79"/>
    </row>
    <row r="87" spans="1:8" hidden="1" outlineLevel="1" x14ac:dyDescent="0.25">
      <c r="B87" s="32" t="s">
        <v>226</v>
      </c>
      <c r="C87" s="33" t="s">
        <v>227</v>
      </c>
      <c r="D87" s="82" t="s">
        <v>228</v>
      </c>
      <c r="E87" s="59">
        <v>0</v>
      </c>
      <c r="F87" s="36">
        <f t="shared" si="12"/>
        <v>0</v>
      </c>
      <c r="G87" s="35">
        <f t="shared" si="13"/>
        <v>0</v>
      </c>
      <c r="H87" s="37"/>
    </row>
    <row r="88" spans="1:8" collapsed="1" x14ac:dyDescent="0.25">
      <c r="C88" s="53" t="s">
        <v>229</v>
      </c>
      <c r="D88" s="39" t="s">
        <v>230</v>
      </c>
      <c r="E88" s="41">
        <v>295000</v>
      </c>
      <c r="F88" s="41">
        <f>F89+F90</f>
        <v>295000</v>
      </c>
      <c r="G88" s="40">
        <f t="shared" si="13"/>
        <v>0</v>
      </c>
      <c r="H88" s="42"/>
    </row>
    <row r="89" spans="1:8" ht="27.6" customHeight="1" x14ac:dyDescent="0.25">
      <c r="B89" s="1" t="s">
        <v>231</v>
      </c>
      <c r="C89" s="33" t="s">
        <v>232</v>
      </c>
      <c r="D89" s="34" t="s">
        <v>233</v>
      </c>
      <c r="E89" s="36">
        <v>295000</v>
      </c>
      <c r="F89" s="36">
        <f>ROUND(E89,0)</f>
        <v>295000</v>
      </c>
      <c r="G89" s="35">
        <f t="shared" si="13"/>
        <v>0</v>
      </c>
      <c r="H89" s="52"/>
    </row>
    <row r="90" spans="1:8" ht="16.2" customHeight="1" x14ac:dyDescent="0.25">
      <c r="B90" s="1" t="s">
        <v>234</v>
      </c>
      <c r="C90" s="33" t="s">
        <v>235</v>
      </c>
      <c r="D90" s="34" t="s">
        <v>236</v>
      </c>
      <c r="E90" s="36">
        <v>0</v>
      </c>
      <c r="F90" s="36">
        <f>ROUND(E90,0)</f>
        <v>0</v>
      </c>
      <c r="G90" s="35">
        <f t="shared" si="13"/>
        <v>0</v>
      </c>
      <c r="H90" s="37"/>
    </row>
    <row r="91" spans="1:8" ht="35.4" customHeight="1" x14ac:dyDescent="0.25">
      <c r="C91" s="53" t="s">
        <v>237</v>
      </c>
      <c r="D91" s="39" t="s">
        <v>238</v>
      </c>
      <c r="E91" s="41">
        <v>2153758</v>
      </c>
      <c r="F91" s="41">
        <f t="shared" ref="F91" si="14">F92+F95+F98+F102+F106</f>
        <v>1974755</v>
      </c>
      <c r="G91" s="40">
        <f t="shared" si="13"/>
        <v>-179003</v>
      </c>
      <c r="H91" s="42"/>
    </row>
    <row r="92" spans="1:8" x14ac:dyDescent="0.25">
      <c r="A92" s="1" t="s">
        <v>15</v>
      </c>
      <c r="B92" s="1" t="s">
        <v>239</v>
      </c>
      <c r="C92" s="33" t="s">
        <v>240</v>
      </c>
      <c r="D92" s="34" t="s">
        <v>241</v>
      </c>
      <c r="E92" s="36">
        <v>149000</v>
      </c>
      <c r="F92" s="36">
        <f>SUM(F93:F94)</f>
        <v>149000</v>
      </c>
      <c r="G92" s="35">
        <f t="shared" si="13"/>
        <v>0</v>
      </c>
      <c r="H92" s="37"/>
    </row>
    <row r="93" spans="1:8" ht="14.25" customHeight="1" x14ac:dyDescent="0.25">
      <c r="B93" s="1" t="s">
        <v>242</v>
      </c>
      <c r="C93" s="83" t="s">
        <v>243</v>
      </c>
      <c r="D93" s="84" t="s">
        <v>244</v>
      </c>
      <c r="E93" s="36">
        <v>24000</v>
      </c>
      <c r="F93" s="36">
        <f>ROUND(E93,0)</f>
        <v>24000</v>
      </c>
      <c r="G93" s="35">
        <f t="shared" si="13"/>
        <v>0</v>
      </c>
      <c r="H93" s="43"/>
    </row>
    <row r="94" spans="1:8" ht="15.6" customHeight="1" x14ac:dyDescent="0.25">
      <c r="B94" s="1" t="s">
        <v>245</v>
      </c>
      <c r="C94" s="83" t="s">
        <v>246</v>
      </c>
      <c r="D94" s="84" t="s">
        <v>247</v>
      </c>
      <c r="E94" s="36">
        <v>125000</v>
      </c>
      <c r="F94" s="36">
        <f>ROUND(E94,0)</f>
        <v>125000</v>
      </c>
      <c r="G94" s="35">
        <f t="shared" si="13"/>
        <v>0</v>
      </c>
      <c r="H94" s="43"/>
    </row>
    <row r="95" spans="1:8" ht="13.95" customHeight="1" x14ac:dyDescent="0.25">
      <c r="C95" s="33" t="s">
        <v>248</v>
      </c>
      <c r="D95" s="34" t="s">
        <v>249</v>
      </c>
      <c r="E95" s="36">
        <v>0</v>
      </c>
      <c r="F95" s="36">
        <f>F96+F97</f>
        <v>0</v>
      </c>
      <c r="G95" s="35">
        <f t="shared" si="13"/>
        <v>0</v>
      </c>
      <c r="H95" s="85"/>
    </row>
    <row r="96" spans="1:8" x14ac:dyDescent="0.25">
      <c r="C96" s="83" t="s">
        <v>250</v>
      </c>
      <c r="D96" s="84" t="s">
        <v>251</v>
      </c>
      <c r="E96" s="36">
        <v>0</v>
      </c>
      <c r="F96" s="36"/>
      <c r="G96" s="35">
        <f t="shared" si="13"/>
        <v>0</v>
      </c>
      <c r="H96" s="43"/>
    </row>
    <row r="97" spans="1:8" ht="30" customHeight="1" x14ac:dyDescent="0.25">
      <c r="B97" s="69" t="s">
        <v>252</v>
      </c>
      <c r="C97" s="83" t="s">
        <v>253</v>
      </c>
      <c r="D97" s="72" t="s">
        <v>254</v>
      </c>
      <c r="E97" s="36">
        <v>0</v>
      </c>
      <c r="F97" s="36">
        <f>ROUND(E97,0)</f>
        <v>0</v>
      </c>
      <c r="G97" s="35">
        <f t="shared" si="13"/>
        <v>0</v>
      </c>
      <c r="H97" s="43"/>
    </row>
    <row r="98" spans="1:8" x14ac:dyDescent="0.25">
      <c r="A98" s="1" t="s">
        <v>15</v>
      </c>
      <c r="B98" s="1" t="s">
        <v>255</v>
      </c>
      <c r="C98" s="33" t="s">
        <v>256</v>
      </c>
      <c r="D98" s="34" t="s">
        <v>257</v>
      </c>
      <c r="E98" s="36">
        <v>180000</v>
      </c>
      <c r="F98" s="36">
        <f>SUM(F99:F101)</f>
        <v>180000</v>
      </c>
      <c r="G98" s="35">
        <f t="shared" si="13"/>
        <v>0</v>
      </c>
      <c r="H98" s="37"/>
    </row>
    <row r="99" spans="1:8" ht="15.75" customHeight="1" x14ac:dyDescent="0.25">
      <c r="B99" s="1" t="s">
        <v>258</v>
      </c>
      <c r="C99" s="83" t="s">
        <v>259</v>
      </c>
      <c r="D99" s="84" t="s">
        <v>260</v>
      </c>
      <c r="E99" s="36">
        <v>143000</v>
      </c>
      <c r="F99" s="36">
        <f>ROUND(E99,0)</f>
        <v>143000</v>
      </c>
      <c r="G99" s="35">
        <f t="shared" si="13"/>
        <v>0</v>
      </c>
      <c r="H99" s="52"/>
    </row>
    <row r="100" spans="1:8" x14ac:dyDescent="0.25">
      <c r="B100" s="1" t="s">
        <v>261</v>
      </c>
      <c r="C100" s="83" t="s">
        <v>262</v>
      </c>
      <c r="D100" s="84" t="s">
        <v>263</v>
      </c>
      <c r="E100" s="36">
        <v>36000</v>
      </c>
      <c r="F100" s="36">
        <f>ROUND(E100,0)</f>
        <v>36000</v>
      </c>
      <c r="G100" s="35">
        <f t="shared" si="13"/>
        <v>0</v>
      </c>
      <c r="H100" s="37"/>
    </row>
    <row r="101" spans="1:8" x14ac:dyDescent="0.25">
      <c r="B101" s="1" t="s">
        <v>264</v>
      </c>
      <c r="C101" s="83" t="s">
        <v>265</v>
      </c>
      <c r="D101" s="72" t="s">
        <v>266</v>
      </c>
      <c r="E101" s="36">
        <v>1000</v>
      </c>
      <c r="F101" s="36">
        <f>ROUND(E101,0)</f>
        <v>1000</v>
      </c>
      <c r="G101" s="35">
        <f t="shared" si="13"/>
        <v>0</v>
      </c>
      <c r="H101" s="37"/>
    </row>
    <row r="102" spans="1:8" ht="25.2" customHeight="1" x14ac:dyDescent="0.25">
      <c r="A102" s="1" t="s">
        <v>15</v>
      </c>
      <c r="B102" s="1" t="s">
        <v>267</v>
      </c>
      <c r="C102" s="33" t="s">
        <v>268</v>
      </c>
      <c r="D102" s="34" t="s">
        <v>269</v>
      </c>
      <c r="E102" s="36">
        <v>1712137</v>
      </c>
      <c r="F102" s="36">
        <f t="shared" ref="F102" si="15">SUM(F103:F105)</f>
        <v>1543755</v>
      </c>
      <c r="G102" s="35">
        <f t="shared" si="13"/>
        <v>-168382</v>
      </c>
      <c r="H102" s="52"/>
    </row>
    <row r="103" spans="1:8" ht="16.5" customHeight="1" x14ac:dyDescent="0.25">
      <c r="A103" s="69" t="s">
        <v>270</v>
      </c>
      <c r="C103" s="83" t="s">
        <v>271</v>
      </c>
      <c r="D103" s="84" t="s">
        <v>269</v>
      </c>
      <c r="E103" s="36">
        <v>135600</v>
      </c>
      <c r="F103" s="36">
        <f>ROUND(E103,0)</f>
        <v>135600</v>
      </c>
      <c r="G103" s="35">
        <f t="shared" si="13"/>
        <v>0</v>
      </c>
      <c r="H103" s="37"/>
    </row>
    <row r="104" spans="1:8" ht="16.5" customHeight="1" x14ac:dyDescent="0.25">
      <c r="B104" s="1" t="s">
        <v>272</v>
      </c>
      <c r="C104" s="83" t="s">
        <v>273</v>
      </c>
      <c r="D104" s="84" t="s">
        <v>274</v>
      </c>
      <c r="E104" s="36">
        <v>2500</v>
      </c>
      <c r="F104" s="36">
        <f>ROUND(E104,0)</f>
        <v>2500</v>
      </c>
      <c r="G104" s="35">
        <f t="shared" si="13"/>
        <v>0</v>
      </c>
      <c r="H104" s="37"/>
    </row>
    <row r="105" spans="1:8" ht="28.95" customHeight="1" x14ac:dyDescent="0.25">
      <c r="B105" s="1" t="s">
        <v>275</v>
      </c>
      <c r="C105" s="83" t="s">
        <v>276</v>
      </c>
      <c r="D105" s="84" t="s">
        <v>277</v>
      </c>
      <c r="E105" s="36">
        <v>1574037</v>
      </c>
      <c r="F105" s="36">
        <f>ROUND(E105,0)-168382</f>
        <v>1405655</v>
      </c>
      <c r="G105" s="35">
        <f t="shared" si="13"/>
        <v>-168382</v>
      </c>
      <c r="H105" s="74" t="s">
        <v>1012</v>
      </c>
    </row>
    <row r="106" spans="1:8" ht="34.799999999999997" customHeight="1" thickBot="1" x14ac:dyDescent="0.35">
      <c r="A106" s="1" t="s">
        <v>15</v>
      </c>
      <c r="B106" s="45" t="s">
        <v>278</v>
      </c>
      <c r="C106" s="33" t="s">
        <v>279</v>
      </c>
      <c r="D106" s="34" t="s">
        <v>280</v>
      </c>
      <c r="E106" s="36">
        <v>112621</v>
      </c>
      <c r="F106" s="36">
        <f>ROUND(E106,0)-10621</f>
        <v>102000</v>
      </c>
      <c r="G106" s="35">
        <f t="shared" si="13"/>
        <v>-10621</v>
      </c>
      <c r="H106" s="52" t="s">
        <v>281</v>
      </c>
    </row>
    <row r="107" spans="1:8" ht="15" customHeight="1" thickBot="1" x14ac:dyDescent="0.3">
      <c r="C107" s="86"/>
      <c r="D107" s="87" t="s">
        <v>282</v>
      </c>
      <c r="E107" s="89">
        <v>50914202.609999999</v>
      </c>
      <c r="F107" s="89">
        <f t="shared" ref="F107" si="16">F7+F10+F13+F16+F19+F22+F34+F37+F41+F42+F88+F91</f>
        <v>51057834</v>
      </c>
      <c r="G107" s="88">
        <f t="shared" si="13"/>
        <v>143631.3900000006</v>
      </c>
      <c r="H107" s="90"/>
    </row>
    <row r="108" spans="1:8" ht="14.4" thickBot="1" x14ac:dyDescent="0.3">
      <c r="C108" s="91" t="s">
        <v>283</v>
      </c>
      <c r="D108" s="92" t="s">
        <v>284</v>
      </c>
      <c r="E108" s="94">
        <v>9016614.0299999993</v>
      </c>
      <c r="F108" s="94">
        <f>SUM(F109:F110)</f>
        <v>9755067</v>
      </c>
      <c r="G108" s="93">
        <f t="shared" si="13"/>
        <v>738452.97000000067</v>
      </c>
      <c r="H108" s="95"/>
    </row>
    <row r="109" spans="1:8" ht="138.6" customHeight="1" x14ac:dyDescent="0.25">
      <c r="C109" s="33" t="s">
        <v>285</v>
      </c>
      <c r="D109" s="34" t="s">
        <v>286</v>
      </c>
      <c r="E109" s="36">
        <v>2707710.83</v>
      </c>
      <c r="F109" s="36">
        <f>ROUND(E109,0)+104970+230-1+750-1034+19357+1832+41+1093+13000+168382+10621+3808+904+17685+76439+38150+31285</f>
        <v>3195223</v>
      </c>
      <c r="G109" s="35">
        <f t="shared" si="13"/>
        <v>487512.16999999993</v>
      </c>
      <c r="H109" s="52" t="s">
        <v>287</v>
      </c>
    </row>
    <row r="110" spans="1:8" x14ac:dyDescent="0.25">
      <c r="C110" s="33" t="s">
        <v>288</v>
      </c>
      <c r="D110" s="34" t="s">
        <v>289</v>
      </c>
      <c r="E110" s="36">
        <v>6308903</v>
      </c>
      <c r="F110" s="36">
        <f>ROUND(E110,0)+3445956+208-F109</f>
        <v>6559844</v>
      </c>
      <c r="G110" s="35">
        <f t="shared" si="13"/>
        <v>250941</v>
      </c>
      <c r="H110" s="37"/>
    </row>
    <row r="111" spans="1:8" x14ac:dyDescent="0.25">
      <c r="C111" s="53" t="s">
        <v>290</v>
      </c>
      <c r="D111" s="96" t="s">
        <v>291</v>
      </c>
      <c r="E111" s="97">
        <v>1873161</v>
      </c>
      <c r="F111" s="97">
        <f>SUM(F112:F123)</f>
        <v>1917782</v>
      </c>
      <c r="G111" s="40">
        <f t="shared" si="13"/>
        <v>44621</v>
      </c>
      <c r="H111" s="42"/>
    </row>
    <row r="112" spans="1:8" ht="41.4" hidden="1" outlineLevel="1" x14ac:dyDescent="0.25">
      <c r="A112" s="69"/>
      <c r="B112" s="69"/>
      <c r="C112" s="83" t="s">
        <v>292</v>
      </c>
      <c r="D112" s="98" t="s">
        <v>218</v>
      </c>
      <c r="E112" s="36">
        <v>0</v>
      </c>
      <c r="F112" s="36">
        <f t="shared" ref="F112:F123" si="17">ROUND(E112,0)</f>
        <v>0</v>
      </c>
      <c r="G112" s="99">
        <f t="shared" si="13"/>
        <v>0</v>
      </c>
      <c r="H112" s="46"/>
    </row>
    <row r="113" spans="1:8" hidden="1" outlineLevel="1" x14ac:dyDescent="0.25">
      <c r="A113" s="69"/>
      <c r="B113" s="69"/>
      <c r="C113" s="83" t="s">
        <v>293</v>
      </c>
      <c r="D113" s="98" t="s">
        <v>220</v>
      </c>
      <c r="E113" s="36">
        <v>0</v>
      </c>
      <c r="F113" s="36">
        <f t="shared" si="17"/>
        <v>0</v>
      </c>
      <c r="G113" s="99">
        <f t="shared" si="13"/>
        <v>0</v>
      </c>
      <c r="H113" s="46"/>
    </row>
    <row r="114" spans="1:8" ht="26.4" customHeight="1" collapsed="1" x14ac:dyDescent="0.25">
      <c r="A114" s="69"/>
      <c r="B114" s="69"/>
      <c r="C114" s="83" t="s">
        <v>292</v>
      </c>
      <c r="D114" s="98" t="s">
        <v>294</v>
      </c>
      <c r="E114" s="36">
        <v>541742</v>
      </c>
      <c r="F114" s="36">
        <f t="shared" si="17"/>
        <v>541742</v>
      </c>
      <c r="G114" s="99">
        <f t="shared" si="13"/>
        <v>0</v>
      </c>
      <c r="H114" s="46"/>
    </row>
    <row r="115" spans="1:8" ht="27.6" x14ac:dyDescent="0.25">
      <c r="A115" s="69" t="s">
        <v>175</v>
      </c>
      <c r="B115" s="69" t="s">
        <v>295</v>
      </c>
      <c r="C115" s="83" t="s">
        <v>293</v>
      </c>
      <c r="D115" s="98" t="s">
        <v>296</v>
      </c>
      <c r="E115" s="36">
        <v>353405</v>
      </c>
      <c r="F115" s="36">
        <f>ROUND(E115,0)-3420</f>
        <v>349985</v>
      </c>
      <c r="G115" s="99">
        <f t="shared" si="13"/>
        <v>-3420</v>
      </c>
      <c r="H115" s="46" t="s">
        <v>297</v>
      </c>
    </row>
    <row r="116" spans="1:8" ht="16.8" hidden="1" customHeight="1" outlineLevel="1" x14ac:dyDescent="0.25">
      <c r="A116" s="69"/>
      <c r="B116" s="69"/>
      <c r="C116" s="83" t="s">
        <v>298</v>
      </c>
      <c r="D116" s="101"/>
      <c r="E116" s="36">
        <v>0</v>
      </c>
      <c r="F116" s="36">
        <f t="shared" si="17"/>
        <v>0</v>
      </c>
      <c r="G116" s="99">
        <f t="shared" si="13"/>
        <v>0</v>
      </c>
      <c r="H116" s="44"/>
    </row>
    <row r="117" spans="1:8" hidden="1" outlineLevel="1" x14ac:dyDescent="0.25">
      <c r="B117" s="69"/>
      <c r="C117" s="83" t="s">
        <v>299</v>
      </c>
      <c r="D117" s="102" t="s">
        <v>300</v>
      </c>
      <c r="E117" s="100">
        <v>0</v>
      </c>
      <c r="F117" s="100">
        <f t="shared" si="17"/>
        <v>0</v>
      </c>
      <c r="G117" s="103">
        <f t="shared" si="13"/>
        <v>0</v>
      </c>
      <c r="H117" s="104"/>
    </row>
    <row r="118" spans="1:8" ht="45" customHeight="1" collapsed="1" x14ac:dyDescent="0.25">
      <c r="B118" s="69"/>
      <c r="C118" s="83" t="s">
        <v>301</v>
      </c>
      <c r="D118" s="105" t="s">
        <v>302</v>
      </c>
      <c r="E118" s="106">
        <v>30982</v>
      </c>
      <c r="F118" s="100">
        <f>ROUND(E118,0)+48041</f>
        <v>79023</v>
      </c>
      <c r="G118" s="103">
        <f t="shared" si="13"/>
        <v>48041</v>
      </c>
      <c r="H118" s="107" t="s">
        <v>303</v>
      </c>
    </row>
    <row r="119" spans="1:8" ht="58.8" customHeight="1" x14ac:dyDescent="0.25">
      <c r="B119" s="69"/>
      <c r="C119" s="83" t="s">
        <v>304</v>
      </c>
      <c r="D119" s="108" t="s">
        <v>305</v>
      </c>
      <c r="E119" s="109">
        <v>783000</v>
      </c>
      <c r="F119" s="36">
        <f t="shared" si="17"/>
        <v>783000</v>
      </c>
      <c r="G119" s="103">
        <f t="shared" si="13"/>
        <v>0</v>
      </c>
      <c r="H119" s="44"/>
    </row>
    <row r="120" spans="1:8" ht="16.2" customHeight="1" x14ac:dyDescent="0.25">
      <c r="B120" s="69" t="s">
        <v>223</v>
      </c>
      <c r="C120" s="83" t="s">
        <v>298</v>
      </c>
      <c r="D120" s="108" t="s">
        <v>225</v>
      </c>
      <c r="E120" s="109">
        <v>164032</v>
      </c>
      <c r="F120" s="36">
        <f t="shared" si="17"/>
        <v>164032</v>
      </c>
      <c r="G120" s="35">
        <f t="shared" si="13"/>
        <v>0</v>
      </c>
      <c r="H120" s="110"/>
    </row>
    <row r="121" spans="1:8" ht="18.600000000000001" hidden="1" customHeight="1" outlineLevel="1" x14ac:dyDescent="0.25">
      <c r="B121" s="69"/>
      <c r="C121" s="83" t="s">
        <v>306</v>
      </c>
      <c r="D121" s="111" t="s">
        <v>307</v>
      </c>
      <c r="E121" s="109">
        <v>0</v>
      </c>
      <c r="F121" s="197">
        <f t="shared" si="17"/>
        <v>0</v>
      </c>
      <c r="G121" s="112">
        <f t="shared" si="13"/>
        <v>0</v>
      </c>
      <c r="H121" s="104"/>
    </row>
    <row r="122" spans="1:8" ht="27.6" hidden="1" customHeight="1" outlineLevel="1" thickBot="1" x14ac:dyDescent="0.3">
      <c r="B122" s="69"/>
      <c r="C122" s="113" t="s">
        <v>308</v>
      </c>
      <c r="D122" s="114" t="s">
        <v>309</v>
      </c>
      <c r="E122" s="109">
        <v>0</v>
      </c>
      <c r="F122" s="100">
        <f t="shared" si="17"/>
        <v>0</v>
      </c>
      <c r="G122" s="103">
        <f t="shared" si="13"/>
        <v>0</v>
      </c>
      <c r="H122" s="104"/>
    </row>
    <row r="123" spans="1:8" ht="28.95" hidden="1" customHeight="1" outlineLevel="1" thickBot="1" x14ac:dyDescent="0.3">
      <c r="B123" s="69"/>
      <c r="C123" s="83" t="s">
        <v>310</v>
      </c>
      <c r="D123" s="115" t="s">
        <v>311</v>
      </c>
      <c r="E123" s="100">
        <v>0</v>
      </c>
      <c r="F123" s="100">
        <f t="shared" si="17"/>
        <v>0</v>
      </c>
      <c r="G123" s="103">
        <f t="shared" si="13"/>
        <v>0</v>
      </c>
      <c r="H123" s="104"/>
    </row>
    <row r="124" spans="1:8" ht="14.4" collapsed="1" thickBot="1" x14ac:dyDescent="0.3">
      <c r="C124" s="116"/>
      <c r="D124" s="117" t="s">
        <v>312</v>
      </c>
      <c r="E124" s="94">
        <v>61803977.640000001</v>
      </c>
      <c r="F124" s="94">
        <f t="shared" ref="F124" si="18">F107+F108+F111</f>
        <v>62730683</v>
      </c>
      <c r="G124" s="93">
        <f t="shared" si="13"/>
        <v>926705.3599999994</v>
      </c>
      <c r="H124" s="118"/>
    </row>
    <row r="126" spans="1:8" x14ac:dyDescent="0.25">
      <c r="G126" s="8"/>
    </row>
    <row r="127" spans="1:8" ht="20.399999999999999" x14ac:dyDescent="0.35">
      <c r="C127" s="318" t="s">
        <v>313</v>
      </c>
      <c r="D127" s="318"/>
      <c r="G127" s="8"/>
    </row>
    <row r="128" spans="1:8" ht="15" thickBot="1" x14ac:dyDescent="0.35">
      <c r="C128" s="319"/>
      <c r="D128" s="319"/>
      <c r="G128" s="120"/>
    </row>
    <row r="129" spans="2:8" ht="57" customHeight="1" thickBot="1" x14ac:dyDescent="0.3">
      <c r="C129" s="17" t="s">
        <v>3</v>
      </c>
      <c r="D129" s="18" t="s">
        <v>4</v>
      </c>
      <c r="E129" s="20" t="s">
        <v>6</v>
      </c>
      <c r="F129" s="20" t="s">
        <v>314</v>
      </c>
      <c r="G129" s="19" t="s">
        <v>315</v>
      </c>
      <c r="H129" s="21" t="s">
        <v>316</v>
      </c>
    </row>
    <row r="130" spans="2:8" x14ac:dyDescent="0.25">
      <c r="C130" s="121" t="s">
        <v>13</v>
      </c>
      <c r="D130" s="122" t="s">
        <v>317</v>
      </c>
      <c r="E130" s="124">
        <v>11584924</v>
      </c>
      <c r="F130" s="124">
        <f t="shared" ref="F130" si="19">SUM(F131:F139)</f>
        <v>11593156</v>
      </c>
      <c r="G130" s="123">
        <f t="shared" ref="G130:G193" si="20">F130-E130</f>
        <v>8232</v>
      </c>
      <c r="H130" s="125"/>
    </row>
    <row r="131" spans="2:8" ht="31.5" customHeight="1" x14ac:dyDescent="0.25">
      <c r="B131" s="69" t="s">
        <v>318</v>
      </c>
      <c r="C131" s="126" t="s">
        <v>17</v>
      </c>
      <c r="D131" s="127" t="s">
        <v>319</v>
      </c>
      <c r="E131" s="75">
        <v>1983487</v>
      </c>
      <c r="F131" s="75">
        <f>ROUND(E131,0)</f>
        <v>1983487</v>
      </c>
      <c r="G131" s="56">
        <f t="shared" si="20"/>
        <v>0</v>
      </c>
      <c r="H131" s="76"/>
    </row>
    <row r="132" spans="2:8" x14ac:dyDescent="0.25">
      <c r="B132" s="69" t="s">
        <v>320</v>
      </c>
      <c r="C132" s="126" t="s">
        <v>321</v>
      </c>
      <c r="D132" s="127" t="s">
        <v>322</v>
      </c>
      <c r="E132" s="75">
        <v>376850</v>
      </c>
      <c r="F132" s="75">
        <f t="shared" ref="F132:F141" si="21">ROUND(E132,0)</f>
        <v>376850</v>
      </c>
      <c r="G132" s="56">
        <f t="shared" si="20"/>
        <v>0</v>
      </c>
      <c r="H132" s="128"/>
    </row>
    <row r="133" spans="2:8" ht="13.2" customHeight="1" x14ac:dyDescent="0.25">
      <c r="B133" s="69" t="s">
        <v>323</v>
      </c>
      <c r="C133" s="126" t="s">
        <v>324</v>
      </c>
      <c r="D133" s="127" t="s">
        <v>325</v>
      </c>
      <c r="E133" s="75">
        <v>62512</v>
      </c>
      <c r="F133" s="75">
        <f>ROUND(E133,0)</f>
        <v>62512</v>
      </c>
      <c r="G133" s="56">
        <f t="shared" si="20"/>
        <v>0</v>
      </c>
      <c r="H133" s="76"/>
    </row>
    <row r="134" spans="2:8" ht="14.4" customHeight="1" x14ac:dyDescent="0.25">
      <c r="B134" s="69" t="s">
        <v>326</v>
      </c>
      <c r="C134" s="126" t="s">
        <v>327</v>
      </c>
      <c r="D134" s="127" t="s">
        <v>328</v>
      </c>
      <c r="E134" s="75">
        <v>45277</v>
      </c>
      <c r="F134" s="75">
        <f t="shared" si="21"/>
        <v>45277</v>
      </c>
      <c r="G134" s="56">
        <f t="shared" si="20"/>
        <v>0</v>
      </c>
      <c r="H134" s="76"/>
    </row>
    <row r="135" spans="2:8" ht="47.4" customHeight="1" x14ac:dyDescent="0.25">
      <c r="B135" s="69" t="s">
        <v>329</v>
      </c>
      <c r="C135" s="126" t="s">
        <v>330</v>
      </c>
      <c r="D135" s="127" t="s">
        <v>331</v>
      </c>
      <c r="E135" s="75">
        <v>8040</v>
      </c>
      <c r="F135" s="75">
        <f>ROUND(E135,0)+8232</f>
        <v>16272</v>
      </c>
      <c r="G135" s="56">
        <f t="shared" si="20"/>
        <v>8232</v>
      </c>
      <c r="H135" s="74" t="s">
        <v>172</v>
      </c>
    </row>
    <row r="136" spans="2:8" ht="29.4" customHeight="1" x14ac:dyDescent="0.25">
      <c r="B136" s="69" t="s">
        <v>332</v>
      </c>
      <c r="C136" s="126" t="s">
        <v>333</v>
      </c>
      <c r="D136" s="127" t="s">
        <v>334</v>
      </c>
      <c r="E136" s="75">
        <v>53045</v>
      </c>
      <c r="F136" s="75">
        <f t="shared" si="21"/>
        <v>53045</v>
      </c>
      <c r="G136" s="56">
        <f t="shared" si="20"/>
        <v>0</v>
      </c>
      <c r="H136" s="128"/>
    </row>
    <row r="137" spans="2:8" ht="15.6" customHeight="1" x14ac:dyDescent="0.25">
      <c r="B137" s="69" t="s">
        <v>318</v>
      </c>
      <c r="C137" s="126" t="s">
        <v>335</v>
      </c>
      <c r="D137" s="127" t="s">
        <v>336</v>
      </c>
      <c r="E137" s="75">
        <v>2229302</v>
      </c>
      <c r="F137" s="75">
        <f t="shared" si="21"/>
        <v>2229302</v>
      </c>
      <c r="G137" s="56">
        <f t="shared" si="20"/>
        <v>0</v>
      </c>
      <c r="H137" s="76"/>
    </row>
    <row r="138" spans="2:8" x14ac:dyDescent="0.25">
      <c r="B138" s="69" t="s">
        <v>318</v>
      </c>
      <c r="C138" s="126" t="s">
        <v>337</v>
      </c>
      <c r="D138" s="127" t="s">
        <v>338</v>
      </c>
      <c r="E138" s="75">
        <v>6416104</v>
      </c>
      <c r="F138" s="75">
        <f t="shared" si="21"/>
        <v>6416104</v>
      </c>
      <c r="G138" s="56">
        <f t="shared" si="20"/>
        <v>0</v>
      </c>
      <c r="H138" s="128"/>
    </row>
    <row r="139" spans="2:8" ht="42.6" customHeight="1" x14ac:dyDescent="0.25">
      <c r="B139" s="69" t="s">
        <v>339</v>
      </c>
      <c r="C139" s="126" t="s">
        <v>340</v>
      </c>
      <c r="D139" s="127" t="s">
        <v>341</v>
      </c>
      <c r="E139" s="75">
        <v>410307</v>
      </c>
      <c r="F139" s="75">
        <f>ROUND(E139,0)</f>
        <v>410307</v>
      </c>
      <c r="G139" s="56">
        <f t="shared" si="20"/>
        <v>0</v>
      </c>
      <c r="H139" s="76"/>
    </row>
    <row r="140" spans="2:8" x14ac:dyDescent="0.25">
      <c r="C140" s="129" t="s">
        <v>22</v>
      </c>
      <c r="D140" s="130" t="s">
        <v>342</v>
      </c>
      <c r="E140" s="41">
        <v>0</v>
      </c>
      <c r="F140" s="41">
        <f t="shared" si="21"/>
        <v>0</v>
      </c>
      <c r="G140" s="40">
        <f t="shared" si="20"/>
        <v>0</v>
      </c>
      <c r="H140" s="42"/>
    </row>
    <row r="141" spans="2:8" ht="13.95" customHeight="1" x14ac:dyDescent="0.25">
      <c r="B141" s="69" t="s">
        <v>343</v>
      </c>
      <c r="C141" s="126" t="s">
        <v>25</v>
      </c>
      <c r="D141" s="127" t="s">
        <v>344</v>
      </c>
      <c r="E141" s="75">
        <v>0</v>
      </c>
      <c r="F141" s="75">
        <f t="shared" si="21"/>
        <v>0</v>
      </c>
      <c r="G141" s="56">
        <f t="shared" si="20"/>
        <v>0</v>
      </c>
      <c r="H141" s="128"/>
    </row>
    <row r="142" spans="2:8" ht="29.4" customHeight="1" collapsed="1" x14ac:dyDescent="0.25">
      <c r="B142" s="69" t="s">
        <v>345</v>
      </c>
      <c r="C142" s="129" t="s">
        <v>30</v>
      </c>
      <c r="D142" s="130" t="s">
        <v>346</v>
      </c>
      <c r="E142" s="41">
        <v>1032367.7769225</v>
      </c>
      <c r="F142" s="41">
        <f>ROUND(E142,0)+645</f>
        <v>1033013</v>
      </c>
      <c r="G142" s="40">
        <f t="shared" si="20"/>
        <v>645.22307750000618</v>
      </c>
      <c r="H142" s="50" t="s">
        <v>347</v>
      </c>
    </row>
    <row r="143" spans="2:8" s="131" customFormat="1" ht="16.95" customHeight="1" x14ac:dyDescent="0.25">
      <c r="C143" s="129" t="s">
        <v>38</v>
      </c>
      <c r="D143" s="130" t="s">
        <v>348</v>
      </c>
      <c r="E143" s="41">
        <v>521949.07229136</v>
      </c>
      <c r="F143" s="41">
        <f t="shared" ref="F143" si="22">F144+F147</f>
        <v>583582</v>
      </c>
      <c r="G143" s="40">
        <f t="shared" si="20"/>
        <v>61632.927708639996</v>
      </c>
      <c r="H143" s="50"/>
    </row>
    <row r="144" spans="2:8" x14ac:dyDescent="0.25">
      <c r="B144" s="69" t="s">
        <v>349</v>
      </c>
      <c r="C144" s="126" t="s">
        <v>41</v>
      </c>
      <c r="D144" s="127" t="s">
        <v>350</v>
      </c>
      <c r="E144" s="75">
        <v>179686.07229136</v>
      </c>
      <c r="F144" s="75">
        <f>SUM(F145:F146)</f>
        <v>179686</v>
      </c>
      <c r="G144" s="56">
        <f t="shared" ref="G144" si="23">SUM(G145:G146)</f>
        <v>-7.2291360003873706E-2</v>
      </c>
      <c r="H144" s="56"/>
    </row>
    <row r="145" spans="2:8" x14ac:dyDescent="0.25">
      <c r="B145" s="69" t="s">
        <v>349</v>
      </c>
      <c r="C145" s="132" t="s">
        <v>351</v>
      </c>
      <c r="D145" s="133" t="s">
        <v>352</v>
      </c>
      <c r="E145" s="36">
        <v>150459.07229136</v>
      </c>
      <c r="F145" s="36">
        <f>ROUND(E145,0)</f>
        <v>150459</v>
      </c>
      <c r="G145" s="35">
        <f t="shared" si="20"/>
        <v>-7.2291360003873706E-2</v>
      </c>
      <c r="H145" s="37"/>
    </row>
    <row r="146" spans="2:8" x14ac:dyDescent="0.25">
      <c r="B146" s="69"/>
      <c r="C146" s="132" t="s">
        <v>353</v>
      </c>
      <c r="D146" s="133" t="s">
        <v>354</v>
      </c>
      <c r="E146" s="36">
        <v>29227</v>
      </c>
      <c r="F146" s="36">
        <f>ROUND(E146,0)</f>
        <v>29227</v>
      </c>
      <c r="G146" s="35">
        <f t="shared" si="20"/>
        <v>0</v>
      </c>
      <c r="H146" s="37"/>
    </row>
    <row r="147" spans="2:8" ht="27.6" x14ac:dyDescent="0.25">
      <c r="B147" s="69" t="s">
        <v>355</v>
      </c>
      <c r="C147" s="126" t="s">
        <v>43</v>
      </c>
      <c r="D147" s="127" t="s">
        <v>356</v>
      </c>
      <c r="E147" s="75">
        <v>342263</v>
      </c>
      <c r="F147" s="75">
        <f>ROUND(E147,0)+1093+59292+1248</f>
        <v>403896</v>
      </c>
      <c r="G147" s="56">
        <f t="shared" si="20"/>
        <v>61633</v>
      </c>
      <c r="H147" s="76" t="s">
        <v>357</v>
      </c>
    </row>
    <row r="148" spans="2:8" x14ac:dyDescent="0.25">
      <c r="C148" s="129" t="s">
        <v>44</v>
      </c>
      <c r="D148" s="130" t="s">
        <v>358</v>
      </c>
      <c r="E148" s="41">
        <v>70000</v>
      </c>
      <c r="F148" s="41">
        <f t="shared" ref="F148" si="24">F149</f>
        <v>174970</v>
      </c>
      <c r="G148" s="40">
        <f t="shared" si="20"/>
        <v>104970</v>
      </c>
      <c r="H148" s="42"/>
    </row>
    <row r="149" spans="2:8" ht="16.2" customHeight="1" x14ac:dyDescent="0.25">
      <c r="B149" s="69" t="s">
        <v>359</v>
      </c>
      <c r="C149" s="126" t="s">
        <v>47</v>
      </c>
      <c r="D149" s="127" t="s">
        <v>360</v>
      </c>
      <c r="E149" s="75">
        <v>70000</v>
      </c>
      <c r="F149" s="75">
        <f>ROUND(E149,0)+104970</f>
        <v>174970</v>
      </c>
      <c r="G149" s="56">
        <f t="shared" si="20"/>
        <v>104970</v>
      </c>
      <c r="H149" s="76" t="s">
        <v>0</v>
      </c>
    </row>
    <row r="150" spans="2:8" ht="27.6" x14ac:dyDescent="0.25">
      <c r="C150" s="129" t="s">
        <v>52</v>
      </c>
      <c r="D150" s="130" t="s">
        <v>361</v>
      </c>
      <c r="E150" s="41">
        <v>14182678.841957785</v>
      </c>
      <c r="F150" s="41">
        <f t="shared" ref="F150" si="25">F151+F152+F153+F154+F172</f>
        <v>14286414</v>
      </c>
      <c r="G150" s="40">
        <f>G152+G153+G154+G172</f>
        <v>103735.15804221481</v>
      </c>
      <c r="H150" s="40"/>
    </row>
    <row r="151" spans="2:8" ht="15.6" customHeight="1" x14ac:dyDescent="0.25">
      <c r="B151" s="69" t="s">
        <v>343</v>
      </c>
      <c r="C151" s="126" t="s">
        <v>55</v>
      </c>
      <c r="D151" s="134" t="s">
        <v>344</v>
      </c>
      <c r="E151" s="136">
        <v>70000</v>
      </c>
      <c r="F151" s="75">
        <f>ROUND(E151,0)</f>
        <v>70000</v>
      </c>
      <c r="G151" s="56">
        <f>F151-E151</f>
        <v>0</v>
      </c>
      <c r="H151" s="128"/>
    </row>
    <row r="152" spans="2:8" ht="19.2" customHeight="1" x14ac:dyDescent="0.25">
      <c r="B152" s="69" t="s">
        <v>362</v>
      </c>
      <c r="C152" s="126" t="s">
        <v>67</v>
      </c>
      <c r="D152" s="134" t="s">
        <v>363</v>
      </c>
      <c r="E152" s="136">
        <v>330452</v>
      </c>
      <c r="F152" s="136">
        <f>ROUND(E152,0)</f>
        <v>330452</v>
      </c>
      <c r="G152" s="135">
        <f t="shared" si="20"/>
        <v>0</v>
      </c>
      <c r="H152" s="76"/>
    </row>
    <row r="153" spans="2:8" ht="19.2" customHeight="1" x14ac:dyDescent="0.25">
      <c r="B153" s="69" t="s">
        <v>364</v>
      </c>
      <c r="C153" s="126" t="s">
        <v>365</v>
      </c>
      <c r="D153" s="134" t="s">
        <v>366</v>
      </c>
      <c r="E153" s="136">
        <v>393055</v>
      </c>
      <c r="F153" s="136">
        <f>ROUND(E153,0)</f>
        <v>393055</v>
      </c>
      <c r="G153" s="135">
        <f t="shared" si="20"/>
        <v>0</v>
      </c>
      <c r="H153" s="76"/>
    </row>
    <row r="154" spans="2:8" x14ac:dyDescent="0.25">
      <c r="C154" s="126" t="s">
        <v>367</v>
      </c>
      <c r="D154" s="134" t="s">
        <v>368</v>
      </c>
      <c r="E154" s="136">
        <v>1839370</v>
      </c>
      <c r="F154" s="136">
        <f t="shared" ref="F154:G154" si="26">SUM(F155:F171)</f>
        <v>1839370</v>
      </c>
      <c r="G154" s="135">
        <f t="shared" si="26"/>
        <v>0</v>
      </c>
      <c r="H154" s="135"/>
    </row>
    <row r="155" spans="2:8" ht="19.8" customHeight="1" x14ac:dyDescent="0.25">
      <c r="B155" s="69" t="s">
        <v>168</v>
      </c>
      <c r="C155" s="132" t="s">
        <v>369</v>
      </c>
      <c r="D155" s="108" t="s">
        <v>370</v>
      </c>
      <c r="E155" s="36">
        <v>696938</v>
      </c>
      <c r="F155" s="36">
        <f>ROUND(E155,0)</f>
        <v>696938</v>
      </c>
      <c r="G155" s="35">
        <f t="shared" si="20"/>
        <v>0</v>
      </c>
      <c r="H155" s="137"/>
    </row>
    <row r="156" spans="2:8" ht="18.600000000000001" customHeight="1" x14ac:dyDescent="0.25">
      <c r="B156" s="69" t="s">
        <v>371</v>
      </c>
      <c r="C156" s="132" t="s">
        <v>372</v>
      </c>
      <c r="D156" s="108" t="s">
        <v>373</v>
      </c>
      <c r="E156" s="36">
        <v>40000</v>
      </c>
      <c r="F156" s="36">
        <f t="shared" ref="F156:F171" si="27">ROUND(E156,0)</f>
        <v>40000</v>
      </c>
      <c r="G156" s="35">
        <f t="shared" si="20"/>
        <v>0</v>
      </c>
      <c r="H156" s="137"/>
    </row>
    <row r="157" spans="2:8" ht="16.5" customHeight="1" x14ac:dyDescent="0.25">
      <c r="B157" s="69" t="s">
        <v>371</v>
      </c>
      <c r="C157" s="132" t="s">
        <v>374</v>
      </c>
      <c r="D157" s="108" t="s">
        <v>375</v>
      </c>
      <c r="E157" s="36">
        <v>15094</v>
      </c>
      <c r="F157" s="36">
        <f t="shared" si="27"/>
        <v>15094</v>
      </c>
      <c r="G157" s="35">
        <f t="shared" si="20"/>
        <v>0</v>
      </c>
      <c r="H157" s="137"/>
    </row>
    <row r="158" spans="2:8" ht="28.2" customHeight="1" x14ac:dyDescent="0.25">
      <c r="B158" s="69" t="s">
        <v>196</v>
      </c>
      <c r="C158" s="132" t="s">
        <v>376</v>
      </c>
      <c r="D158" s="72" t="s">
        <v>377</v>
      </c>
      <c r="E158" s="36">
        <v>50458</v>
      </c>
      <c r="F158" s="36">
        <f>ROUND(E158,0)</f>
        <v>50458</v>
      </c>
      <c r="G158" s="35">
        <f t="shared" si="20"/>
        <v>0</v>
      </c>
      <c r="H158" s="137"/>
    </row>
    <row r="159" spans="2:8" ht="32.4" customHeight="1" x14ac:dyDescent="0.25">
      <c r="B159" s="69" t="s">
        <v>378</v>
      </c>
      <c r="C159" s="132" t="s">
        <v>379</v>
      </c>
      <c r="D159" s="139" t="s">
        <v>380</v>
      </c>
      <c r="E159" s="36">
        <v>145650</v>
      </c>
      <c r="F159" s="36">
        <f t="shared" si="27"/>
        <v>145650</v>
      </c>
      <c r="G159" s="35">
        <f t="shared" si="20"/>
        <v>0</v>
      </c>
      <c r="H159" s="137"/>
    </row>
    <row r="160" spans="2:8" ht="15.75" customHeight="1" x14ac:dyDescent="0.25">
      <c r="B160" s="69" t="s">
        <v>381</v>
      </c>
      <c r="C160" s="132" t="s">
        <v>382</v>
      </c>
      <c r="D160" s="139" t="s">
        <v>220</v>
      </c>
      <c r="E160" s="36">
        <v>397337</v>
      </c>
      <c r="F160" s="36">
        <f t="shared" si="27"/>
        <v>397337</v>
      </c>
      <c r="G160" s="35">
        <f t="shared" si="20"/>
        <v>0</v>
      </c>
      <c r="H160" s="137"/>
    </row>
    <row r="161" spans="2:8" ht="16.8" customHeight="1" x14ac:dyDescent="0.25">
      <c r="B161" s="140" t="s">
        <v>383</v>
      </c>
      <c r="C161" s="132" t="s">
        <v>384</v>
      </c>
      <c r="D161" s="139" t="s">
        <v>181</v>
      </c>
      <c r="E161" s="36">
        <v>207440</v>
      </c>
      <c r="F161" s="36">
        <f t="shared" si="27"/>
        <v>207440</v>
      </c>
      <c r="G161" s="35">
        <f t="shared" si="20"/>
        <v>0</v>
      </c>
      <c r="H161" s="52"/>
    </row>
    <row r="162" spans="2:8" ht="30" customHeight="1" x14ac:dyDescent="0.25">
      <c r="B162" s="140"/>
      <c r="C162" s="132" t="s">
        <v>385</v>
      </c>
      <c r="D162" s="139" t="s">
        <v>184</v>
      </c>
      <c r="E162" s="36">
        <v>14067</v>
      </c>
      <c r="F162" s="36">
        <f t="shared" si="27"/>
        <v>14067</v>
      </c>
      <c r="G162" s="35">
        <f t="shared" si="20"/>
        <v>0</v>
      </c>
      <c r="H162" s="52"/>
    </row>
    <row r="163" spans="2:8" ht="30" customHeight="1" x14ac:dyDescent="0.25">
      <c r="B163" s="140"/>
      <c r="C163" s="132" t="s">
        <v>386</v>
      </c>
      <c r="D163" s="139" t="s">
        <v>186</v>
      </c>
      <c r="E163" s="36">
        <v>7900</v>
      </c>
      <c r="F163" s="36">
        <f t="shared" si="27"/>
        <v>7900</v>
      </c>
      <c r="G163" s="35">
        <f t="shared" si="20"/>
        <v>0</v>
      </c>
      <c r="H163" s="52"/>
    </row>
    <row r="164" spans="2:8" ht="17.399999999999999" customHeight="1" x14ac:dyDescent="0.25">
      <c r="B164" s="140"/>
      <c r="C164" s="132" t="s">
        <v>387</v>
      </c>
      <c r="D164" s="139" t="s">
        <v>188</v>
      </c>
      <c r="E164" s="36">
        <v>9000</v>
      </c>
      <c r="F164" s="36">
        <f t="shared" si="27"/>
        <v>9000</v>
      </c>
      <c r="G164" s="35">
        <f t="shared" si="20"/>
        <v>0</v>
      </c>
      <c r="H164" s="52"/>
    </row>
    <row r="165" spans="2:8" ht="55.8" customHeight="1" x14ac:dyDescent="0.25">
      <c r="B165" s="140"/>
      <c r="C165" s="132" t="s">
        <v>388</v>
      </c>
      <c r="D165" s="139" t="s">
        <v>190</v>
      </c>
      <c r="E165" s="36">
        <v>12020</v>
      </c>
      <c r="F165" s="36">
        <f t="shared" si="27"/>
        <v>12020</v>
      </c>
      <c r="G165" s="35">
        <f t="shared" si="20"/>
        <v>0</v>
      </c>
      <c r="H165" s="52"/>
    </row>
    <row r="166" spans="2:8" ht="40.799999999999997" customHeight="1" x14ac:dyDescent="0.25">
      <c r="B166" s="140"/>
      <c r="C166" s="132" t="s">
        <v>389</v>
      </c>
      <c r="D166" s="139" t="s">
        <v>192</v>
      </c>
      <c r="E166" s="36">
        <v>30655</v>
      </c>
      <c r="F166" s="36">
        <f t="shared" si="27"/>
        <v>30655</v>
      </c>
      <c r="G166" s="35">
        <f t="shared" si="20"/>
        <v>0</v>
      </c>
      <c r="H166" s="52"/>
    </row>
    <row r="167" spans="2:8" ht="16.8" customHeight="1" x14ac:dyDescent="0.25">
      <c r="B167" s="69" t="s">
        <v>193</v>
      </c>
      <c r="C167" s="132" t="s">
        <v>390</v>
      </c>
      <c r="D167" s="139" t="s">
        <v>195</v>
      </c>
      <c r="E167" s="36">
        <v>168527</v>
      </c>
      <c r="F167" s="36">
        <f t="shared" si="27"/>
        <v>168527</v>
      </c>
      <c r="G167" s="35">
        <f t="shared" si="20"/>
        <v>0</v>
      </c>
      <c r="H167" s="52"/>
    </row>
    <row r="168" spans="2:8" ht="42.6" customHeight="1" x14ac:dyDescent="0.25">
      <c r="B168" s="69"/>
      <c r="C168" s="132" t="s">
        <v>391</v>
      </c>
      <c r="D168" s="139" t="s">
        <v>392</v>
      </c>
      <c r="E168" s="36">
        <v>44284</v>
      </c>
      <c r="F168" s="36">
        <f t="shared" si="27"/>
        <v>44284</v>
      </c>
      <c r="G168" s="35">
        <f t="shared" si="20"/>
        <v>0</v>
      </c>
      <c r="H168" s="52"/>
    </row>
    <row r="169" spans="2:8" ht="13.2" hidden="1" customHeight="1" outlineLevel="1" x14ac:dyDescent="0.25">
      <c r="B169" s="69" t="s">
        <v>168</v>
      </c>
      <c r="C169" s="132" t="s">
        <v>385</v>
      </c>
      <c r="D169" s="72" t="s">
        <v>251</v>
      </c>
      <c r="E169" s="36">
        <v>0</v>
      </c>
      <c r="F169" s="36">
        <f t="shared" si="27"/>
        <v>0</v>
      </c>
      <c r="G169" s="35">
        <f t="shared" si="20"/>
        <v>0</v>
      </c>
      <c r="H169" s="137"/>
    </row>
    <row r="170" spans="2:8" ht="40.950000000000003" hidden="1" customHeight="1" outlineLevel="1" x14ac:dyDescent="0.25">
      <c r="B170" s="69" t="s">
        <v>252</v>
      </c>
      <c r="C170" s="132" t="s">
        <v>386</v>
      </c>
      <c r="D170" s="139" t="s">
        <v>393</v>
      </c>
      <c r="E170" s="36">
        <v>0</v>
      </c>
      <c r="F170" s="36">
        <f t="shared" si="27"/>
        <v>0</v>
      </c>
      <c r="G170" s="35">
        <f t="shared" si="20"/>
        <v>0</v>
      </c>
      <c r="H170" s="137"/>
    </row>
    <row r="171" spans="2:8" ht="32.4" hidden="1" customHeight="1" outlineLevel="1" x14ac:dyDescent="0.25">
      <c r="B171" s="69" t="s">
        <v>394</v>
      </c>
      <c r="C171" s="132" t="s">
        <v>387</v>
      </c>
      <c r="D171" s="139" t="s">
        <v>222</v>
      </c>
      <c r="E171" s="36">
        <v>0</v>
      </c>
      <c r="F171" s="36">
        <f t="shared" si="27"/>
        <v>0</v>
      </c>
      <c r="G171" s="35">
        <f t="shared" si="20"/>
        <v>0</v>
      </c>
      <c r="H171" s="137"/>
    </row>
    <row r="172" spans="2:8" ht="29.25" customHeight="1" collapsed="1" x14ac:dyDescent="0.25">
      <c r="C172" s="126" t="s">
        <v>395</v>
      </c>
      <c r="D172" s="134" t="s">
        <v>396</v>
      </c>
      <c r="E172" s="136">
        <v>11549801.841957785</v>
      </c>
      <c r="F172" s="136">
        <f t="shared" ref="F172" si="28">SUM(F173:F177,F181:F189)</f>
        <v>11653537</v>
      </c>
      <c r="G172" s="135">
        <f t="shared" si="20"/>
        <v>103735.15804221481</v>
      </c>
      <c r="H172" s="142"/>
    </row>
    <row r="173" spans="2:8" ht="15.75" customHeight="1" x14ac:dyDescent="0.25">
      <c r="B173" s="69" t="s">
        <v>397</v>
      </c>
      <c r="C173" s="132" t="s">
        <v>398</v>
      </c>
      <c r="D173" s="139" t="s">
        <v>399</v>
      </c>
      <c r="E173" s="36">
        <v>1199200.0293275001</v>
      </c>
      <c r="F173" s="36">
        <f>ROUND(E173,0)</f>
        <v>1199200</v>
      </c>
      <c r="G173" s="35">
        <f t="shared" si="20"/>
        <v>-2.9327500145882368E-2</v>
      </c>
      <c r="H173" s="141"/>
    </row>
    <row r="174" spans="2:8" ht="13.95" customHeight="1" x14ac:dyDescent="0.25">
      <c r="B174" s="69" t="s">
        <v>400</v>
      </c>
      <c r="C174" s="132" t="s">
        <v>401</v>
      </c>
      <c r="D174" s="139" t="s">
        <v>402</v>
      </c>
      <c r="E174" s="36">
        <v>1875164.83</v>
      </c>
      <c r="F174" s="36">
        <f t="shared" ref="F174:F185" si="29">ROUND(E174,0)</f>
        <v>1875165</v>
      </c>
      <c r="G174" s="35">
        <f t="shared" si="20"/>
        <v>0.16999999992549419</v>
      </c>
      <c r="H174" s="137"/>
    </row>
    <row r="175" spans="2:8" ht="27" customHeight="1" x14ac:dyDescent="0.25">
      <c r="B175" s="69" t="s">
        <v>175</v>
      </c>
      <c r="C175" s="132" t="s">
        <v>403</v>
      </c>
      <c r="D175" s="139" t="s">
        <v>296</v>
      </c>
      <c r="E175" s="36">
        <v>363351</v>
      </c>
      <c r="F175" s="36">
        <f>ROUND(E175,0)-1-3420+92966</f>
        <v>452896</v>
      </c>
      <c r="G175" s="35">
        <f t="shared" si="20"/>
        <v>89545</v>
      </c>
      <c r="H175" s="137" t="s">
        <v>404</v>
      </c>
    </row>
    <row r="176" spans="2:8" ht="25.95" customHeight="1" x14ac:dyDescent="0.25">
      <c r="B176" s="69" t="s">
        <v>405</v>
      </c>
      <c r="C176" s="132" t="s">
        <v>406</v>
      </c>
      <c r="D176" s="139" t="s">
        <v>407</v>
      </c>
      <c r="E176" s="36">
        <v>1574037</v>
      </c>
      <c r="F176" s="36">
        <f>ROUND(E176,0)+168382-168382</f>
        <v>1574037</v>
      </c>
      <c r="G176" s="35">
        <f t="shared" si="20"/>
        <v>0</v>
      </c>
      <c r="H176" s="74" t="s">
        <v>1012</v>
      </c>
    </row>
    <row r="177" spans="2:8" ht="32.25" customHeight="1" x14ac:dyDescent="0.25">
      <c r="B177" s="69" t="s">
        <v>5</v>
      </c>
      <c r="C177" s="132" t="s">
        <v>408</v>
      </c>
      <c r="D177" s="139" t="s">
        <v>409</v>
      </c>
      <c r="E177" s="143">
        <v>5403977.9826302836</v>
      </c>
      <c r="F177" s="143">
        <f>SUM(F178:F180)</f>
        <v>5418168</v>
      </c>
      <c r="G177" s="35">
        <f t="shared" si="20"/>
        <v>14190.017369716428</v>
      </c>
      <c r="H177" s="137"/>
    </row>
    <row r="178" spans="2:8" s="150" customFormat="1" ht="72.599999999999994" customHeight="1" x14ac:dyDescent="0.25">
      <c r="B178" s="144"/>
      <c r="C178" s="145" t="s">
        <v>410</v>
      </c>
      <c r="D178" s="146" t="s">
        <v>411</v>
      </c>
      <c r="E178" s="148">
        <v>4799085.2470302833</v>
      </c>
      <c r="F178" s="148">
        <f>ROUND(E178,0)+13000-645+1835</f>
        <v>4813275</v>
      </c>
      <c r="G178" s="147">
        <f t="shared" si="20"/>
        <v>14189.752969716676</v>
      </c>
      <c r="H178" s="149" t="s">
        <v>1011</v>
      </c>
    </row>
    <row r="179" spans="2:8" s="150" customFormat="1" ht="16.95" customHeight="1" x14ac:dyDescent="0.25">
      <c r="B179" s="144"/>
      <c r="C179" s="145" t="s">
        <v>412</v>
      </c>
      <c r="D179" s="146" t="s">
        <v>413</v>
      </c>
      <c r="E179" s="148">
        <v>350000</v>
      </c>
      <c r="F179" s="148">
        <f t="shared" si="29"/>
        <v>350000</v>
      </c>
      <c r="G179" s="147">
        <f t="shared" si="20"/>
        <v>0</v>
      </c>
      <c r="H179" s="149"/>
    </row>
    <row r="180" spans="2:8" s="150" customFormat="1" ht="15" customHeight="1" x14ac:dyDescent="0.25">
      <c r="B180" s="144"/>
      <c r="C180" s="145" t="s">
        <v>414</v>
      </c>
      <c r="D180" s="146" t="s">
        <v>415</v>
      </c>
      <c r="E180" s="148">
        <v>254892.73560000001</v>
      </c>
      <c r="F180" s="148">
        <f t="shared" si="29"/>
        <v>254893</v>
      </c>
      <c r="G180" s="147">
        <f t="shared" si="20"/>
        <v>0.26439999998547137</v>
      </c>
      <c r="H180" s="149"/>
    </row>
    <row r="181" spans="2:8" ht="30" customHeight="1" x14ac:dyDescent="0.25">
      <c r="B181" s="69" t="s">
        <v>5</v>
      </c>
      <c r="C181" s="132" t="s">
        <v>416</v>
      </c>
      <c r="D181" s="139" t="s">
        <v>417</v>
      </c>
      <c r="E181" s="36">
        <v>35000</v>
      </c>
      <c r="F181" s="36">
        <f t="shared" si="29"/>
        <v>35000</v>
      </c>
      <c r="G181" s="35">
        <f t="shared" si="20"/>
        <v>0</v>
      </c>
      <c r="H181" s="137"/>
    </row>
    <row r="182" spans="2:8" ht="41.4" customHeight="1" x14ac:dyDescent="0.25">
      <c r="B182" s="69" t="s">
        <v>5</v>
      </c>
      <c r="C182" s="132" t="s">
        <v>418</v>
      </c>
      <c r="D182" s="139" t="s">
        <v>419</v>
      </c>
      <c r="E182" s="36">
        <v>210000</v>
      </c>
      <c r="F182" s="36">
        <f t="shared" si="29"/>
        <v>210000</v>
      </c>
      <c r="G182" s="35">
        <f t="shared" si="20"/>
        <v>0</v>
      </c>
      <c r="H182" s="137"/>
    </row>
    <row r="183" spans="2:8" ht="18.600000000000001" customHeight="1" x14ac:dyDescent="0.25">
      <c r="B183" s="69" t="s">
        <v>5</v>
      </c>
      <c r="C183" s="132" t="s">
        <v>420</v>
      </c>
      <c r="D183" s="139" t="s">
        <v>421</v>
      </c>
      <c r="E183" s="36">
        <v>17500</v>
      </c>
      <c r="F183" s="36">
        <f t="shared" si="29"/>
        <v>17500</v>
      </c>
      <c r="G183" s="35">
        <f t="shared" si="20"/>
        <v>0</v>
      </c>
      <c r="H183" s="137"/>
    </row>
    <row r="184" spans="2:8" ht="33.6" customHeight="1" x14ac:dyDescent="0.25">
      <c r="B184" s="69" t="s">
        <v>5</v>
      </c>
      <c r="C184" s="132" t="s">
        <v>422</v>
      </c>
      <c r="D184" s="139" t="s">
        <v>311</v>
      </c>
      <c r="E184" s="36">
        <v>255000</v>
      </c>
      <c r="F184" s="36">
        <f t="shared" si="29"/>
        <v>255000</v>
      </c>
      <c r="G184" s="35">
        <f t="shared" si="20"/>
        <v>0</v>
      </c>
      <c r="H184" s="137"/>
    </row>
    <row r="185" spans="2:8" ht="21" customHeight="1" x14ac:dyDescent="0.25">
      <c r="B185" s="69" t="s">
        <v>5</v>
      </c>
      <c r="C185" s="132" t="s">
        <v>423</v>
      </c>
      <c r="D185" s="139" t="s">
        <v>424</v>
      </c>
      <c r="E185" s="36">
        <v>39800</v>
      </c>
      <c r="F185" s="36">
        <f t="shared" si="29"/>
        <v>39800</v>
      </c>
      <c r="G185" s="35">
        <f t="shared" si="20"/>
        <v>0</v>
      </c>
      <c r="H185" s="137"/>
    </row>
    <row r="186" spans="2:8" ht="29.4" customHeight="1" x14ac:dyDescent="0.25">
      <c r="B186" s="69" t="s">
        <v>5</v>
      </c>
      <c r="C186" s="132" t="s">
        <v>425</v>
      </c>
      <c r="D186" s="139" t="s">
        <v>426</v>
      </c>
      <c r="E186" s="36">
        <v>30000</v>
      </c>
      <c r="F186" s="36">
        <f>ROUND(E186,0)</f>
        <v>30000</v>
      </c>
      <c r="G186" s="35">
        <f>F186-E186</f>
        <v>0</v>
      </c>
      <c r="H186" s="137"/>
    </row>
    <row r="187" spans="2:8" ht="18.600000000000001" customHeight="1" x14ac:dyDescent="0.25">
      <c r="B187" s="69" t="s">
        <v>223</v>
      </c>
      <c r="C187" s="132" t="s">
        <v>427</v>
      </c>
      <c r="D187" s="139" t="s">
        <v>225</v>
      </c>
      <c r="E187" s="36">
        <v>546771</v>
      </c>
      <c r="F187" s="36">
        <f>ROUND(E187,0)</f>
        <v>546771</v>
      </c>
      <c r="G187" s="35">
        <f>F187-E187</f>
        <v>0</v>
      </c>
      <c r="H187" s="137"/>
    </row>
    <row r="188" spans="2:8" ht="18" hidden="1" customHeight="1" outlineLevel="1" x14ac:dyDescent="0.25">
      <c r="B188" s="69"/>
      <c r="C188" s="138" t="s">
        <v>428</v>
      </c>
      <c r="D188" s="152" t="s">
        <v>307</v>
      </c>
      <c r="E188" s="36">
        <v>0</v>
      </c>
      <c r="F188" s="36">
        <f>ROUND(E188,0)</f>
        <v>0</v>
      </c>
      <c r="G188" s="35">
        <f>F188-E188</f>
        <v>0</v>
      </c>
      <c r="H188" s="137"/>
    </row>
    <row r="189" spans="2:8" ht="27.6" hidden="1" customHeight="1" outlineLevel="1" x14ac:dyDescent="0.25">
      <c r="B189" s="69" t="s">
        <v>429</v>
      </c>
      <c r="C189" s="138" t="s">
        <v>430</v>
      </c>
      <c r="D189" s="152" t="s">
        <v>431</v>
      </c>
      <c r="E189" s="36">
        <v>0</v>
      </c>
      <c r="F189" s="36">
        <f>ROUND(E189,0)</f>
        <v>0</v>
      </c>
      <c r="G189" s="35">
        <f>F189-E189</f>
        <v>0</v>
      </c>
      <c r="H189" s="52"/>
    </row>
    <row r="190" spans="2:8" collapsed="1" x14ac:dyDescent="0.25">
      <c r="C190" s="129" t="s">
        <v>88</v>
      </c>
      <c r="D190" s="130" t="s">
        <v>432</v>
      </c>
      <c r="E190" s="40">
        <v>2519181.6714729005</v>
      </c>
      <c r="F190" s="41">
        <f t="shared" ref="F190" si="30">SUM(F191,F196:F200)+F203+F204</f>
        <v>2529195</v>
      </c>
      <c r="G190" s="40">
        <f>SUM(G191,G196:G204)</f>
        <v>10013.342056599839</v>
      </c>
      <c r="H190" s="40"/>
    </row>
    <row r="191" spans="2:8" ht="23.25" customHeight="1" x14ac:dyDescent="0.25">
      <c r="C191" s="126" t="s">
        <v>91</v>
      </c>
      <c r="D191" s="127" t="s">
        <v>433</v>
      </c>
      <c r="E191" s="75">
        <v>1326357.7900424001</v>
      </c>
      <c r="F191" s="75">
        <f>SUM(F192:F195)</f>
        <v>1326358</v>
      </c>
      <c r="G191" s="56">
        <f>SUM(G192:G194)</f>
        <v>0.20995759987272322</v>
      </c>
      <c r="H191" s="56"/>
    </row>
    <row r="192" spans="2:8" ht="15" customHeight="1" x14ac:dyDescent="0.25">
      <c r="B192" s="69" t="s">
        <v>434</v>
      </c>
      <c r="C192" s="132" t="s">
        <v>435</v>
      </c>
      <c r="D192" s="133" t="s">
        <v>436</v>
      </c>
      <c r="E192" s="36">
        <v>638049.85509206681</v>
      </c>
      <c r="F192" s="36">
        <f>ROUND(E192,0)</f>
        <v>638050</v>
      </c>
      <c r="G192" s="35">
        <f t="shared" si="20"/>
        <v>0.14490793319419026</v>
      </c>
      <c r="H192" s="137"/>
    </row>
    <row r="193" spans="2:8" ht="16.2" customHeight="1" x14ac:dyDescent="0.25">
      <c r="B193" s="69" t="s">
        <v>437</v>
      </c>
      <c r="C193" s="132" t="s">
        <v>438</v>
      </c>
      <c r="D193" s="133" t="s">
        <v>439</v>
      </c>
      <c r="E193" s="36">
        <v>485179.86028633331</v>
      </c>
      <c r="F193" s="36">
        <f>ROUND(E193,0)</f>
        <v>485180</v>
      </c>
      <c r="G193" s="35">
        <f t="shared" si="20"/>
        <v>0.1397136666928418</v>
      </c>
      <c r="H193" s="137"/>
    </row>
    <row r="194" spans="2:8" ht="13.2" customHeight="1" x14ac:dyDescent="0.25">
      <c r="B194" s="69" t="s">
        <v>440</v>
      </c>
      <c r="C194" s="132" t="s">
        <v>441</v>
      </c>
      <c r="D194" s="133" t="s">
        <v>442</v>
      </c>
      <c r="E194" s="36">
        <v>172588.07466400001</v>
      </c>
      <c r="F194" s="36">
        <f>ROUND(E194,0)</f>
        <v>172588</v>
      </c>
      <c r="G194" s="35">
        <f t="shared" ref="G194:G257" si="31">F194-E194</f>
        <v>-7.466400001430884E-2</v>
      </c>
      <c r="H194" s="52"/>
    </row>
    <row r="195" spans="2:8" ht="16.95" customHeight="1" x14ac:dyDescent="0.25">
      <c r="B195" s="69" t="s">
        <v>443</v>
      </c>
      <c r="C195" s="132" t="s">
        <v>444</v>
      </c>
      <c r="D195" s="133" t="s">
        <v>445</v>
      </c>
      <c r="E195" s="71">
        <v>30540</v>
      </c>
      <c r="F195" s="71">
        <f>ROUND(E195,0)</f>
        <v>30540</v>
      </c>
      <c r="G195" s="35">
        <f>F195-E195</f>
        <v>0</v>
      </c>
      <c r="H195" s="153"/>
    </row>
    <row r="196" spans="2:8" ht="29.4" customHeight="1" x14ac:dyDescent="0.25">
      <c r="B196" s="69" t="s">
        <v>446</v>
      </c>
      <c r="C196" s="126" t="s">
        <v>447</v>
      </c>
      <c r="D196" s="127" t="s">
        <v>448</v>
      </c>
      <c r="E196" s="75">
        <v>185742</v>
      </c>
      <c r="F196" s="75">
        <f>ROUND(E196,0)+10013</f>
        <v>195755</v>
      </c>
      <c r="G196" s="56">
        <f t="shared" si="31"/>
        <v>10013</v>
      </c>
      <c r="H196" s="194" t="s">
        <v>655</v>
      </c>
    </row>
    <row r="197" spans="2:8" ht="27" customHeight="1" x14ac:dyDescent="0.25">
      <c r="B197" s="69" t="s">
        <v>449</v>
      </c>
      <c r="C197" s="126" t="s">
        <v>450</v>
      </c>
      <c r="D197" s="127" t="s">
        <v>451</v>
      </c>
      <c r="E197" s="75">
        <v>0</v>
      </c>
      <c r="F197" s="75">
        <f t="shared" ref="F197:F204" si="32">ROUND(E197,0)</f>
        <v>0</v>
      </c>
      <c r="G197" s="56">
        <f t="shared" si="31"/>
        <v>0</v>
      </c>
      <c r="H197" s="76"/>
    </row>
    <row r="198" spans="2:8" ht="15" customHeight="1" x14ac:dyDescent="0.25">
      <c r="B198" s="69" t="s">
        <v>452</v>
      </c>
      <c r="C198" s="126" t="s">
        <v>453</v>
      </c>
      <c r="D198" s="127" t="s">
        <v>454</v>
      </c>
      <c r="E198" s="75">
        <v>153395.37309000001</v>
      </c>
      <c r="F198" s="75">
        <f t="shared" si="32"/>
        <v>153395</v>
      </c>
      <c r="G198" s="56">
        <f t="shared" si="31"/>
        <v>-0.37309000000823289</v>
      </c>
      <c r="H198" s="154"/>
    </row>
    <row r="199" spans="2:8" ht="15.6" customHeight="1" x14ac:dyDescent="0.25">
      <c r="B199" s="69" t="s">
        <v>455</v>
      </c>
      <c r="C199" s="126" t="s">
        <v>456</v>
      </c>
      <c r="D199" s="127" t="s">
        <v>457</v>
      </c>
      <c r="E199" s="75">
        <v>64813.521870000011</v>
      </c>
      <c r="F199" s="75">
        <f t="shared" si="32"/>
        <v>64814</v>
      </c>
      <c r="G199" s="56">
        <f t="shared" si="31"/>
        <v>0.47812999998859596</v>
      </c>
      <c r="H199" s="154"/>
    </row>
    <row r="200" spans="2:8" ht="15" customHeight="1" x14ac:dyDescent="0.25">
      <c r="B200" s="69" t="s">
        <v>270</v>
      </c>
      <c r="C200" s="126" t="s">
        <v>458</v>
      </c>
      <c r="D200" s="127" t="s">
        <v>459</v>
      </c>
      <c r="E200" s="75">
        <v>765644.98647050001</v>
      </c>
      <c r="F200" s="75">
        <f t="shared" ref="F200" si="33">F201+F202</f>
        <v>765645</v>
      </c>
      <c r="G200" s="56">
        <f t="shared" si="31"/>
        <v>1.3529499992728233E-2</v>
      </c>
      <c r="H200" s="76"/>
    </row>
    <row r="201" spans="2:8" ht="15" customHeight="1" x14ac:dyDescent="0.25">
      <c r="B201" s="69"/>
      <c r="C201" s="155" t="s">
        <v>460</v>
      </c>
      <c r="D201" s="133" t="s">
        <v>461</v>
      </c>
      <c r="E201" s="71">
        <v>765644.98647050001</v>
      </c>
      <c r="F201" s="71">
        <f>ROUND(E201,0)-126968</f>
        <v>638677</v>
      </c>
      <c r="G201" s="151">
        <f t="shared" si="31"/>
        <v>-126967.98647050001</v>
      </c>
      <c r="H201" s="52" t="s">
        <v>462</v>
      </c>
    </row>
    <row r="202" spans="2:8" ht="15" customHeight="1" x14ac:dyDescent="0.25">
      <c r="B202" s="69"/>
      <c r="C202" s="156" t="s">
        <v>463</v>
      </c>
      <c r="D202" s="133" t="s">
        <v>464</v>
      </c>
      <c r="E202" s="71">
        <v>0</v>
      </c>
      <c r="F202" s="71">
        <v>126968</v>
      </c>
      <c r="G202" s="151">
        <f t="shared" si="31"/>
        <v>126968</v>
      </c>
      <c r="H202" s="52"/>
    </row>
    <row r="203" spans="2:8" ht="15.6" customHeight="1" x14ac:dyDescent="0.25">
      <c r="B203" s="69" t="s">
        <v>465</v>
      </c>
      <c r="C203" s="126" t="s">
        <v>466</v>
      </c>
      <c r="D203" s="127" t="s">
        <v>467</v>
      </c>
      <c r="E203" s="75">
        <v>4000</v>
      </c>
      <c r="F203" s="75">
        <f t="shared" si="32"/>
        <v>4000</v>
      </c>
      <c r="G203" s="56">
        <f t="shared" si="31"/>
        <v>0</v>
      </c>
      <c r="H203" s="128"/>
    </row>
    <row r="204" spans="2:8" ht="15.6" customHeight="1" x14ac:dyDescent="0.25">
      <c r="B204" s="69" t="s">
        <v>468</v>
      </c>
      <c r="C204" s="126" t="s">
        <v>469</v>
      </c>
      <c r="D204" s="127" t="s">
        <v>470</v>
      </c>
      <c r="E204" s="75">
        <v>19228</v>
      </c>
      <c r="F204" s="75">
        <f t="shared" si="32"/>
        <v>19228</v>
      </c>
      <c r="G204" s="56">
        <f t="shared" si="31"/>
        <v>0</v>
      </c>
      <c r="H204" s="128"/>
    </row>
    <row r="205" spans="2:8" s="119" customFormat="1" ht="15.6" customHeight="1" x14ac:dyDescent="0.25">
      <c r="C205" s="129" t="s">
        <v>96</v>
      </c>
      <c r="D205" s="130" t="s">
        <v>471</v>
      </c>
      <c r="E205" s="41">
        <v>3797025.7610668591</v>
      </c>
      <c r="F205" s="41">
        <f t="shared" ref="F205" si="34">F206+F212+F215+F219+F220+F221+F222+F223</f>
        <v>3834372</v>
      </c>
      <c r="G205" s="40">
        <f>G206+G212+G215+G219+G220+G221</f>
        <v>37346.238933140878</v>
      </c>
      <c r="H205" s="40"/>
    </row>
    <row r="206" spans="2:8" s="119" customFormat="1" ht="15" customHeight="1" x14ac:dyDescent="0.25">
      <c r="C206" s="126" t="s">
        <v>99</v>
      </c>
      <c r="D206" s="127" t="s">
        <v>472</v>
      </c>
      <c r="E206" s="75">
        <v>2756987.0633929078</v>
      </c>
      <c r="F206" s="75">
        <f t="shared" ref="F206:G206" si="35">F207+F208+F209+F210+F211</f>
        <v>2756987</v>
      </c>
      <c r="G206" s="56">
        <f t="shared" si="35"/>
        <v>-6.3392907846719027E-2</v>
      </c>
      <c r="H206" s="56"/>
    </row>
    <row r="207" spans="2:8" s="157" customFormat="1" ht="18.600000000000001" customHeight="1" outlineLevel="1" x14ac:dyDescent="0.25">
      <c r="B207" s="157">
        <v>1010</v>
      </c>
      <c r="C207" s="155" t="s">
        <v>473</v>
      </c>
      <c r="D207" s="158" t="s">
        <v>474</v>
      </c>
      <c r="E207" s="159">
        <v>650934.06339290785</v>
      </c>
      <c r="F207" s="159">
        <f>ROUND(E207,0)</f>
        <v>650934</v>
      </c>
      <c r="G207" s="151">
        <f t="shared" si="31"/>
        <v>-6.3392907846719027E-2</v>
      </c>
      <c r="H207" s="160"/>
    </row>
    <row r="208" spans="2:8" s="157" customFormat="1" ht="16.2" customHeight="1" outlineLevel="1" x14ac:dyDescent="0.25">
      <c r="B208" s="157">
        <v>1010</v>
      </c>
      <c r="C208" s="156" t="s">
        <v>475</v>
      </c>
      <c r="D208" s="158" t="s">
        <v>476</v>
      </c>
      <c r="E208" s="159">
        <v>1598833</v>
      </c>
      <c r="F208" s="159">
        <f>ROUND(E208,0)</f>
        <v>1598833</v>
      </c>
      <c r="G208" s="151">
        <f t="shared" si="31"/>
        <v>0</v>
      </c>
      <c r="H208" s="52"/>
    </row>
    <row r="209" spans="2:8" s="157" customFormat="1" ht="17.399999999999999" customHeight="1" outlineLevel="1" x14ac:dyDescent="0.25">
      <c r="B209" s="157">
        <v>1010</v>
      </c>
      <c r="C209" s="156" t="s">
        <v>477</v>
      </c>
      <c r="D209" s="158" t="s">
        <v>478</v>
      </c>
      <c r="E209" s="159">
        <v>0</v>
      </c>
      <c r="F209" s="159">
        <f>ROUND(E209,0)</f>
        <v>0</v>
      </c>
      <c r="G209" s="151">
        <f t="shared" si="31"/>
        <v>0</v>
      </c>
      <c r="H209" s="73"/>
    </row>
    <row r="210" spans="2:8" s="157" customFormat="1" outlineLevel="1" x14ac:dyDescent="0.25">
      <c r="B210" s="157">
        <v>1012</v>
      </c>
      <c r="C210" s="156" t="s">
        <v>479</v>
      </c>
      <c r="D210" s="158" t="s">
        <v>480</v>
      </c>
      <c r="E210" s="159">
        <v>501000</v>
      </c>
      <c r="F210" s="159">
        <f>ROUND(E210,0)</f>
        <v>501000</v>
      </c>
      <c r="G210" s="151">
        <f t="shared" si="31"/>
        <v>0</v>
      </c>
      <c r="H210" s="160"/>
    </row>
    <row r="211" spans="2:8" s="157" customFormat="1" outlineLevel="1" x14ac:dyDescent="0.25">
      <c r="B211" s="157">
        <v>1015</v>
      </c>
      <c r="C211" s="156" t="s">
        <v>481</v>
      </c>
      <c r="D211" s="158" t="s">
        <v>482</v>
      </c>
      <c r="E211" s="159">
        <v>6220</v>
      </c>
      <c r="F211" s="159">
        <f>ROUND(E211,0)</f>
        <v>6220</v>
      </c>
      <c r="G211" s="151">
        <f t="shared" si="31"/>
        <v>0</v>
      </c>
      <c r="H211" s="160"/>
    </row>
    <row r="212" spans="2:8" s="119" customFormat="1" ht="19.5" customHeight="1" x14ac:dyDescent="0.25">
      <c r="C212" s="126" t="s">
        <v>102</v>
      </c>
      <c r="D212" s="127" t="s">
        <v>483</v>
      </c>
      <c r="E212" s="75">
        <v>14014</v>
      </c>
      <c r="F212" s="75">
        <f>F213+F214</f>
        <v>14244</v>
      </c>
      <c r="G212" s="56">
        <f t="shared" si="31"/>
        <v>230</v>
      </c>
      <c r="H212" s="76"/>
    </row>
    <row r="213" spans="2:8" s="157" customFormat="1" outlineLevel="1" x14ac:dyDescent="0.25">
      <c r="B213" s="157">
        <v>1011</v>
      </c>
      <c r="C213" s="156" t="s">
        <v>484</v>
      </c>
      <c r="D213" s="158" t="s">
        <v>485</v>
      </c>
      <c r="E213" s="159">
        <v>1407</v>
      </c>
      <c r="F213" s="159">
        <f>ROUND(E213,0)</f>
        <v>1407</v>
      </c>
      <c r="G213" s="151">
        <f t="shared" si="31"/>
        <v>0</v>
      </c>
      <c r="H213" s="160"/>
    </row>
    <row r="214" spans="2:8" s="157" customFormat="1" outlineLevel="1" x14ac:dyDescent="0.25">
      <c r="B214" s="157">
        <v>1011</v>
      </c>
      <c r="C214" s="156" t="s">
        <v>486</v>
      </c>
      <c r="D214" s="158" t="s">
        <v>487</v>
      </c>
      <c r="E214" s="159">
        <v>12607</v>
      </c>
      <c r="F214" s="159">
        <f>ROUND(E214,0)+230</f>
        <v>12837</v>
      </c>
      <c r="G214" s="151">
        <f t="shared" si="31"/>
        <v>230</v>
      </c>
      <c r="H214" s="160" t="s">
        <v>0</v>
      </c>
    </row>
    <row r="215" spans="2:8" s="119" customFormat="1" ht="18" customHeight="1" x14ac:dyDescent="0.25">
      <c r="C215" s="126" t="s">
        <v>104</v>
      </c>
      <c r="D215" s="127" t="s">
        <v>488</v>
      </c>
      <c r="E215" s="57">
        <v>622113.62317695003</v>
      </c>
      <c r="F215" s="57">
        <f t="shared" ref="F215:G215" si="36">SUM(F216:F218)</f>
        <v>659230</v>
      </c>
      <c r="G215" s="58">
        <f t="shared" si="36"/>
        <v>37116.376823049912</v>
      </c>
      <c r="H215" s="128"/>
    </row>
    <row r="216" spans="2:8" s="119" customFormat="1" ht="15" customHeight="1" x14ac:dyDescent="0.25">
      <c r="B216" s="1" t="s">
        <v>489</v>
      </c>
      <c r="C216" s="161" t="s">
        <v>490</v>
      </c>
      <c r="D216" s="162" t="s">
        <v>491</v>
      </c>
      <c r="E216" s="36">
        <v>402246.62317695009</v>
      </c>
      <c r="F216" s="36">
        <f>ROUND(E216,0)</f>
        <v>402247</v>
      </c>
      <c r="G216" s="35">
        <f t="shared" si="31"/>
        <v>0.37682304991176352</v>
      </c>
      <c r="H216" s="37"/>
    </row>
    <row r="217" spans="2:8" s="119" customFormat="1" ht="15.75" customHeight="1" x14ac:dyDescent="0.25">
      <c r="B217" s="1" t="s">
        <v>489</v>
      </c>
      <c r="C217" s="161" t="s">
        <v>492</v>
      </c>
      <c r="D217" s="162" t="s">
        <v>493</v>
      </c>
      <c r="E217" s="36">
        <v>10250</v>
      </c>
      <c r="F217" s="36">
        <f>ROUND(E217,0)+38150</f>
        <v>48400</v>
      </c>
      <c r="G217" s="35">
        <f t="shared" si="31"/>
        <v>38150</v>
      </c>
      <c r="H217" s="37" t="s">
        <v>494</v>
      </c>
    </row>
    <row r="218" spans="2:8" s="119" customFormat="1" ht="15.6" customHeight="1" x14ac:dyDescent="0.25">
      <c r="B218" s="1" t="s">
        <v>495</v>
      </c>
      <c r="C218" s="161" t="s">
        <v>496</v>
      </c>
      <c r="D218" s="162" t="s">
        <v>497</v>
      </c>
      <c r="E218" s="36">
        <v>209617</v>
      </c>
      <c r="F218" s="36">
        <f>ROUND(E218,0)-1034</f>
        <v>208583</v>
      </c>
      <c r="G218" s="35">
        <f t="shared" si="31"/>
        <v>-1034</v>
      </c>
      <c r="H218" s="37" t="s">
        <v>0</v>
      </c>
    </row>
    <row r="219" spans="2:8" s="119" customFormat="1" ht="16.2" customHeight="1" x14ac:dyDescent="0.25">
      <c r="C219" s="126" t="s">
        <v>498</v>
      </c>
      <c r="D219" s="127" t="s">
        <v>499</v>
      </c>
      <c r="E219" s="75">
        <v>139599.07449700119</v>
      </c>
      <c r="F219" s="75">
        <f>ROUND(E219,0)</f>
        <v>139599</v>
      </c>
      <c r="G219" s="56">
        <f t="shared" si="31"/>
        <v>-7.4497001187410206E-2</v>
      </c>
      <c r="H219" s="128"/>
    </row>
    <row r="220" spans="2:8" s="119" customFormat="1" ht="18.75" customHeight="1" x14ac:dyDescent="0.25">
      <c r="B220" s="1">
        <v>1016</v>
      </c>
      <c r="C220" s="126" t="s">
        <v>500</v>
      </c>
      <c r="D220" s="127" t="s">
        <v>162</v>
      </c>
      <c r="E220" s="75">
        <v>50000</v>
      </c>
      <c r="F220" s="75">
        <f t="shared" ref="F220:F221" si="37">ROUND(E220,0)</f>
        <v>50000</v>
      </c>
      <c r="G220" s="56">
        <f t="shared" si="31"/>
        <v>0</v>
      </c>
      <c r="H220" s="128"/>
    </row>
    <row r="221" spans="2:8" s="119" customFormat="1" ht="18.75" customHeight="1" x14ac:dyDescent="0.25">
      <c r="B221" s="1">
        <v>1017</v>
      </c>
      <c r="C221" s="126" t="s">
        <v>501</v>
      </c>
      <c r="D221" s="127" t="s">
        <v>164</v>
      </c>
      <c r="E221" s="75">
        <v>200000</v>
      </c>
      <c r="F221" s="75">
        <f t="shared" si="37"/>
        <v>200000</v>
      </c>
      <c r="G221" s="56">
        <f t="shared" si="31"/>
        <v>0</v>
      </c>
      <c r="H221" s="128"/>
    </row>
    <row r="222" spans="2:8" ht="40.950000000000003" customHeight="1" x14ac:dyDescent="0.25">
      <c r="B222" s="1" t="s">
        <v>502</v>
      </c>
      <c r="C222" s="126" t="s">
        <v>503</v>
      </c>
      <c r="D222" s="127" t="s">
        <v>504</v>
      </c>
      <c r="E222" s="75">
        <v>10226</v>
      </c>
      <c r="F222" s="75">
        <f>ROUND(E222,0)</f>
        <v>10226</v>
      </c>
      <c r="G222" s="56">
        <f>F222-E222</f>
        <v>0</v>
      </c>
      <c r="H222" s="128"/>
    </row>
    <row r="223" spans="2:8" ht="44.4" customHeight="1" x14ac:dyDescent="0.25">
      <c r="B223" s="1" t="s">
        <v>505</v>
      </c>
      <c r="C223" s="126" t="s">
        <v>506</v>
      </c>
      <c r="D223" s="127" t="s">
        <v>507</v>
      </c>
      <c r="E223" s="75">
        <v>4086</v>
      </c>
      <c r="F223" s="75">
        <f>ROUND(E223,0)</f>
        <v>4086</v>
      </c>
      <c r="G223" s="56">
        <f>F223-E223</f>
        <v>0</v>
      </c>
      <c r="H223" s="128"/>
    </row>
    <row r="224" spans="2:8" x14ac:dyDescent="0.25">
      <c r="C224" s="129" t="s">
        <v>107</v>
      </c>
      <c r="D224" s="130" t="s">
        <v>508</v>
      </c>
      <c r="E224" s="41">
        <v>24609695.260866992</v>
      </c>
      <c r="F224" s="41">
        <f t="shared" ref="F224" si="38">F225+F226+F230+F234+F238+F242+F246+F254+F255+F270+F273+F276+F277+F278+F279+F280+F281+F282</f>
        <v>25001670</v>
      </c>
      <c r="G224" s="40">
        <f>F224-E224</f>
        <v>391974.73913300782</v>
      </c>
      <c r="H224" s="40"/>
    </row>
    <row r="225" spans="2:8" ht="27.6" customHeight="1" x14ac:dyDescent="0.25">
      <c r="B225" s="163" t="s">
        <v>509</v>
      </c>
      <c r="C225" s="126" t="s">
        <v>510</v>
      </c>
      <c r="D225" s="134" t="s">
        <v>511</v>
      </c>
      <c r="E225" s="75">
        <v>750000</v>
      </c>
      <c r="F225" s="75">
        <f>ROUND(E225,0)</f>
        <v>750000</v>
      </c>
      <c r="G225" s="56">
        <f t="shared" si="31"/>
        <v>0</v>
      </c>
      <c r="H225" s="76"/>
    </row>
    <row r="226" spans="2:8" ht="18" customHeight="1" x14ac:dyDescent="0.25">
      <c r="C226" s="126" t="s">
        <v>512</v>
      </c>
      <c r="D226" s="134" t="s">
        <v>513</v>
      </c>
      <c r="E226" s="75">
        <v>2321467.5649073655</v>
      </c>
      <c r="F226" s="75">
        <f t="shared" ref="F226" si="39">SUM(F227:F229)</f>
        <v>2327886</v>
      </c>
      <c r="G226" s="56">
        <f t="shared" si="31"/>
        <v>6418.4350926345214</v>
      </c>
      <c r="H226" s="128"/>
    </row>
    <row r="227" spans="2:8" ht="16.2" customHeight="1" x14ac:dyDescent="0.25">
      <c r="B227" s="69" t="s">
        <v>514</v>
      </c>
      <c r="C227" s="132" t="s">
        <v>515</v>
      </c>
      <c r="D227" s="108" t="s">
        <v>516</v>
      </c>
      <c r="E227" s="165">
        <v>413462</v>
      </c>
      <c r="F227" s="165">
        <f>ROUND(E227,0)+399+324</f>
        <v>414185</v>
      </c>
      <c r="G227" s="164">
        <f t="shared" si="31"/>
        <v>723</v>
      </c>
      <c r="H227" s="52" t="s">
        <v>517</v>
      </c>
    </row>
    <row r="228" spans="2:8" ht="30.6" customHeight="1" x14ac:dyDescent="0.25">
      <c r="B228" s="69" t="s">
        <v>518</v>
      </c>
      <c r="C228" s="132" t="s">
        <v>519</v>
      </c>
      <c r="D228" s="108" t="s">
        <v>520</v>
      </c>
      <c r="E228" s="165">
        <v>1908005.5649073652</v>
      </c>
      <c r="F228" s="165">
        <f>ROUND(E228,0)-160317+5695</f>
        <v>1753384</v>
      </c>
      <c r="G228" s="164">
        <f t="shared" si="31"/>
        <v>-154621.56490736525</v>
      </c>
      <c r="H228" s="52" t="s">
        <v>521</v>
      </c>
    </row>
    <row r="229" spans="2:8" ht="15" customHeight="1" x14ac:dyDescent="0.25">
      <c r="B229" s="69"/>
      <c r="C229" s="132" t="s">
        <v>522</v>
      </c>
      <c r="D229" s="108" t="s">
        <v>523</v>
      </c>
      <c r="E229" s="165"/>
      <c r="F229" s="165">
        <v>160317</v>
      </c>
      <c r="G229" s="164">
        <f t="shared" si="31"/>
        <v>160317</v>
      </c>
      <c r="H229" s="166"/>
    </row>
    <row r="230" spans="2:8" ht="18" customHeight="1" x14ac:dyDescent="0.25">
      <c r="C230" s="126" t="s">
        <v>524</v>
      </c>
      <c r="D230" s="134" t="s">
        <v>525</v>
      </c>
      <c r="E230" s="75">
        <v>1447835.9786112006</v>
      </c>
      <c r="F230" s="75">
        <f t="shared" ref="F230" si="40">F231+F232+F233</f>
        <v>1429177</v>
      </c>
      <c r="G230" s="56">
        <f t="shared" si="31"/>
        <v>-18658.978611200582</v>
      </c>
      <c r="H230" s="128"/>
    </row>
    <row r="231" spans="2:8" ht="16.5" customHeight="1" x14ac:dyDescent="0.25">
      <c r="B231" s="69" t="s">
        <v>526</v>
      </c>
      <c r="C231" s="132" t="s">
        <v>527</v>
      </c>
      <c r="D231" s="108" t="s">
        <v>516</v>
      </c>
      <c r="E231" s="36">
        <v>158733</v>
      </c>
      <c r="F231" s="36">
        <f>ROUND(E231,0)+525</f>
        <v>159258</v>
      </c>
      <c r="G231" s="35">
        <f t="shared" si="31"/>
        <v>525</v>
      </c>
      <c r="H231" s="52" t="s">
        <v>517</v>
      </c>
    </row>
    <row r="232" spans="2:8" ht="27" customHeight="1" x14ac:dyDescent="0.25">
      <c r="B232" s="69" t="s">
        <v>528</v>
      </c>
      <c r="C232" s="132" t="s">
        <v>529</v>
      </c>
      <c r="D232" s="108" t="s">
        <v>520</v>
      </c>
      <c r="E232" s="36">
        <v>1289102.9786112006</v>
      </c>
      <c r="F232" s="36">
        <f>ROUND(E232,0)-119772-19184</f>
        <v>1150147</v>
      </c>
      <c r="G232" s="35">
        <f t="shared" si="31"/>
        <v>-138955.97861120058</v>
      </c>
      <c r="H232" s="52" t="s">
        <v>521</v>
      </c>
    </row>
    <row r="233" spans="2:8" ht="13.2" customHeight="1" x14ac:dyDescent="0.25">
      <c r="B233" s="69"/>
      <c r="C233" s="132" t="s">
        <v>530</v>
      </c>
      <c r="D233" s="108" t="s">
        <v>523</v>
      </c>
      <c r="E233" s="36"/>
      <c r="F233" s="36">
        <v>119772</v>
      </c>
      <c r="G233" s="35">
        <f t="shared" si="31"/>
        <v>119772</v>
      </c>
      <c r="H233" s="52"/>
    </row>
    <row r="234" spans="2:8" ht="18" customHeight="1" x14ac:dyDescent="0.25">
      <c r="C234" s="167" t="s">
        <v>531</v>
      </c>
      <c r="D234" s="134" t="s">
        <v>532</v>
      </c>
      <c r="E234" s="75">
        <v>1594129.4529886562</v>
      </c>
      <c r="F234" s="75">
        <f>F235+F236+F237</f>
        <v>1595142</v>
      </c>
      <c r="G234" s="56">
        <f t="shared" si="31"/>
        <v>1012.5470113437623</v>
      </c>
      <c r="H234" s="128"/>
    </row>
    <row r="235" spans="2:8" ht="13.5" customHeight="1" x14ac:dyDescent="0.25">
      <c r="B235" s="1" t="s">
        <v>533</v>
      </c>
      <c r="C235" s="132" t="s">
        <v>534</v>
      </c>
      <c r="D235" s="108" t="s">
        <v>516</v>
      </c>
      <c r="E235" s="36">
        <v>238164</v>
      </c>
      <c r="F235" s="36">
        <f>ROUND(E235,0)+1013</f>
        <v>239177</v>
      </c>
      <c r="G235" s="35">
        <f t="shared" si="31"/>
        <v>1013</v>
      </c>
      <c r="H235" s="52" t="s">
        <v>517</v>
      </c>
    </row>
    <row r="236" spans="2:8" ht="17.399999999999999" customHeight="1" x14ac:dyDescent="0.25">
      <c r="B236" s="1" t="s">
        <v>535</v>
      </c>
      <c r="C236" s="132" t="s">
        <v>536</v>
      </c>
      <c r="D236" s="108" t="s">
        <v>520</v>
      </c>
      <c r="E236" s="36">
        <v>1201933.4529886562</v>
      </c>
      <c r="F236" s="36">
        <f>ROUND(E236,0)</f>
        <v>1201933</v>
      </c>
      <c r="G236" s="35">
        <f t="shared" si="31"/>
        <v>-0.45298865623772144</v>
      </c>
      <c r="H236" s="52"/>
    </row>
    <row r="237" spans="2:8" ht="17.399999999999999" customHeight="1" x14ac:dyDescent="0.25">
      <c r="C237" s="132" t="s">
        <v>537</v>
      </c>
      <c r="D237" s="108" t="s">
        <v>523</v>
      </c>
      <c r="E237" s="36">
        <v>154032</v>
      </c>
      <c r="F237" s="36">
        <f>ROUND(E237,0)</f>
        <v>154032</v>
      </c>
      <c r="G237" s="35">
        <f>F237-E237</f>
        <v>0</v>
      </c>
      <c r="H237" s="52"/>
    </row>
    <row r="238" spans="2:8" x14ac:dyDescent="0.25">
      <c r="B238" s="1" t="s">
        <v>538</v>
      </c>
      <c r="C238" s="167" t="s">
        <v>539</v>
      </c>
      <c r="D238" s="134" t="s">
        <v>540</v>
      </c>
      <c r="E238" s="75">
        <v>1451440.1020564402</v>
      </c>
      <c r="F238" s="75">
        <f t="shared" ref="F238" si="41">SUM(F239:F241)</f>
        <v>1453093</v>
      </c>
      <c r="G238" s="56">
        <f t="shared" si="31"/>
        <v>1652.8979435598012</v>
      </c>
      <c r="H238" s="128"/>
    </row>
    <row r="239" spans="2:8" s="169" customFormat="1" ht="17.25" customHeight="1" x14ac:dyDescent="0.25">
      <c r="B239" s="168" t="s">
        <v>541</v>
      </c>
      <c r="C239" s="132" t="s">
        <v>542</v>
      </c>
      <c r="D239" s="108" t="s">
        <v>516</v>
      </c>
      <c r="E239" s="36">
        <v>152284</v>
      </c>
      <c r="F239" s="36">
        <f>ROUND(E239,0)+1917-264</f>
        <v>153937</v>
      </c>
      <c r="G239" s="164">
        <f t="shared" si="31"/>
        <v>1653</v>
      </c>
      <c r="H239" s="52" t="s">
        <v>517</v>
      </c>
    </row>
    <row r="240" spans="2:8" s="169" customFormat="1" ht="15.6" customHeight="1" x14ac:dyDescent="0.25">
      <c r="C240" s="132" t="s">
        <v>543</v>
      </c>
      <c r="D240" s="108" t="s">
        <v>520</v>
      </c>
      <c r="E240" s="36">
        <v>1154321.1020564402</v>
      </c>
      <c r="F240" s="36">
        <f>ROUND(E240,0)</f>
        <v>1154321</v>
      </c>
      <c r="G240" s="164">
        <f t="shared" si="31"/>
        <v>-0.10205644019879401</v>
      </c>
      <c r="H240" s="52"/>
    </row>
    <row r="241" spans="2:8" s="169" customFormat="1" ht="13.95" customHeight="1" x14ac:dyDescent="0.25">
      <c r="C241" s="132" t="s">
        <v>544</v>
      </c>
      <c r="D241" s="108" t="s">
        <v>523</v>
      </c>
      <c r="E241" s="36">
        <v>144835</v>
      </c>
      <c r="F241" s="36">
        <f>ROUND(E241,0)</f>
        <v>144835</v>
      </c>
      <c r="G241" s="164">
        <f>F241-E241</f>
        <v>0</v>
      </c>
      <c r="H241" s="52"/>
    </row>
    <row r="242" spans="2:8" x14ac:dyDescent="0.25">
      <c r="C242" s="167" t="s">
        <v>545</v>
      </c>
      <c r="D242" s="134" t="s">
        <v>546</v>
      </c>
      <c r="E242" s="75">
        <v>2861690</v>
      </c>
      <c r="F242" s="75">
        <f>F243+F244+F245</f>
        <v>2863405</v>
      </c>
      <c r="G242" s="56">
        <f t="shared" si="31"/>
        <v>1715</v>
      </c>
      <c r="H242" s="128"/>
    </row>
    <row r="243" spans="2:8" s="169" customFormat="1" x14ac:dyDescent="0.25">
      <c r="B243" s="168" t="s">
        <v>547</v>
      </c>
      <c r="C243" s="170" t="s">
        <v>548</v>
      </c>
      <c r="D243" s="171" t="s">
        <v>549</v>
      </c>
      <c r="E243" s="36">
        <v>833320</v>
      </c>
      <c r="F243" s="36">
        <f>ROUND(E243,0)+4+1711</f>
        <v>835035</v>
      </c>
      <c r="G243" s="164">
        <f t="shared" si="31"/>
        <v>1715</v>
      </c>
      <c r="H243" s="52" t="s">
        <v>517</v>
      </c>
    </row>
    <row r="244" spans="2:8" s="169" customFormat="1" ht="16.2" customHeight="1" x14ac:dyDescent="0.25">
      <c r="B244" s="168" t="s">
        <v>550</v>
      </c>
      <c r="C244" s="170" t="s">
        <v>551</v>
      </c>
      <c r="D244" s="171" t="s">
        <v>552</v>
      </c>
      <c r="E244" s="36">
        <v>1865620</v>
      </c>
      <c r="F244" s="36">
        <f>ROUND(E244,0)</f>
        <v>1865620</v>
      </c>
      <c r="G244" s="164">
        <f t="shared" si="31"/>
        <v>0</v>
      </c>
      <c r="H244" s="37"/>
    </row>
    <row r="245" spans="2:8" x14ac:dyDescent="0.25">
      <c r="B245" s="69" t="s">
        <v>550</v>
      </c>
      <c r="C245" s="132" t="s">
        <v>553</v>
      </c>
      <c r="D245" s="108" t="s">
        <v>554</v>
      </c>
      <c r="E245" s="36">
        <v>162750</v>
      </c>
      <c r="F245" s="36">
        <f>ROUND(E245,0)</f>
        <v>162750</v>
      </c>
      <c r="G245" s="164">
        <f t="shared" si="31"/>
        <v>0</v>
      </c>
      <c r="H245" s="37"/>
    </row>
    <row r="246" spans="2:8" s="119" customFormat="1" ht="15.75" customHeight="1" x14ac:dyDescent="0.25">
      <c r="C246" s="167" t="s">
        <v>555</v>
      </c>
      <c r="D246" s="134" t="s">
        <v>556</v>
      </c>
      <c r="E246" s="136">
        <v>2139500.4741500001</v>
      </c>
      <c r="F246" s="136">
        <f t="shared" ref="F246" si="42">F247+F248+F249+F250+F251+F252+F253</f>
        <v>2124662</v>
      </c>
      <c r="G246" s="135">
        <f t="shared" si="31"/>
        <v>-14838.47415000014</v>
      </c>
      <c r="H246" s="142"/>
    </row>
    <row r="247" spans="2:8" s="32" customFormat="1" ht="17.25" customHeight="1" x14ac:dyDescent="0.25">
      <c r="B247" s="49" t="s">
        <v>557</v>
      </c>
      <c r="C247" s="132" t="s">
        <v>558</v>
      </c>
      <c r="D247" s="108" t="s">
        <v>516</v>
      </c>
      <c r="E247" s="36">
        <v>1127101</v>
      </c>
      <c r="F247" s="36">
        <f>ROUND(E247,0)+150+22307-31</f>
        <v>1149527</v>
      </c>
      <c r="G247" s="35">
        <f t="shared" si="31"/>
        <v>22426</v>
      </c>
      <c r="H247" s="52" t="s">
        <v>517</v>
      </c>
    </row>
    <row r="248" spans="2:8" s="32" customFormat="1" x14ac:dyDescent="0.25">
      <c r="B248" s="32" t="s">
        <v>557</v>
      </c>
      <c r="C248" s="132" t="s">
        <v>559</v>
      </c>
      <c r="D248" s="108" t="s">
        <v>560</v>
      </c>
      <c r="E248" s="36">
        <v>49493</v>
      </c>
      <c r="F248" s="36">
        <f>ROUND(E248,0)+4754</f>
        <v>54247</v>
      </c>
      <c r="G248" s="35">
        <f t="shared" si="31"/>
        <v>4754</v>
      </c>
      <c r="H248" s="52" t="s">
        <v>517</v>
      </c>
    </row>
    <row r="249" spans="2:8" s="32" customFormat="1" ht="17.25" customHeight="1" x14ac:dyDescent="0.25">
      <c r="B249" s="49" t="s">
        <v>561</v>
      </c>
      <c r="C249" s="132" t="s">
        <v>562</v>
      </c>
      <c r="D249" s="108" t="s">
        <v>520</v>
      </c>
      <c r="E249" s="36">
        <v>659972.47414999991</v>
      </c>
      <c r="F249" s="36">
        <f>ROUND(E249,0)-42018</f>
        <v>617954</v>
      </c>
      <c r="G249" s="35">
        <f t="shared" si="31"/>
        <v>-42018.474149999907</v>
      </c>
      <c r="H249" s="52" t="s">
        <v>563</v>
      </c>
    </row>
    <row r="250" spans="2:8" s="32" customFormat="1" ht="16.8" customHeight="1" x14ac:dyDescent="0.25">
      <c r="B250" s="49"/>
      <c r="C250" s="132" t="s">
        <v>564</v>
      </c>
      <c r="D250" s="108" t="s">
        <v>523</v>
      </c>
      <c r="E250" s="36">
        <v>283797</v>
      </c>
      <c r="F250" s="36">
        <f t="shared" ref="F250:F253" si="43">ROUND(E250,0)</f>
        <v>283797</v>
      </c>
      <c r="G250" s="35">
        <f t="shared" si="31"/>
        <v>0</v>
      </c>
      <c r="H250" s="52"/>
    </row>
    <row r="251" spans="2:8" s="32" customFormat="1" ht="16.95" customHeight="1" x14ac:dyDescent="0.25">
      <c r="B251" s="49" t="s">
        <v>565</v>
      </c>
      <c r="C251" s="132" t="s">
        <v>566</v>
      </c>
      <c r="D251" s="108" t="s">
        <v>567</v>
      </c>
      <c r="E251" s="36">
        <v>3668</v>
      </c>
      <c r="F251" s="36">
        <f>ROUND(E251,0)</f>
        <v>3668</v>
      </c>
      <c r="G251" s="35">
        <f t="shared" si="31"/>
        <v>0</v>
      </c>
      <c r="H251" s="37"/>
    </row>
    <row r="252" spans="2:8" s="119" customFormat="1" ht="13.95" customHeight="1" x14ac:dyDescent="0.25">
      <c r="B252" s="69" t="s">
        <v>568</v>
      </c>
      <c r="C252" s="132" t="s">
        <v>569</v>
      </c>
      <c r="D252" s="108" t="s">
        <v>570</v>
      </c>
      <c r="E252" s="36">
        <v>15469</v>
      </c>
      <c r="F252" s="36">
        <f t="shared" si="43"/>
        <v>15469</v>
      </c>
      <c r="G252" s="35">
        <f t="shared" si="31"/>
        <v>0</v>
      </c>
      <c r="H252" s="37"/>
    </row>
    <row r="253" spans="2:8" s="119" customFormat="1" ht="15" customHeight="1" x14ac:dyDescent="0.25">
      <c r="B253" s="69" t="s">
        <v>571</v>
      </c>
      <c r="C253" s="132" t="s">
        <v>572</v>
      </c>
      <c r="D253" s="108" t="s">
        <v>573</v>
      </c>
      <c r="E253" s="36">
        <v>0</v>
      </c>
      <c r="F253" s="36">
        <f t="shared" si="43"/>
        <v>0</v>
      </c>
      <c r="G253" s="35">
        <f t="shared" si="31"/>
        <v>0</v>
      </c>
      <c r="H253" s="37"/>
    </row>
    <row r="254" spans="2:8" ht="48.6" customHeight="1" x14ac:dyDescent="0.25">
      <c r="B254" s="69" t="s">
        <v>574</v>
      </c>
      <c r="C254" s="167" t="s">
        <v>575</v>
      </c>
      <c r="D254" s="134" t="s">
        <v>300</v>
      </c>
      <c r="E254" s="136">
        <v>0</v>
      </c>
      <c r="F254" s="136">
        <f>ROUND(E254,0)+19357+102058</f>
        <v>121415</v>
      </c>
      <c r="G254" s="135">
        <f>F254-E254</f>
        <v>121415</v>
      </c>
      <c r="H254" s="76" t="s">
        <v>576</v>
      </c>
    </row>
    <row r="255" spans="2:8" s="32" customFormat="1" ht="15.75" customHeight="1" x14ac:dyDescent="0.25">
      <c r="B255" s="49"/>
      <c r="C255" s="167" t="s">
        <v>577</v>
      </c>
      <c r="D255" s="134" t="s">
        <v>578</v>
      </c>
      <c r="E255" s="135">
        <v>8531591.7446570527</v>
      </c>
      <c r="F255" s="136">
        <f t="shared" ref="F255" si="44">F256+F257+F258+F259+F260+F261+F262+F263+F264+F265+F266</f>
        <v>8620462</v>
      </c>
      <c r="G255" s="135">
        <f t="shared" si="31"/>
        <v>88870.255342947319</v>
      </c>
      <c r="H255" s="76"/>
    </row>
    <row r="256" spans="2:8" s="32" customFormat="1" ht="17.25" customHeight="1" x14ac:dyDescent="0.25">
      <c r="B256" s="49" t="s">
        <v>579</v>
      </c>
      <c r="C256" s="132" t="s">
        <v>580</v>
      </c>
      <c r="D256" s="108" t="s">
        <v>516</v>
      </c>
      <c r="E256" s="36">
        <v>4238288</v>
      </c>
      <c r="F256" s="36">
        <f>ROUND(E256,0)+418-6716+3572+30-1482</f>
        <v>4234110</v>
      </c>
      <c r="G256" s="35">
        <f t="shared" si="31"/>
        <v>-4178</v>
      </c>
      <c r="H256" s="52" t="s">
        <v>517</v>
      </c>
    </row>
    <row r="257" spans="2:8" s="32" customFormat="1" ht="28.8" customHeight="1" x14ac:dyDescent="0.25">
      <c r="B257" s="49" t="s">
        <v>581</v>
      </c>
      <c r="C257" s="132" t="s">
        <v>582</v>
      </c>
      <c r="D257" s="108" t="s">
        <v>520</v>
      </c>
      <c r="E257" s="36">
        <v>1427218.8621271863</v>
      </c>
      <c r="F257" s="36">
        <f>ROUND(E257,0)-337847+35517</f>
        <v>1124889</v>
      </c>
      <c r="G257" s="35">
        <f t="shared" si="31"/>
        <v>-302329.86212718626</v>
      </c>
      <c r="H257" s="52" t="s">
        <v>583</v>
      </c>
    </row>
    <row r="258" spans="2:8" s="32" customFormat="1" ht="18" customHeight="1" x14ac:dyDescent="0.25">
      <c r="B258" s="49"/>
      <c r="C258" s="132" t="s">
        <v>584</v>
      </c>
      <c r="D258" s="108" t="s">
        <v>523</v>
      </c>
      <c r="E258" s="36"/>
      <c r="F258" s="36">
        <v>337847</v>
      </c>
      <c r="G258" s="35">
        <f t="shared" ref="G258:G291" si="45">F258-E258</f>
        <v>337847</v>
      </c>
      <c r="H258" s="52"/>
    </row>
    <row r="259" spans="2:8" s="32" customFormat="1" ht="17.399999999999999" customHeight="1" x14ac:dyDescent="0.25">
      <c r="B259" s="32" t="s">
        <v>585</v>
      </c>
      <c r="C259" s="132" t="s">
        <v>586</v>
      </c>
      <c r="D259" s="108" t="s">
        <v>587</v>
      </c>
      <c r="E259" s="36">
        <v>266093</v>
      </c>
      <c r="F259" s="36">
        <f t="shared" ref="F259:F262" si="46">ROUND(E259,0)</f>
        <v>266093</v>
      </c>
      <c r="G259" s="35">
        <f t="shared" si="45"/>
        <v>0</v>
      </c>
      <c r="H259" s="37"/>
    </row>
    <row r="260" spans="2:8" s="32" customFormat="1" ht="16.2" customHeight="1" x14ac:dyDescent="0.25">
      <c r="B260" s="49" t="s">
        <v>588</v>
      </c>
      <c r="C260" s="132" t="s">
        <v>589</v>
      </c>
      <c r="D260" s="108" t="s">
        <v>567</v>
      </c>
      <c r="E260" s="36">
        <v>14485</v>
      </c>
      <c r="F260" s="36">
        <f t="shared" si="46"/>
        <v>14485</v>
      </c>
      <c r="G260" s="35">
        <f t="shared" si="45"/>
        <v>0</v>
      </c>
      <c r="H260" s="37"/>
    </row>
    <row r="261" spans="2:8" s="172" customFormat="1" ht="42.6" customHeight="1" x14ac:dyDescent="0.25">
      <c r="B261" s="49" t="s">
        <v>581</v>
      </c>
      <c r="C261" s="132" t="s">
        <v>590</v>
      </c>
      <c r="D261" s="108" t="s">
        <v>302</v>
      </c>
      <c r="E261" s="36">
        <v>34497</v>
      </c>
      <c r="F261" s="36">
        <f>ROUND(E261,0)+53231</f>
        <v>87728</v>
      </c>
      <c r="G261" s="35">
        <f t="shared" si="45"/>
        <v>53231</v>
      </c>
      <c r="H261" s="52" t="s">
        <v>591</v>
      </c>
    </row>
    <row r="262" spans="2:8" s="172" customFormat="1" ht="56.4" customHeight="1" x14ac:dyDescent="0.25">
      <c r="B262" s="49" t="s">
        <v>581</v>
      </c>
      <c r="C262" s="132" t="s">
        <v>592</v>
      </c>
      <c r="D262" s="108" t="s">
        <v>305</v>
      </c>
      <c r="E262" s="36">
        <v>870000</v>
      </c>
      <c r="F262" s="36">
        <f t="shared" si="46"/>
        <v>870000</v>
      </c>
      <c r="G262" s="35">
        <f>F262-E262</f>
        <v>0</v>
      </c>
      <c r="H262" s="52"/>
    </row>
    <row r="263" spans="2:8" s="172" customFormat="1" ht="28.2" customHeight="1" x14ac:dyDescent="0.25">
      <c r="B263" s="173" t="s">
        <v>593</v>
      </c>
      <c r="C263" s="132" t="s">
        <v>594</v>
      </c>
      <c r="D263" s="108" t="s">
        <v>595</v>
      </c>
      <c r="E263" s="36">
        <v>1006133.6654766668</v>
      </c>
      <c r="F263" s="36">
        <f>ROUND(E263,0)-197877-65904</f>
        <v>742353</v>
      </c>
      <c r="G263" s="35">
        <f t="shared" si="45"/>
        <v>-263780.66547666676</v>
      </c>
      <c r="H263" s="52" t="s">
        <v>596</v>
      </c>
    </row>
    <row r="264" spans="2:8" s="172" customFormat="1" ht="19.2" customHeight="1" x14ac:dyDescent="0.25">
      <c r="B264" s="173"/>
      <c r="C264" s="132" t="s">
        <v>597</v>
      </c>
      <c r="D264" s="108" t="s">
        <v>598</v>
      </c>
      <c r="E264" s="36"/>
      <c r="F264" s="36">
        <v>197877</v>
      </c>
      <c r="G264" s="35">
        <f t="shared" si="45"/>
        <v>197877</v>
      </c>
      <c r="H264" s="52"/>
    </row>
    <row r="265" spans="2:8" s="172" customFormat="1" ht="15" customHeight="1" x14ac:dyDescent="0.25">
      <c r="B265" s="49" t="s">
        <v>579</v>
      </c>
      <c r="C265" s="132" t="s">
        <v>599</v>
      </c>
      <c r="D265" s="108" t="s">
        <v>600</v>
      </c>
      <c r="E265" s="36">
        <v>166307</v>
      </c>
      <c r="F265" s="36">
        <f>ROUND(E265,0)+69974</f>
        <v>236281</v>
      </c>
      <c r="G265" s="35">
        <f t="shared" si="45"/>
        <v>69974</v>
      </c>
      <c r="H265" s="52" t="s">
        <v>517</v>
      </c>
    </row>
    <row r="266" spans="2:8" s="178" customFormat="1" ht="13.95" customHeight="1" x14ac:dyDescent="0.25">
      <c r="B266" s="173"/>
      <c r="C266" s="174" t="s">
        <v>601</v>
      </c>
      <c r="D266" s="175" t="s">
        <v>602</v>
      </c>
      <c r="E266" s="177">
        <v>508569.2170532</v>
      </c>
      <c r="F266" s="177">
        <f t="shared" ref="F266" si="47">F267+F268+F269</f>
        <v>508799</v>
      </c>
      <c r="G266" s="176">
        <f t="shared" si="45"/>
        <v>229.78294679999817</v>
      </c>
      <c r="H266" s="176"/>
    </row>
    <row r="267" spans="2:8" s="172" customFormat="1" ht="12" customHeight="1" x14ac:dyDescent="0.25">
      <c r="B267" s="69" t="s">
        <v>603</v>
      </c>
      <c r="C267" s="179" t="s">
        <v>604</v>
      </c>
      <c r="D267" s="108" t="s">
        <v>605</v>
      </c>
      <c r="E267" s="36">
        <v>138119</v>
      </c>
      <c r="F267" s="36">
        <f>ROUND(E267,0)-46+276</f>
        <v>138349</v>
      </c>
      <c r="G267" s="35">
        <f t="shared" si="45"/>
        <v>230</v>
      </c>
      <c r="H267" s="52" t="s">
        <v>517</v>
      </c>
    </row>
    <row r="268" spans="2:8" s="119" customFormat="1" ht="12.6" customHeight="1" x14ac:dyDescent="0.25">
      <c r="B268" s="173" t="s">
        <v>606</v>
      </c>
      <c r="C268" s="179" t="s">
        <v>607</v>
      </c>
      <c r="D268" s="108" t="s">
        <v>608</v>
      </c>
      <c r="E268" s="36">
        <v>370450.2170532</v>
      </c>
      <c r="F268" s="36">
        <f>ROUND(E268,0)-14058</f>
        <v>356392</v>
      </c>
      <c r="G268" s="35">
        <f t="shared" si="45"/>
        <v>-14058.217053200002</v>
      </c>
      <c r="H268" s="37"/>
    </row>
    <row r="269" spans="2:8" s="119" customFormat="1" ht="12.6" customHeight="1" x14ac:dyDescent="0.25">
      <c r="B269" s="173"/>
      <c r="C269" s="179" t="s">
        <v>609</v>
      </c>
      <c r="D269" s="108" t="s">
        <v>464</v>
      </c>
      <c r="E269" s="36"/>
      <c r="F269" s="36">
        <v>14058</v>
      </c>
      <c r="G269" s="35">
        <f t="shared" si="45"/>
        <v>14058</v>
      </c>
      <c r="H269" s="37" t="s">
        <v>462</v>
      </c>
    </row>
    <row r="270" spans="2:8" ht="18" customHeight="1" x14ac:dyDescent="0.25">
      <c r="C270" s="167" t="s">
        <v>610</v>
      </c>
      <c r="D270" s="134" t="s">
        <v>611</v>
      </c>
      <c r="E270" s="136">
        <v>1647206</v>
      </c>
      <c r="F270" s="136">
        <f t="shared" ref="F270" si="48">F271+F272</f>
        <v>1852644</v>
      </c>
      <c r="G270" s="135">
        <f t="shared" si="45"/>
        <v>205438</v>
      </c>
      <c r="H270" s="135"/>
    </row>
    <row r="271" spans="2:8" ht="13.5" customHeight="1" x14ac:dyDescent="0.25">
      <c r="C271" s="132" t="s">
        <v>612</v>
      </c>
      <c r="D271" s="108" t="s">
        <v>613</v>
      </c>
      <c r="E271" s="36">
        <v>651116</v>
      </c>
      <c r="F271" s="36">
        <f>ROUND(E271,0)+1832+142597</f>
        <v>795545</v>
      </c>
      <c r="G271" s="35">
        <f t="shared" si="45"/>
        <v>144429</v>
      </c>
      <c r="H271" s="52" t="s">
        <v>614</v>
      </c>
    </row>
    <row r="272" spans="2:8" ht="28.95" customHeight="1" x14ac:dyDescent="0.25">
      <c r="C272" s="132" t="s">
        <v>615</v>
      </c>
      <c r="D272" s="108" t="s">
        <v>520</v>
      </c>
      <c r="E272" s="36">
        <v>996090</v>
      </c>
      <c r="F272" s="36">
        <f>ROUND(E272,0)+61009</f>
        <v>1057099</v>
      </c>
      <c r="G272" s="35">
        <f t="shared" si="45"/>
        <v>61009</v>
      </c>
      <c r="H272" s="180" t="s">
        <v>616</v>
      </c>
    </row>
    <row r="273" spans="2:8" ht="16.2" customHeight="1" x14ac:dyDescent="0.25">
      <c r="C273" s="181" t="s">
        <v>617</v>
      </c>
      <c r="D273" s="134" t="s">
        <v>618</v>
      </c>
      <c r="E273" s="136">
        <v>706577.70189168002</v>
      </c>
      <c r="F273" s="136">
        <f>F274+F275</f>
        <v>706619</v>
      </c>
      <c r="G273" s="135">
        <f t="shared" si="45"/>
        <v>41.298108319984749</v>
      </c>
      <c r="H273" s="142"/>
    </row>
    <row r="274" spans="2:8" ht="16.5" customHeight="1" x14ac:dyDescent="0.25">
      <c r="B274" s="69" t="s">
        <v>619</v>
      </c>
      <c r="C274" s="132" t="s">
        <v>620</v>
      </c>
      <c r="D274" s="108" t="s">
        <v>613</v>
      </c>
      <c r="E274" s="36">
        <v>314605.76040000003</v>
      </c>
      <c r="F274" s="36">
        <f>ROUND(E274,0)+41</f>
        <v>314647</v>
      </c>
      <c r="G274" s="35">
        <f t="shared" si="45"/>
        <v>41.239599999971688</v>
      </c>
      <c r="H274" s="37" t="s">
        <v>0</v>
      </c>
    </row>
    <row r="275" spans="2:8" ht="16.5" customHeight="1" x14ac:dyDescent="0.25">
      <c r="B275" s="69" t="s">
        <v>621</v>
      </c>
      <c r="C275" s="132" t="s">
        <v>622</v>
      </c>
      <c r="D275" s="108" t="s">
        <v>623</v>
      </c>
      <c r="E275" s="36">
        <v>391971.94149168005</v>
      </c>
      <c r="F275" s="36">
        <f t="shared" ref="F275:F280" si="49">ROUND(E275,0)</f>
        <v>391972</v>
      </c>
      <c r="G275" s="35">
        <f t="shared" si="45"/>
        <v>5.8508319954853505E-2</v>
      </c>
      <c r="H275" s="52"/>
    </row>
    <row r="276" spans="2:8" ht="19.8" customHeight="1" x14ac:dyDescent="0.25">
      <c r="B276" s="69" t="s">
        <v>624</v>
      </c>
      <c r="C276" s="181" t="s">
        <v>625</v>
      </c>
      <c r="D276" s="134" t="s">
        <v>626</v>
      </c>
      <c r="E276" s="75">
        <v>482391.24160460004</v>
      </c>
      <c r="F276" s="75">
        <f t="shared" si="49"/>
        <v>482391</v>
      </c>
      <c r="G276" s="56">
        <f t="shared" si="45"/>
        <v>-0.2416046000435017</v>
      </c>
      <c r="H276" s="76"/>
    </row>
    <row r="277" spans="2:8" ht="18" customHeight="1" x14ac:dyDescent="0.25">
      <c r="B277" s="69"/>
      <c r="C277" s="181" t="s">
        <v>627</v>
      </c>
      <c r="D277" s="134" t="s">
        <v>628</v>
      </c>
      <c r="E277" s="75">
        <v>3000</v>
      </c>
      <c r="F277" s="75">
        <f t="shared" si="49"/>
        <v>3000</v>
      </c>
      <c r="G277" s="56">
        <f t="shared" si="45"/>
        <v>0</v>
      </c>
      <c r="H277" s="76"/>
    </row>
    <row r="278" spans="2:8" ht="31.95" customHeight="1" x14ac:dyDescent="0.25">
      <c r="B278" s="69" t="s">
        <v>629</v>
      </c>
      <c r="C278" s="181" t="s">
        <v>630</v>
      </c>
      <c r="D278" s="134" t="s">
        <v>631</v>
      </c>
      <c r="E278" s="75">
        <v>17962</v>
      </c>
      <c r="F278" s="75">
        <f>ROUND(E278,0)-1841</f>
        <v>16121</v>
      </c>
      <c r="G278" s="56">
        <f t="shared" si="45"/>
        <v>-1841</v>
      </c>
      <c r="H278" s="76" t="s">
        <v>0</v>
      </c>
    </row>
    <row r="279" spans="2:8" ht="27" customHeight="1" x14ac:dyDescent="0.25">
      <c r="B279" s="69" t="s">
        <v>632</v>
      </c>
      <c r="C279" s="181" t="s">
        <v>633</v>
      </c>
      <c r="D279" s="134" t="s">
        <v>634</v>
      </c>
      <c r="E279" s="75">
        <v>1049</v>
      </c>
      <c r="F279" s="75">
        <f t="shared" si="49"/>
        <v>1049</v>
      </c>
      <c r="G279" s="56">
        <f t="shared" si="45"/>
        <v>0</v>
      </c>
      <c r="H279" s="76"/>
    </row>
    <row r="280" spans="2:8" ht="57.6" customHeight="1" x14ac:dyDescent="0.25">
      <c r="B280" s="69" t="s">
        <v>635</v>
      </c>
      <c r="C280" s="181" t="s">
        <v>636</v>
      </c>
      <c r="D280" s="134" t="s">
        <v>637</v>
      </c>
      <c r="E280" s="75">
        <v>765</v>
      </c>
      <c r="F280" s="75">
        <f t="shared" si="49"/>
        <v>765</v>
      </c>
      <c r="G280" s="56">
        <f t="shared" si="45"/>
        <v>0</v>
      </c>
      <c r="H280" s="76"/>
    </row>
    <row r="281" spans="2:8" ht="30.6" customHeight="1" x14ac:dyDescent="0.25">
      <c r="B281" s="69"/>
      <c r="C281" s="167" t="s">
        <v>638</v>
      </c>
      <c r="D281" s="134" t="s">
        <v>294</v>
      </c>
      <c r="E281" s="75">
        <v>637343</v>
      </c>
      <c r="F281" s="75">
        <f>ROUND(E281,0)</f>
        <v>637343</v>
      </c>
      <c r="G281" s="56">
        <f>F281-E281</f>
        <v>0</v>
      </c>
      <c r="H281" s="76"/>
    </row>
    <row r="282" spans="2:8" ht="27" customHeight="1" x14ac:dyDescent="0.25">
      <c r="C282" s="167" t="s">
        <v>639</v>
      </c>
      <c r="D282" s="134" t="s">
        <v>205</v>
      </c>
      <c r="E282" s="57">
        <v>15746</v>
      </c>
      <c r="F282" s="57">
        <f>F283+F284</f>
        <v>16496</v>
      </c>
      <c r="G282" s="56">
        <f t="shared" si="45"/>
        <v>750</v>
      </c>
      <c r="H282" s="76"/>
    </row>
    <row r="283" spans="2:8" ht="14.4" customHeight="1" x14ac:dyDescent="0.25">
      <c r="B283" s="69" t="s">
        <v>640</v>
      </c>
      <c r="C283" s="132" t="s">
        <v>641</v>
      </c>
      <c r="D283" s="108" t="s">
        <v>642</v>
      </c>
      <c r="E283" s="36">
        <v>15746</v>
      </c>
      <c r="F283" s="36">
        <f>ROUND(E283,0)+750</f>
        <v>16496</v>
      </c>
      <c r="G283" s="35">
        <f t="shared" si="45"/>
        <v>750</v>
      </c>
      <c r="H283" s="52" t="s">
        <v>0</v>
      </c>
    </row>
    <row r="284" spans="2:8" s="119" customFormat="1" ht="15" customHeight="1" x14ac:dyDescent="0.25">
      <c r="B284" s="69" t="s">
        <v>643</v>
      </c>
      <c r="C284" s="132" t="s">
        <v>644</v>
      </c>
      <c r="D284" s="108" t="s">
        <v>645</v>
      </c>
      <c r="E284" s="36">
        <v>0</v>
      </c>
      <c r="F284" s="36">
        <f>ROUND(E284,0)</f>
        <v>0</v>
      </c>
      <c r="G284" s="35">
        <f t="shared" si="45"/>
        <v>0</v>
      </c>
      <c r="H284" s="52"/>
    </row>
    <row r="285" spans="2:8" s="119" customFormat="1" ht="17.399999999999999" customHeight="1" outlineLevel="1" x14ac:dyDescent="0.25">
      <c r="C285" s="129" t="s">
        <v>646</v>
      </c>
      <c r="D285" s="130" t="s">
        <v>647</v>
      </c>
      <c r="E285" s="41">
        <v>0</v>
      </c>
      <c r="F285" s="41">
        <f>SUM(F286:F287)</f>
        <v>0</v>
      </c>
      <c r="G285" s="40">
        <f t="shared" si="45"/>
        <v>0</v>
      </c>
      <c r="H285" s="42"/>
    </row>
    <row r="286" spans="2:8" ht="17.25" customHeight="1" outlineLevel="1" x14ac:dyDescent="0.25">
      <c r="C286" s="126" t="s">
        <v>111</v>
      </c>
      <c r="D286" s="127" t="s">
        <v>648</v>
      </c>
      <c r="E286" s="75"/>
      <c r="F286" s="75"/>
      <c r="G286" s="56">
        <f t="shared" si="45"/>
        <v>0</v>
      </c>
      <c r="H286" s="76"/>
    </row>
    <row r="287" spans="2:8" ht="14.4" outlineLevel="1" thickBot="1" x14ac:dyDescent="0.3">
      <c r="C287" s="126" t="s">
        <v>173</v>
      </c>
      <c r="D287" s="127" t="s">
        <v>649</v>
      </c>
      <c r="E287" s="75"/>
      <c r="F287" s="75"/>
      <c r="G287" s="56">
        <f t="shared" si="45"/>
        <v>0</v>
      </c>
      <c r="H287" s="76"/>
    </row>
    <row r="288" spans="2:8" s="119" customFormat="1" ht="30" customHeight="1" thickBot="1" x14ac:dyDescent="0.3">
      <c r="C288" s="182"/>
      <c r="D288" s="183" t="s">
        <v>650</v>
      </c>
      <c r="E288" s="185">
        <v>58317822.384578399</v>
      </c>
      <c r="F288" s="185">
        <f>F130+F140+F142+F143+F148+F150+F190+F205+F224+F285</f>
        <v>59036372</v>
      </c>
      <c r="G288" s="184">
        <f t="shared" si="45"/>
        <v>718549.61542160064</v>
      </c>
      <c r="H288" s="186"/>
    </row>
    <row r="289" spans="3:8" s="32" customFormat="1" ht="75" customHeight="1" thickBot="1" x14ac:dyDescent="0.3">
      <c r="C289" s="129" t="s">
        <v>229</v>
      </c>
      <c r="D289" s="130" t="s">
        <v>651</v>
      </c>
      <c r="E289" s="41">
        <v>3486155</v>
      </c>
      <c r="F289" s="41">
        <f>ROUND(E289,0)+37335+133641+67</f>
        <v>3657198</v>
      </c>
      <c r="G289" s="40">
        <f t="shared" si="45"/>
        <v>171043</v>
      </c>
      <c r="H289" s="198" t="s">
        <v>657</v>
      </c>
    </row>
    <row r="290" spans="3:8" ht="14.4" thickBot="1" x14ac:dyDescent="0.3">
      <c r="C290" s="182"/>
      <c r="D290" s="183" t="s">
        <v>652</v>
      </c>
      <c r="E290" s="195">
        <v>61803977.384578399</v>
      </c>
      <c r="F290" s="195">
        <f>F288+F289</f>
        <v>62693570</v>
      </c>
      <c r="G290" s="187">
        <f t="shared" si="45"/>
        <v>889592.61542160064</v>
      </c>
      <c r="H290" s="188"/>
    </row>
    <row r="291" spans="3:8" ht="15" thickTop="1" thickBot="1" x14ac:dyDescent="0.3">
      <c r="C291" s="189" t="s">
        <v>653</v>
      </c>
      <c r="D291" s="190" t="s">
        <v>654</v>
      </c>
      <c r="E291" s="192">
        <v>0.25542160123586655</v>
      </c>
      <c r="F291" s="192">
        <f>F124-F290-0.2</f>
        <v>37112.800000000003</v>
      </c>
      <c r="G291" s="191">
        <f t="shared" si="45"/>
        <v>37112.544578398767</v>
      </c>
      <c r="H291" s="193"/>
    </row>
  </sheetData>
  <mergeCells count="4">
    <mergeCell ref="C127:D127"/>
    <mergeCell ref="C128:D128"/>
    <mergeCell ref="C2:D2"/>
    <mergeCell ref="C3:D3"/>
  </mergeCells>
  <conditionalFormatting sqref="E291:G291">
    <cfRule type="cellIs" dxfId="0" priority="5" operator="lessThan">
      <formula>0</formula>
    </cfRule>
  </conditionalFormatting>
  <pageMargins left="0.47244094488188981" right="0.47244094488188981" top="0.47244094488188981" bottom="0.47244094488188981" header="0.27559055118110237" footer="0.27559055118110237"/>
  <pageSetup paperSize="9" scale="51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70781-E0C5-4634-8F72-F90A2AD438B5}">
  <sheetPr>
    <tabColor rgb="FF7030A0"/>
    <pageSetUpPr fitToPage="1"/>
  </sheetPr>
  <dimension ref="A1:Q174"/>
  <sheetViews>
    <sheetView zoomScaleNormal="100" workbookViewId="0">
      <pane xSplit="1" topLeftCell="B1" activePane="topRight" state="frozen"/>
      <selection activeCell="C1" sqref="C1"/>
      <selection pane="topRight" activeCell="I141" sqref="I141:J141"/>
    </sheetView>
  </sheetViews>
  <sheetFormatPr defaultRowHeight="14.4" outlineLevelRow="1" x14ac:dyDescent="0.3"/>
  <cols>
    <col min="1" max="1" width="4.875" style="199" customWidth="1"/>
    <col min="2" max="2" width="35.875" style="199" customWidth="1"/>
    <col min="3" max="3" width="13.875" style="201" customWidth="1"/>
    <col min="4" max="4" width="13" style="199" customWidth="1"/>
    <col min="5" max="6" width="12.375" style="199" customWidth="1"/>
    <col min="7" max="7" width="13.375" style="201" customWidth="1"/>
    <col min="8" max="8" width="16.25" style="199" customWidth="1"/>
    <col min="9" max="15" width="11.625" style="199" customWidth="1"/>
    <col min="16" max="16" width="13.75" style="199" customWidth="1"/>
    <col min="17" max="17" width="13" style="199" customWidth="1" collapsed="1"/>
    <col min="18" max="16384" width="9" style="199"/>
  </cols>
  <sheetData>
    <row r="1" spans="1:17" ht="18" x14ac:dyDescent="0.35">
      <c r="A1" s="200" t="s">
        <v>658</v>
      </c>
      <c r="H1" s="202"/>
    </row>
    <row r="2" spans="1:17" ht="18" x14ac:dyDescent="0.35">
      <c r="A2" s="200"/>
      <c r="H2" s="202"/>
      <c r="K2" s="204"/>
    </row>
    <row r="3" spans="1:17" ht="15.6" x14ac:dyDescent="0.3">
      <c r="A3" s="205" t="s">
        <v>659</v>
      </c>
      <c r="H3" s="202"/>
      <c r="I3" s="206"/>
      <c r="J3" s="206"/>
      <c r="K3" s="206"/>
      <c r="L3" s="206"/>
      <c r="M3" s="206"/>
      <c r="N3" s="206"/>
      <c r="O3" s="206"/>
      <c r="P3" s="206"/>
      <c r="Q3" s="206"/>
    </row>
    <row r="4" spans="1:17" s="207" customFormat="1" ht="43.2" x14ac:dyDescent="0.2">
      <c r="A4" s="209" t="s">
        <v>660</v>
      </c>
      <c r="B4" s="210" t="s">
        <v>661</v>
      </c>
      <c r="C4" s="209" t="s">
        <v>662</v>
      </c>
      <c r="D4" s="209" t="s">
        <v>663</v>
      </c>
      <c r="E4" s="209" t="s">
        <v>664</v>
      </c>
      <c r="F4" s="209" t="s">
        <v>665</v>
      </c>
      <c r="G4" s="211" t="s">
        <v>666</v>
      </c>
      <c r="H4" s="212" t="s">
        <v>667</v>
      </c>
      <c r="I4" s="210">
        <v>2024</v>
      </c>
      <c r="J4" s="210">
        <v>2025</v>
      </c>
      <c r="K4" s="210">
        <v>2026</v>
      </c>
      <c r="L4" s="210">
        <v>2027</v>
      </c>
      <c r="M4" s="210">
        <v>2028</v>
      </c>
      <c r="N4" s="210">
        <v>2029</v>
      </c>
      <c r="O4" s="210">
        <v>2030</v>
      </c>
      <c r="P4" s="208" t="s">
        <v>668</v>
      </c>
      <c r="Q4" s="209" t="s">
        <v>669</v>
      </c>
    </row>
    <row r="5" spans="1:17" s="213" customFormat="1" x14ac:dyDescent="0.3">
      <c r="A5" s="214">
        <v>1</v>
      </c>
      <c r="B5" s="215" t="s">
        <v>670</v>
      </c>
      <c r="C5" s="216" t="s">
        <v>671</v>
      </c>
      <c r="D5" s="217" t="s">
        <v>672</v>
      </c>
      <c r="E5" s="217" t="s">
        <v>673</v>
      </c>
      <c r="F5" s="217" t="s">
        <v>674</v>
      </c>
      <c r="G5" s="218">
        <v>2099988.0499999998</v>
      </c>
      <c r="H5" s="220" t="s">
        <v>675</v>
      </c>
      <c r="I5" s="221">
        <v>97944.8</v>
      </c>
      <c r="J5" s="221">
        <v>97944.8</v>
      </c>
      <c r="K5" s="221">
        <v>97944.8</v>
      </c>
      <c r="L5" s="221">
        <v>97944.8</v>
      </c>
      <c r="M5" s="221">
        <v>97944.8</v>
      </c>
      <c r="N5" s="221">
        <v>97944.8</v>
      </c>
      <c r="O5" s="221">
        <v>97944.8</v>
      </c>
      <c r="P5" s="222">
        <v>609239.59</v>
      </c>
      <c r="Q5" s="223">
        <v>1294853.19</v>
      </c>
    </row>
    <row r="6" spans="1:17" x14ac:dyDescent="0.3">
      <c r="A6" s="224"/>
      <c r="B6" s="225" t="s">
        <v>676</v>
      </c>
      <c r="C6" s="226"/>
      <c r="D6" s="227"/>
      <c r="E6" s="227"/>
      <c r="F6" s="227"/>
      <c r="G6" s="228"/>
      <c r="H6" s="229" t="s">
        <v>677</v>
      </c>
      <c r="I6" s="230">
        <v>50343.892027200003</v>
      </c>
      <c r="J6" s="230">
        <v>46535.7982032</v>
      </c>
      <c r="K6" s="230">
        <v>42727.704379200004</v>
      </c>
      <c r="L6" s="230">
        <v>38919.610555200001</v>
      </c>
      <c r="M6" s="230">
        <v>35111.516731199998</v>
      </c>
      <c r="N6" s="230">
        <v>31303.422907199998</v>
      </c>
      <c r="O6" s="230">
        <v>27495.329083199998</v>
      </c>
      <c r="P6" s="231">
        <v>81296.360726400002</v>
      </c>
      <c r="Q6" s="232">
        <v>353733.63461280003</v>
      </c>
    </row>
    <row r="7" spans="1:17" s="213" customFormat="1" x14ac:dyDescent="0.3">
      <c r="A7" s="214">
        <v>2</v>
      </c>
      <c r="B7" s="215" t="s">
        <v>670</v>
      </c>
      <c r="C7" s="216" t="s">
        <v>678</v>
      </c>
      <c r="D7" s="217" t="s">
        <v>679</v>
      </c>
      <c r="E7" s="217" t="s">
        <v>680</v>
      </c>
      <c r="F7" s="217" t="s">
        <v>681</v>
      </c>
      <c r="G7" s="218">
        <v>6628759.9400000004</v>
      </c>
      <c r="H7" s="220" t="s">
        <v>675</v>
      </c>
      <c r="I7" s="221">
        <v>392598.8</v>
      </c>
      <c r="J7" s="221">
        <v>392598.8</v>
      </c>
      <c r="K7" s="221">
        <v>392598.8</v>
      </c>
      <c r="L7" s="221">
        <v>392598.8</v>
      </c>
      <c r="M7" s="221">
        <v>392598.8</v>
      </c>
      <c r="N7" s="221">
        <v>392598.8</v>
      </c>
      <c r="O7" s="221">
        <v>392598.8</v>
      </c>
      <c r="P7" s="222">
        <v>392597.24</v>
      </c>
      <c r="Q7" s="223">
        <v>3140788.84</v>
      </c>
    </row>
    <row r="8" spans="1:17" x14ac:dyDescent="0.3">
      <c r="A8" s="224"/>
      <c r="B8" s="225" t="s">
        <v>682</v>
      </c>
      <c r="C8" s="226"/>
      <c r="D8" s="227"/>
      <c r="E8" s="227"/>
      <c r="F8" s="227"/>
      <c r="G8" s="228"/>
      <c r="H8" s="229" t="s">
        <v>677</v>
      </c>
      <c r="I8" s="230">
        <v>130342.73686</v>
      </c>
      <c r="J8" s="230">
        <v>114049.88666000002</v>
      </c>
      <c r="K8" s="230">
        <v>97757.036460000018</v>
      </c>
      <c r="L8" s="230">
        <v>81464.186260000002</v>
      </c>
      <c r="M8" s="230">
        <v>65171.336059999994</v>
      </c>
      <c r="N8" s="230">
        <v>48878.485860000001</v>
      </c>
      <c r="O8" s="230">
        <v>32585.635660000007</v>
      </c>
      <c r="P8" s="231">
        <v>16292.785460000001</v>
      </c>
      <c r="Q8" s="232">
        <v>586542.08928000007</v>
      </c>
    </row>
    <row r="9" spans="1:17" s="213" customFormat="1" x14ac:dyDescent="0.3">
      <c r="A9" s="214">
        <v>3</v>
      </c>
      <c r="B9" s="215" t="s">
        <v>683</v>
      </c>
      <c r="C9" s="216" t="s">
        <v>684</v>
      </c>
      <c r="D9" s="217" t="s">
        <v>685</v>
      </c>
      <c r="E9" s="217" t="s">
        <v>686</v>
      </c>
      <c r="F9" s="217" t="s">
        <v>687</v>
      </c>
      <c r="G9" s="218">
        <v>871076.43</v>
      </c>
      <c r="H9" s="220" t="s">
        <v>675</v>
      </c>
      <c r="I9" s="221">
        <v>53323.56</v>
      </c>
      <c r="J9" s="221">
        <v>53323.56</v>
      </c>
      <c r="K9" s="221">
        <v>53323.56</v>
      </c>
      <c r="L9" s="221">
        <v>53323.56</v>
      </c>
      <c r="M9" s="221">
        <v>53323.56</v>
      </c>
      <c r="N9" s="221">
        <v>53323.56</v>
      </c>
      <c r="O9" s="221">
        <v>53323.56</v>
      </c>
      <c r="P9" s="222">
        <v>53323.31</v>
      </c>
      <c r="Q9" s="223">
        <v>426588.23</v>
      </c>
    </row>
    <row r="10" spans="1:17" x14ac:dyDescent="0.3">
      <c r="A10" s="224"/>
      <c r="B10" s="225" t="s">
        <v>688</v>
      </c>
      <c r="C10" s="226"/>
      <c r="D10" s="227"/>
      <c r="E10" s="227"/>
      <c r="F10" s="227"/>
      <c r="G10" s="228"/>
      <c r="H10" s="229" t="s">
        <v>677</v>
      </c>
      <c r="I10" s="230">
        <v>17703.411545000003</v>
      </c>
      <c r="J10" s="230">
        <v>15376.41</v>
      </c>
      <c r="K10" s="230">
        <v>13137.43</v>
      </c>
      <c r="L10" s="230">
        <v>10896.919999999998</v>
      </c>
      <c r="M10" s="230">
        <v>8679.44</v>
      </c>
      <c r="N10" s="230">
        <v>6409.7699999999995</v>
      </c>
      <c r="O10" s="230">
        <v>4166.21</v>
      </c>
      <c r="P10" s="231">
        <v>2115.79</v>
      </c>
      <c r="Q10" s="232">
        <v>78485.381544999997</v>
      </c>
    </row>
    <row r="11" spans="1:17" s="233" customFormat="1" x14ac:dyDescent="0.3">
      <c r="A11" s="234">
        <v>4</v>
      </c>
      <c r="B11" s="234" t="s">
        <v>670</v>
      </c>
      <c r="C11" s="235" t="s">
        <v>689</v>
      </c>
      <c r="D11" s="236" t="s">
        <v>690</v>
      </c>
      <c r="E11" s="236" t="s">
        <v>691</v>
      </c>
      <c r="F11" s="236" t="s">
        <v>692</v>
      </c>
      <c r="G11" s="237">
        <v>520921.91</v>
      </c>
      <c r="H11" s="238" t="s">
        <v>675</v>
      </c>
      <c r="I11" s="312">
        <v>67.680000000000007</v>
      </c>
      <c r="J11" s="239">
        <v>0</v>
      </c>
      <c r="K11" s="239">
        <v>0</v>
      </c>
      <c r="L11" s="239">
        <v>0</v>
      </c>
      <c r="M11" s="239">
        <v>0</v>
      </c>
      <c r="N11" s="239">
        <v>0</v>
      </c>
      <c r="O11" s="239">
        <v>0</v>
      </c>
      <c r="P11" s="240">
        <v>0</v>
      </c>
      <c r="Q11" s="241">
        <v>67.680000000000007</v>
      </c>
    </row>
    <row r="12" spans="1:17" s="250" customFormat="1" x14ac:dyDescent="0.3">
      <c r="A12" s="242"/>
      <c r="B12" s="243" t="s">
        <v>693</v>
      </c>
      <c r="C12" s="244"/>
      <c r="D12" s="242"/>
      <c r="E12" s="242"/>
      <c r="F12" s="242"/>
      <c r="G12" s="245"/>
      <c r="H12" s="246" t="s">
        <v>677</v>
      </c>
      <c r="I12" s="313">
        <v>5.73</v>
      </c>
      <c r="J12" s="247">
        <v>0</v>
      </c>
      <c r="K12" s="247">
        <v>0</v>
      </c>
      <c r="L12" s="247">
        <v>0</v>
      </c>
      <c r="M12" s="247">
        <v>0</v>
      </c>
      <c r="N12" s="247">
        <v>0</v>
      </c>
      <c r="O12" s="247">
        <v>0</v>
      </c>
      <c r="P12" s="248">
        <v>0</v>
      </c>
      <c r="Q12" s="249">
        <v>5.73</v>
      </c>
    </row>
    <row r="13" spans="1:17" s="213" customFormat="1" x14ac:dyDescent="0.3">
      <c r="A13" s="214">
        <v>5</v>
      </c>
      <c r="B13" s="215" t="s">
        <v>694</v>
      </c>
      <c r="C13" s="216" t="s">
        <v>695</v>
      </c>
      <c r="D13" s="217" t="s">
        <v>696</v>
      </c>
      <c r="E13" s="217" t="s">
        <v>697</v>
      </c>
      <c r="F13" s="217" t="s">
        <v>698</v>
      </c>
      <c r="G13" s="218">
        <v>1925611</v>
      </c>
      <c r="H13" s="220" t="s">
        <v>675</v>
      </c>
      <c r="I13" s="221">
        <v>132804</v>
      </c>
      <c r="J13" s="221">
        <v>132804</v>
      </c>
      <c r="K13" s="221">
        <v>132804</v>
      </c>
      <c r="L13" s="221">
        <v>132804</v>
      </c>
      <c r="M13" s="221">
        <v>132804</v>
      </c>
      <c r="N13" s="221">
        <v>132804</v>
      </c>
      <c r="O13" s="221">
        <v>132804</v>
      </c>
      <c r="P13" s="222">
        <v>199206</v>
      </c>
      <c r="Q13" s="223">
        <v>1128834</v>
      </c>
    </row>
    <row r="14" spans="1:17" x14ac:dyDescent="0.3">
      <c r="A14" s="224"/>
      <c r="B14" s="225" t="s">
        <v>699</v>
      </c>
      <c r="C14" s="226"/>
      <c r="D14" s="227"/>
      <c r="E14" s="227"/>
      <c r="F14" s="227"/>
      <c r="G14" s="228"/>
      <c r="H14" s="229" t="s">
        <v>677</v>
      </c>
      <c r="I14" s="230">
        <v>45808.083719999995</v>
      </c>
      <c r="J14" s="230">
        <v>40418.897399999994</v>
      </c>
      <c r="K14" s="230">
        <v>35029.711080000001</v>
      </c>
      <c r="L14" s="230">
        <v>29640.524759999997</v>
      </c>
      <c r="M14" s="230">
        <v>24251.33844</v>
      </c>
      <c r="N14" s="230">
        <v>18862.152119999999</v>
      </c>
      <c r="O14" s="230">
        <v>13472.965799999998</v>
      </c>
      <c r="P14" s="231">
        <v>10778.37264</v>
      </c>
      <c r="Q14" s="232">
        <v>218262.04595999999</v>
      </c>
    </row>
    <row r="15" spans="1:17" s="213" customFormat="1" x14ac:dyDescent="0.3">
      <c r="A15" s="214">
        <v>6</v>
      </c>
      <c r="B15" s="215" t="s">
        <v>694</v>
      </c>
      <c r="C15" s="216" t="s">
        <v>700</v>
      </c>
      <c r="D15" s="217" t="s">
        <v>701</v>
      </c>
      <c r="E15" s="217" t="s">
        <v>702</v>
      </c>
      <c r="F15" s="217" t="s">
        <v>703</v>
      </c>
      <c r="G15" s="218">
        <v>154450.12</v>
      </c>
      <c r="H15" s="220" t="s">
        <v>675</v>
      </c>
      <c r="I15" s="221">
        <v>10472</v>
      </c>
      <c r="J15" s="221">
        <v>10472</v>
      </c>
      <c r="K15" s="221">
        <v>10472</v>
      </c>
      <c r="L15" s="221">
        <v>10472</v>
      </c>
      <c r="M15" s="221">
        <v>10472</v>
      </c>
      <c r="N15" s="221">
        <v>10472</v>
      </c>
      <c r="O15" s="221">
        <v>10472</v>
      </c>
      <c r="P15" s="222">
        <v>18326</v>
      </c>
      <c r="Q15" s="223">
        <v>91630</v>
      </c>
    </row>
    <row r="16" spans="1:17" x14ac:dyDescent="0.3">
      <c r="A16" s="224"/>
      <c r="B16" s="225" t="s">
        <v>704</v>
      </c>
      <c r="C16" s="226"/>
      <c r="D16" s="227"/>
      <c r="E16" s="227"/>
      <c r="F16" s="227"/>
      <c r="G16" s="228"/>
      <c r="H16" s="229" t="s">
        <v>677</v>
      </c>
      <c r="I16" s="230">
        <v>4000.5657999999994</v>
      </c>
      <c r="J16" s="230">
        <v>3543.3582799999999</v>
      </c>
      <c r="K16" s="230">
        <v>3086.15076</v>
      </c>
      <c r="L16" s="230">
        <v>2628.9432399999996</v>
      </c>
      <c r="M16" s="230">
        <v>2171.7357199999997</v>
      </c>
      <c r="N16" s="230">
        <v>1714.5281999999997</v>
      </c>
      <c r="O16" s="230">
        <v>1257.3206799999998</v>
      </c>
      <c r="P16" s="231">
        <v>1143.0187999999998</v>
      </c>
      <c r="Q16" s="232">
        <v>19545.621480000002</v>
      </c>
    </row>
    <row r="17" spans="1:17" s="213" customFormat="1" x14ac:dyDescent="0.3">
      <c r="A17" s="214">
        <v>7</v>
      </c>
      <c r="B17" s="215" t="s">
        <v>705</v>
      </c>
      <c r="C17" s="216" t="s">
        <v>706</v>
      </c>
      <c r="D17" s="217" t="s">
        <v>707</v>
      </c>
      <c r="E17" s="217" t="s">
        <v>708</v>
      </c>
      <c r="F17" s="217" t="s">
        <v>709</v>
      </c>
      <c r="G17" s="218">
        <v>11123368</v>
      </c>
      <c r="H17" s="220" t="s">
        <v>675</v>
      </c>
      <c r="I17" s="221">
        <v>379984</v>
      </c>
      <c r="J17" s="221">
        <v>379984</v>
      </c>
      <c r="K17" s="221">
        <v>379984</v>
      </c>
      <c r="L17" s="221">
        <v>379984</v>
      </c>
      <c r="M17" s="221">
        <v>379984</v>
      </c>
      <c r="N17" s="221">
        <v>379984</v>
      </c>
      <c r="O17" s="221">
        <v>379984</v>
      </c>
      <c r="P17" s="222">
        <v>6649720</v>
      </c>
      <c r="Q17" s="223">
        <v>9309608</v>
      </c>
    </row>
    <row r="18" spans="1:17" x14ac:dyDescent="0.3">
      <c r="A18" s="224"/>
      <c r="B18" s="225" t="s">
        <v>710</v>
      </c>
      <c r="C18" s="226"/>
      <c r="D18" s="227"/>
      <c r="E18" s="227"/>
      <c r="F18" s="227"/>
      <c r="G18" s="228"/>
      <c r="H18" s="229" t="s">
        <v>677</v>
      </c>
      <c r="I18" s="230">
        <v>360468.02175999997</v>
      </c>
      <c r="J18" s="230">
        <v>345755.04128</v>
      </c>
      <c r="K18" s="230">
        <v>331042.06079999998</v>
      </c>
      <c r="L18" s="230">
        <v>316329.08031999995</v>
      </c>
      <c r="M18" s="230">
        <v>301616.09983999998</v>
      </c>
      <c r="N18" s="230">
        <v>286903.11936000001</v>
      </c>
      <c r="O18" s="230">
        <v>272190.13887999998</v>
      </c>
      <c r="P18" s="231">
        <v>2383502.8377600005</v>
      </c>
      <c r="Q18" s="232">
        <v>4597806.4000000004</v>
      </c>
    </row>
    <row r="19" spans="1:17" s="213" customFormat="1" x14ac:dyDescent="0.3">
      <c r="A19" s="214">
        <v>8</v>
      </c>
      <c r="B19" s="215" t="s">
        <v>711</v>
      </c>
      <c r="C19" s="216" t="s">
        <v>712</v>
      </c>
      <c r="D19" s="217" t="s">
        <v>713</v>
      </c>
      <c r="E19" s="217" t="s">
        <v>714</v>
      </c>
      <c r="F19" s="217" t="s">
        <v>715</v>
      </c>
      <c r="G19" s="218">
        <v>484935.32</v>
      </c>
      <c r="H19" s="220" t="s">
        <v>675</v>
      </c>
      <c r="I19" s="221">
        <v>20312</v>
      </c>
      <c r="J19" s="221">
        <v>20312</v>
      </c>
      <c r="K19" s="221">
        <v>20312</v>
      </c>
      <c r="L19" s="221">
        <v>20312</v>
      </c>
      <c r="M19" s="221">
        <v>20312</v>
      </c>
      <c r="N19" s="221">
        <v>20312</v>
      </c>
      <c r="O19" s="221">
        <v>20312</v>
      </c>
      <c r="P19" s="222">
        <v>147262</v>
      </c>
      <c r="Q19" s="223">
        <v>289446</v>
      </c>
    </row>
    <row r="20" spans="1:17" x14ac:dyDescent="0.3">
      <c r="A20" s="224"/>
      <c r="B20" s="225" t="s">
        <v>716</v>
      </c>
      <c r="C20" s="226"/>
      <c r="D20" s="227"/>
      <c r="E20" s="227"/>
      <c r="F20" s="227"/>
      <c r="G20" s="228"/>
      <c r="H20" s="229" t="s">
        <v>677</v>
      </c>
      <c r="I20" s="230">
        <v>10457.68398</v>
      </c>
      <c r="J20" s="230">
        <v>9723.81142</v>
      </c>
      <c r="K20" s="230">
        <v>8989.9388600000002</v>
      </c>
      <c r="L20" s="230">
        <v>8256.0663000000004</v>
      </c>
      <c r="M20" s="230">
        <v>7522.1937399999997</v>
      </c>
      <c r="N20" s="230">
        <v>6788.3211799999999</v>
      </c>
      <c r="O20" s="230">
        <v>6054.4486199999992</v>
      </c>
      <c r="P20" s="231">
        <v>22016.176800000001</v>
      </c>
      <c r="Q20" s="232">
        <v>79808.640899999999</v>
      </c>
    </row>
    <row r="21" spans="1:17" s="213" customFormat="1" x14ac:dyDescent="0.3">
      <c r="A21" s="214">
        <v>9</v>
      </c>
      <c r="B21" s="215" t="s">
        <v>717</v>
      </c>
      <c r="C21" s="216" t="s">
        <v>718</v>
      </c>
      <c r="D21" s="217" t="s">
        <v>719</v>
      </c>
      <c r="E21" s="217" t="s">
        <v>720</v>
      </c>
      <c r="F21" s="217" t="s">
        <v>721</v>
      </c>
      <c r="G21" s="218">
        <v>278611.39</v>
      </c>
      <c r="H21" s="220" t="s">
        <v>675</v>
      </c>
      <c r="I21" s="221">
        <v>14476</v>
      </c>
      <c r="J21" s="221">
        <v>14476</v>
      </c>
      <c r="K21" s="221">
        <v>14476</v>
      </c>
      <c r="L21" s="221">
        <v>14476</v>
      </c>
      <c r="M21" s="221">
        <v>14476</v>
      </c>
      <c r="N21" s="221">
        <v>14476</v>
      </c>
      <c r="O21" s="221">
        <v>14476</v>
      </c>
      <c r="P21" s="222">
        <v>108570</v>
      </c>
      <c r="Q21" s="223">
        <v>209902</v>
      </c>
    </row>
    <row r="22" spans="1:17" x14ac:dyDescent="0.3">
      <c r="A22" s="224"/>
      <c r="B22" s="225" t="s">
        <v>722</v>
      </c>
      <c r="C22" s="226"/>
      <c r="D22" s="227"/>
      <c r="E22" s="227"/>
      <c r="F22" s="227"/>
      <c r="G22" s="228"/>
      <c r="H22" s="229" t="s">
        <v>677</v>
      </c>
      <c r="I22" s="230">
        <v>8515.7241400000003</v>
      </c>
      <c r="J22" s="230">
        <v>7928.4328200000009</v>
      </c>
      <c r="K22" s="230">
        <v>7341.1415000000006</v>
      </c>
      <c r="L22" s="230">
        <v>6753.8501800000004</v>
      </c>
      <c r="M22" s="230">
        <v>6166.558860000001</v>
      </c>
      <c r="N22" s="230">
        <v>5579.2675400000007</v>
      </c>
      <c r="O22" s="230">
        <v>4991.9762200000005</v>
      </c>
      <c r="P22" s="231">
        <v>18793.322239999998</v>
      </c>
      <c r="Q22" s="232">
        <v>66070.273499999996</v>
      </c>
    </row>
    <row r="23" spans="1:17" s="213" customFormat="1" x14ac:dyDescent="0.3">
      <c r="A23" s="214">
        <v>10</v>
      </c>
      <c r="B23" s="215" t="s">
        <v>723</v>
      </c>
      <c r="C23" s="216" t="s">
        <v>724</v>
      </c>
      <c r="D23" s="217" t="s">
        <v>725</v>
      </c>
      <c r="E23" s="217" t="s">
        <v>720</v>
      </c>
      <c r="F23" s="217" t="s">
        <v>726</v>
      </c>
      <c r="G23" s="218">
        <v>55899</v>
      </c>
      <c r="H23" s="220" t="s">
        <v>675</v>
      </c>
      <c r="I23" s="221">
        <v>8944</v>
      </c>
      <c r="J23" s="221">
        <v>4472</v>
      </c>
      <c r="K23" s="221">
        <v>0</v>
      </c>
      <c r="L23" s="221">
        <v>0</v>
      </c>
      <c r="M23" s="221">
        <v>0</v>
      </c>
      <c r="N23" s="221">
        <v>0</v>
      </c>
      <c r="O23" s="221">
        <v>0</v>
      </c>
      <c r="P23" s="222">
        <v>0</v>
      </c>
      <c r="Q23" s="223">
        <v>13416</v>
      </c>
    </row>
    <row r="24" spans="1:17" x14ac:dyDescent="0.3">
      <c r="A24" s="224"/>
      <c r="B24" s="225" t="s">
        <v>727</v>
      </c>
      <c r="C24" s="226"/>
      <c r="D24" s="227"/>
      <c r="E24" s="227"/>
      <c r="F24" s="227"/>
      <c r="G24" s="228"/>
      <c r="H24" s="229" t="s">
        <v>677</v>
      </c>
      <c r="I24" s="230">
        <v>544.28712000000007</v>
      </c>
      <c r="J24" s="230">
        <v>181.42904000000001</v>
      </c>
      <c r="K24" s="230">
        <v>0</v>
      </c>
      <c r="L24" s="230">
        <v>0</v>
      </c>
      <c r="M24" s="230">
        <v>0</v>
      </c>
      <c r="N24" s="230">
        <v>0</v>
      </c>
      <c r="O24" s="230">
        <v>0</v>
      </c>
      <c r="P24" s="231">
        <v>0</v>
      </c>
      <c r="Q24" s="232">
        <v>725.71616000000006</v>
      </c>
    </row>
    <row r="25" spans="1:17" s="213" customFormat="1" x14ac:dyDescent="0.3">
      <c r="A25" s="214">
        <v>11</v>
      </c>
      <c r="B25" s="215" t="s">
        <v>728</v>
      </c>
      <c r="C25" s="216" t="s">
        <v>729</v>
      </c>
      <c r="D25" s="217" t="s">
        <v>730</v>
      </c>
      <c r="E25" s="217" t="s">
        <v>720</v>
      </c>
      <c r="F25" s="217" t="s">
        <v>731</v>
      </c>
      <c r="G25" s="218">
        <v>49472</v>
      </c>
      <c r="H25" s="220" t="s">
        <v>675</v>
      </c>
      <c r="I25" s="221">
        <v>1480</v>
      </c>
      <c r="J25" s="221">
        <v>1480</v>
      </c>
      <c r="K25" s="221">
        <v>1480</v>
      </c>
      <c r="L25" s="221">
        <v>1480</v>
      </c>
      <c r="M25" s="221">
        <v>1480</v>
      </c>
      <c r="N25" s="221">
        <v>1480</v>
      </c>
      <c r="O25" s="221">
        <v>1480</v>
      </c>
      <c r="P25" s="222">
        <v>3700</v>
      </c>
      <c r="Q25" s="223">
        <v>14060</v>
      </c>
    </row>
    <row r="26" spans="1:17" x14ac:dyDescent="0.3">
      <c r="A26" s="224"/>
      <c r="B26" s="225" t="s">
        <v>732</v>
      </c>
      <c r="C26" s="226"/>
      <c r="D26" s="227"/>
      <c r="E26" s="227"/>
      <c r="F26" s="227"/>
      <c r="G26" s="228"/>
      <c r="H26" s="229" t="s">
        <v>677</v>
      </c>
      <c r="I26" s="230">
        <v>570.41420000000005</v>
      </c>
      <c r="J26" s="230">
        <v>510.37060000000002</v>
      </c>
      <c r="K26" s="230">
        <v>450.32700000000006</v>
      </c>
      <c r="L26" s="230">
        <v>390.28340000000003</v>
      </c>
      <c r="M26" s="230">
        <v>330.23980000000006</v>
      </c>
      <c r="N26" s="230">
        <v>270.19620000000003</v>
      </c>
      <c r="O26" s="230">
        <v>210.15260000000001</v>
      </c>
      <c r="P26" s="231">
        <v>270.19620000000003</v>
      </c>
      <c r="Q26" s="232">
        <v>3002.18</v>
      </c>
    </row>
    <row r="27" spans="1:17" s="213" customFormat="1" x14ac:dyDescent="0.3">
      <c r="A27" s="214">
        <v>12</v>
      </c>
      <c r="B27" s="215" t="s">
        <v>733</v>
      </c>
      <c r="C27" s="216" t="s">
        <v>734</v>
      </c>
      <c r="D27" s="217" t="s">
        <v>735</v>
      </c>
      <c r="E27" s="217" t="s">
        <v>720</v>
      </c>
      <c r="F27" s="217" t="s">
        <v>721</v>
      </c>
      <c r="G27" s="218">
        <v>238897.15</v>
      </c>
      <c r="H27" s="220" t="s">
        <v>675</v>
      </c>
      <c r="I27" s="221">
        <v>10600</v>
      </c>
      <c r="J27" s="221">
        <v>10600</v>
      </c>
      <c r="K27" s="221">
        <v>10600</v>
      </c>
      <c r="L27" s="221">
        <v>10600</v>
      </c>
      <c r="M27" s="221">
        <v>10600</v>
      </c>
      <c r="N27" s="221">
        <v>10600</v>
      </c>
      <c r="O27" s="221">
        <v>10600</v>
      </c>
      <c r="P27" s="222">
        <v>79500</v>
      </c>
      <c r="Q27" s="223">
        <v>153700</v>
      </c>
    </row>
    <row r="28" spans="1:17" x14ac:dyDescent="0.3">
      <c r="A28" s="224"/>
      <c r="B28" s="225" t="s">
        <v>736</v>
      </c>
      <c r="C28" s="226"/>
      <c r="D28" s="227"/>
      <c r="E28" s="227"/>
      <c r="F28" s="227"/>
      <c r="G28" s="228"/>
      <c r="H28" s="229" t="s">
        <v>677</v>
      </c>
      <c r="I28" s="230">
        <v>6235.6090000000004</v>
      </c>
      <c r="J28" s="230">
        <v>5805.5670000000009</v>
      </c>
      <c r="K28" s="230">
        <v>5375.5249999999996</v>
      </c>
      <c r="L28" s="230">
        <v>4945.4830000000002</v>
      </c>
      <c r="M28" s="230">
        <v>4515.4410000000007</v>
      </c>
      <c r="N28" s="230">
        <v>4085.3990000000003</v>
      </c>
      <c r="O28" s="230">
        <v>3655.357</v>
      </c>
      <c r="P28" s="231">
        <v>13761.344000000003</v>
      </c>
      <c r="Q28" s="232">
        <v>48379.725000000006</v>
      </c>
    </row>
    <row r="29" spans="1:17" s="213" customFormat="1" x14ac:dyDescent="0.3">
      <c r="A29" s="214">
        <v>13</v>
      </c>
      <c r="B29" s="215" t="s">
        <v>737</v>
      </c>
      <c r="C29" s="216" t="s">
        <v>738</v>
      </c>
      <c r="D29" s="217" t="s">
        <v>739</v>
      </c>
      <c r="E29" s="217" t="s">
        <v>740</v>
      </c>
      <c r="F29" s="217" t="s">
        <v>741</v>
      </c>
      <c r="G29" s="218">
        <v>34291</v>
      </c>
      <c r="H29" s="220" t="s">
        <v>675</v>
      </c>
      <c r="I29" s="221">
        <v>3548</v>
      </c>
      <c r="J29" s="221">
        <v>3548</v>
      </c>
      <c r="K29" s="221">
        <v>3548</v>
      </c>
      <c r="L29" s="221">
        <v>3548</v>
      </c>
      <c r="M29" s="221">
        <v>1774</v>
      </c>
      <c r="N29" s="221">
        <v>0</v>
      </c>
      <c r="O29" s="221">
        <v>0</v>
      </c>
      <c r="P29" s="222">
        <v>0</v>
      </c>
      <c r="Q29" s="223">
        <v>15966</v>
      </c>
    </row>
    <row r="30" spans="1:17" x14ac:dyDescent="0.3">
      <c r="A30" s="224"/>
      <c r="B30" s="225" t="s">
        <v>742</v>
      </c>
      <c r="C30" s="226"/>
      <c r="D30" s="227"/>
      <c r="E30" s="227"/>
      <c r="F30" s="227"/>
      <c r="G30" s="228"/>
      <c r="H30" s="229" t="s">
        <v>677</v>
      </c>
      <c r="I30" s="230">
        <v>704.89890000000003</v>
      </c>
      <c r="J30" s="230">
        <v>548.25469999999996</v>
      </c>
      <c r="K30" s="230">
        <v>391.6105</v>
      </c>
      <c r="L30" s="230">
        <v>234.96630000000002</v>
      </c>
      <c r="M30" s="230">
        <v>78.322100000000006</v>
      </c>
      <c r="N30" s="230">
        <v>0</v>
      </c>
      <c r="O30" s="230">
        <v>0</v>
      </c>
      <c r="P30" s="231">
        <v>0</v>
      </c>
      <c r="Q30" s="232">
        <v>1958.0525000000002</v>
      </c>
    </row>
    <row r="31" spans="1:17" s="213" customFormat="1" x14ac:dyDescent="0.3">
      <c r="A31" s="214">
        <v>14</v>
      </c>
      <c r="B31" s="215" t="s">
        <v>743</v>
      </c>
      <c r="C31" s="216" t="s">
        <v>744</v>
      </c>
      <c r="D31" s="217" t="s">
        <v>745</v>
      </c>
      <c r="E31" s="217" t="s">
        <v>746</v>
      </c>
      <c r="F31" s="217" t="s">
        <v>747</v>
      </c>
      <c r="G31" s="218">
        <v>2609698.31</v>
      </c>
      <c r="H31" s="220" t="s">
        <v>675</v>
      </c>
      <c r="I31" s="221">
        <v>94200</v>
      </c>
      <c r="J31" s="221">
        <v>94200</v>
      </c>
      <c r="K31" s="221">
        <v>94200</v>
      </c>
      <c r="L31" s="221">
        <v>94200</v>
      </c>
      <c r="M31" s="221">
        <v>94200</v>
      </c>
      <c r="N31" s="221">
        <v>94200</v>
      </c>
      <c r="O31" s="221">
        <v>94200</v>
      </c>
      <c r="P31" s="222">
        <v>1667739.31</v>
      </c>
      <c r="Q31" s="223">
        <v>2327139.31</v>
      </c>
    </row>
    <row r="32" spans="1:17" x14ac:dyDescent="0.3">
      <c r="A32" s="224"/>
      <c r="B32" s="225" t="s">
        <v>748</v>
      </c>
      <c r="C32" s="226"/>
      <c r="D32" s="227"/>
      <c r="E32" s="227"/>
      <c r="F32" s="227"/>
      <c r="G32" s="228"/>
      <c r="H32" s="229" t="s">
        <v>677</v>
      </c>
      <c r="I32" s="230">
        <v>101556.35948839999</v>
      </c>
      <c r="J32" s="230">
        <v>97445.471488400013</v>
      </c>
      <c r="K32" s="230">
        <v>93334.583488400007</v>
      </c>
      <c r="L32" s="230">
        <v>89223.695488400001</v>
      </c>
      <c r="M32" s="230">
        <v>85112.807488400009</v>
      </c>
      <c r="N32" s="230">
        <v>81001.919488400003</v>
      </c>
      <c r="O32" s="230">
        <v>76891.031488399996</v>
      </c>
      <c r="P32" s="231">
        <v>681076.71879120008</v>
      </c>
      <c r="Q32" s="232">
        <v>1305642.58721</v>
      </c>
    </row>
    <row r="33" spans="1:17" s="213" customFormat="1" x14ac:dyDescent="0.3">
      <c r="A33" s="214">
        <v>15</v>
      </c>
      <c r="B33" s="215" t="s">
        <v>749</v>
      </c>
      <c r="C33" s="216" t="s">
        <v>750</v>
      </c>
      <c r="D33" s="217" t="s">
        <v>751</v>
      </c>
      <c r="E33" s="217" t="s">
        <v>746</v>
      </c>
      <c r="F33" s="217" t="s">
        <v>747</v>
      </c>
      <c r="G33" s="218">
        <v>3496295</v>
      </c>
      <c r="H33" s="220" t="s">
        <v>675</v>
      </c>
      <c r="I33" s="221">
        <v>125996</v>
      </c>
      <c r="J33" s="221">
        <v>125996</v>
      </c>
      <c r="K33" s="221">
        <v>125996</v>
      </c>
      <c r="L33" s="221">
        <v>125996</v>
      </c>
      <c r="M33" s="221">
        <v>125996</v>
      </c>
      <c r="N33" s="221">
        <v>125996</v>
      </c>
      <c r="O33" s="221">
        <v>125996</v>
      </c>
      <c r="P33" s="222">
        <v>2236429</v>
      </c>
      <c r="Q33" s="223">
        <v>3118401</v>
      </c>
    </row>
    <row r="34" spans="1:17" x14ac:dyDescent="0.3">
      <c r="A34" s="224"/>
      <c r="B34" s="225" t="s">
        <v>752</v>
      </c>
      <c r="C34" s="226"/>
      <c r="D34" s="227"/>
      <c r="E34" s="227"/>
      <c r="F34" s="227"/>
      <c r="G34" s="228"/>
      <c r="H34" s="229" t="s">
        <v>677</v>
      </c>
      <c r="I34" s="230">
        <v>136087.01963999998</v>
      </c>
      <c r="J34" s="230">
        <v>130588.5542</v>
      </c>
      <c r="K34" s="230">
        <v>125090.08876</v>
      </c>
      <c r="L34" s="230">
        <v>119591.62332</v>
      </c>
      <c r="M34" s="230">
        <v>114093.15787999998</v>
      </c>
      <c r="N34" s="230">
        <v>108594.69243999998</v>
      </c>
      <c r="O34" s="230">
        <v>103096.227</v>
      </c>
      <c r="P34" s="231">
        <v>915494.49575999985</v>
      </c>
      <c r="Q34" s="232">
        <v>1752635.8589999997</v>
      </c>
    </row>
    <row r="35" spans="1:17" s="213" customFormat="1" x14ac:dyDescent="0.3">
      <c r="A35" s="214">
        <v>16</v>
      </c>
      <c r="B35" s="215" t="s">
        <v>717</v>
      </c>
      <c r="C35" s="216" t="s">
        <v>753</v>
      </c>
      <c r="D35" s="217" t="s">
        <v>754</v>
      </c>
      <c r="E35" s="217" t="s">
        <v>755</v>
      </c>
      <c r="F35" s="217" t="s">
        <v>756</v>
      </c>
      <c r="G35" s="218">
        <v>190122</v>
      </c>
      <c r="H35" s="220" t="s">
        <v>675</v>
      </c>
      <c r="I35" s="221">
        <v>9752</v>
      </c>
      <c r="J35" s="221">
        <v>9752</v>
      </c>
      <c r="K35" s="221">
        <v>9752</v>
      </c>
      <c r="L35" s="221">
        <v>9752</v>
      </c>
      <c r="M35" s="221">
        <v>9752</v>
      </c>
      <c r="N35" s="221">
        <v>9752</v>
      </c>
      <c r="O35" s="221">
        <v>9752</v>
      </c>
      <c r="P35" s="222">
        <v>75572</v>
      </c>
      <c r="Q35" s="223">
        <v>143836</v>
      </c>
    </row>
    <row r="36" spans="1:17" x14ac:dyDescent="0.3">
      <c r="A36" s="224"/>
      <c r="B36" s="225" t="s">
        <v>757</v>
      </c>
      <c r="C36" s="226"/>
      <c r="D36" s="227"/>
      <c r="E36" s="227"/>
      <c r="F36" s="227"/>
      <c r="G36" s="228"/>
      <c r="H36" s="229" t="s">
        <v>677</v>
      </c>
      <c r="I36" s="230">
        <v>5969.1940000000004</v>
      </c>
      <c r="J36" s="230">
        <v>5564.4860000000008</v>
      </c>
      <c r="K36" s="230">
        <v>5159.7780000000002</v>
      </c>
      <c r="L36" s="230">
        <v>4755.0700000000006</v>
      </c>
      <c r="M36" s="230">
        <v>4350.3620000000001</v>
      </c>
      <c r="N36" s="230">
        <v>3945.6540000000005</v>
      </c>
      <c r="O36" s="230">
        <v>3540.9460000000004</v>
      </c>
      <c r="P36" s="231">
        <v>13758.08</v>
      </c>
      <c r="Q36" s="232">
        <v>47043.570000000007</v>
      </c>
    </row>
    <row r="37" spans="1:17" s="213" customFormat="1" collapsed="1" x14ac:dyDescent="0.3">
      <c r="A37" s="214">
        <v>17</v>
      </c>
      <c r="B37" s="215" t="s">
        <v>758</v>
      </c>
      <c r="C37" s="216" t="s">
        <v>759</v>
      </c>
      <c r="D37" s="217" t="s">
        <v>760</v>
      </c>
      <c r="E37" s="217" t="s">
        <v>761</v>
      </c>
      <c r="F37" s="217" t="s">
        <v>756</v>
      </c>
      <c r="G37" s="218">
        <v>177076.43</v>
      </c>
      <c r="H37" s="220" t="s">
        <v>675</v>
      </c>
      <c r="I37" s="221">
        <v>9200</v>
      </c>
      <c r="J37" s="221">
        <v>9200</v>
      </c>
      <c r="K37" s="221">
        <v>9200</v>
      </c>
      <c r="L37" s="221">
        <v>9200</v>
      </c>
      <c r="M37" s="221">
        <v>9200</v>
      </c>
      <c r="N37" s="221">
        <v>9200</v>
      </c>
      <c r="O37" s="221">
        <v>9200</v>
      </c>
      <c r="P37" s="222">
        <v>71300</v>
      </c>
      <c r="Q37" s="223">
        <v>135700</v>
      </c>
    </row>
    <row r="38" spans="1:17" x14ac:dyDescent="0.3">
      <c r="A38" s="224"/>
      <c r="B38" s="225" t="s">
        <v>762</v>
      </c>
      <c r="C38" s="226"/>
      <c r="D38" s="227"/>
      <c r="E38" s="227"/>
      <c r="F38" s="227"/>
      <c r="G38" s="228"/>
      <c r="H38" s="229" t="s">
        <v>677</v>
      </c>
      <c r="I38" s="230">
        <v>5631.55</v>
      </c>
      <c r="J38" s="230">
        <v>5249.75</v>
      </c>
      <c r="K38" s="230">
        <v>4867.9500000000007</v>
      </c>
      <c r="L38" s="230">
        <v>4486.1500000000005</v>
      </c>
      <c r="M38" s="230">
        <v>4104.3500000000004</v>
      </c>
      <c r="N38" s="230">
        <v>3722.5500000000006</v>
      </c>
      <c r="O38" s="230">
        <v>3340.75</v>
      </c>
      <c r="P38" s="231">
        <v>12981.2</v>
      </c>
      <c r="Q38" s="232">
        <v>44384.25</v>
      </c>
    </row>
    <row r="39" spans="1:17" s="213" customFormat="1" collapsed="1" x14ac:dyDescent="0.3">
      <c r="A39" s="214">
        <v>18</v>
      </c>
      <c r="B39" s="215" t="s">
        <v>763</v>
      </c>
      <c r="C39" s="216" t="s">
        <v>764</v>
      </c>
      <c r="D39" s="217" t="s">
        <v>765</v>
      </c>
      <c r="E39" s="217" t="s">
        <v>761</v>
      </c>
      <c r="F39" s="217" t="s">
        <v>766</v>
      </c>
      <c r="G39" s="218">
        <v>1174139.99</v>
      </c>
      <c r="H39" s="220" t="s">
        <v>675</v>
      </c>
      <c r="I39" s="221">
        <v>80976</v>
      </c>
      <c r="J39" s="221">
        <v>80976</v>
      </c>
      <c r="K39" s="221">
        <v>80976</v>
      </c>
      <c r="L39" s="221">
        <v>80976</v>
      </c>
      <c r="M39" s="221">
        <v>80976</v>
      </c>
      <c r="N39" s="221">
        <v>80976</v>
      </c>
      <c r="O39" s="221">
        <v>80976</v>
      </c>
      <c r="P39" s="222">
        <v>222683.99</v>
      </c>
      <c r="Q39" s="223">
        <v>789515.99</v>
      </c>
    </row>
    <row r="40" spans="1:17" x14ac:dyDescent="0.3">
      <c r="A40" s="224"/>
      <c r="B40" s="225"/>
      <c r="C40" s="226"/>
      <c r="D40" s="227"/>
      <c r="E40" s="227"/>
      <c r="F40" s="227"/>
      <c r="G40" s="228"/>
      <c r="H40" s="229" t="s">
        <v>677</v>
      </c>
      <c r="I40" s="230">
        <v>32764.913585000002</v>
      </c>
      <c r="J40" s="230">
        <v>29404.409585000001</v>
      </c>
      <c r="K40" s="230">
        <v>26043.905585000004</v>
      </c>
      <c r="L40" s="230">
        <v>22683.401585000003</v>
      </c>
      <c r="M40" s="230">
        <v>19322.897585000002</v>
      </c>
      <c r="N40" s="230">
        <v>15962.393585000002</v>
      </c>
      <c r="O40" s="230">
        <v>12601.889585000003</v>
      </c>
      <c r="P40" s="231">
        <v>17642.644755000001</v>
      </c>
      <c r="Q40" s="232">
        <v>176426.45585000003</v>
      </c>
    </row>
    <row r="41" spans="1:17" s="213" customFormat="1" x14ac:dyDescent="0.3">
      <c r="A41" s="214">
        <v>19</v>
      </c>
      <c r="B41" s="215" t="s">
        <v>767</v>
      </c>
      <c r="C41" s="216" t="s">
        <v>768</v>
      </c>
      <c r="D41" s="217" t="s">
        <v>769</v>
      </c>
      <c r="E41" s="217" t="s">
        <v>770</v>
      </c>
      <c r="F41" s="217" t="s">
        <v>771</v>
      </c>
      <c r="G41" s="218">
        <v>388132.51</v>
      </c>
      <c r="H41" s="220" t="s">
        <v>675</v>
      </c>
      <c r="I41" s="221">
        <v>38968</v>
      </c>
      <c r="J41" s="221">
        <v>38968</v>
      </c>
      <c r="K41" s="221">
        <v>38968</v>
      </c>
      <c r="L41" s="221">
        <v>38968</v>
      </c>
      <c r="M41" s="221">
        <v>29226</v>
      </c>
      <c r="N41" s="221">
        <v>0</v>
      </c>
      <c r="O41" s="221">
        <v>0</v>
      </c>
      <c r="P41" s="222">
        <v>0</v>
      </c>
      <c r="Q41" s="223">
        <v>185098</v>
      </c>
    </row>
    <row r="42" spans="1:17" x14ac:dyDescent="0.3">
      <c r="A42" s="224"/>
      <c r="B42" s="225"/>
      <c r="C42" s="226"/>
      <c r="D42" s="227"/>
      <c r="E42" s="227"/>
      <c r="F42" s="227"/>
      <c r="G42" s="228"/>
      <c r="H42" s="229" t="s">
        <v>677</v>
      </c>
      <c r="I42" s="230">
        <v>7681.5670000000009</v>
      </c>
      <c r="J42" s="230">
        <v>6064.3950000000004</v>
      </c>
      <c r="K42" s="230">
        <v>4447.2230000000009</v>
      </c>
      <c r="L42" s="230">
        <v>2830.0510000000004</v>
      </c>
      <c r="M42" s="230">
        <v>1212.8790000000001</v>
      </c>
      <c r="N42" s="230">
        <v>0</v>
      </c>
      <c r="O42" s="230">
        <v>0</v>
      </c>
      <c r="P42" s="231">
        <v>0</v>
      </c>
      <c r="Q42" s="232">
        <v>22236.115000000002</v>
      </c>
    </row>
    <row r="43" spans="1:17" s="213" customFormat="1" x14ac:dyDescent="0.3">
      <c r="A43" s="214">
        <v>20</v>
      </c>
      <c r="B43" s="215" t="s">
        <v>717</v>
      </c>
      <c r="C43" s="216" t="s">
        <v>772</v>
      </c>
      <c r="D43" s="217" t="s">
        <v>773</v>
      </c>
      <c r="E43" s="217" t="s">
        <v>774</v>
      </c>
      <c r="F43" s="217" t="s">
        <v>775</v>
      </c>
      <c r="G43" s="218">
        <v>160577.24</v>
      </c>
      <c r="H43" s="220" t="s">
        <v>675</v>
      </c>
      <c r="I43" s="221">
        <v>8236</v>
      </c>
      <c r="J43" s="221">
        <v>8236</v>
      </c>
      <c r="K43" s="221">
        <v>8236</v>
      </c>
      <c r="L43" s="221">
        <v>8236</v>
      </c>
      <c r="M43" s="221">
        <v>8236</v>
      </c>
      <c r="N43" s="221">
        <v>8236</v>
      </c>
      <c r="O43" s="221">
        <v>8236</v>
      </c>
      <c r="P43" s="222">
        <v>65888</v>
      </c>
      <c r="Q43" s="223">
        <v>123540</v>
      </c>
    </row>
    <row r="44" spans="1:17" x14ac:dyDescent="0.3">
      <c r="A44" s="224"/>
      <c r="B44" s="225" t="s">
        <v>776</v>
      </c>
      <c r="C44" s="226"/>
      <c r="D44" s="227"/>
      <c r="E44" s="227"/>
      <c r="F44" s="227"/>
      <c r="G44" s="228"/>
      <c r="H44" s="229" t="s">
        <v>677</v>
      </c>
      <c r="I44" s="230">
        <v>5126.9100000000008</v>
      </c>
      <c r="J44" s="230">
        <v>4785.116</v>
      </c>
      <c r="K44" s="230">
        <v>4443.3220000000001</v>
      </c>
      <c r="L44" s="230">
        <v>4101.5280000000002</v>
      </c>
      <c r="M44" s="230">
        <v>3759.7340000000004</v>
      </c>
      <c r="N44" s="230">
        <v>3417.9400000000005</v>
      </c>
      <c r="O44" s="230">
        <v>3076.1460000000002</v>
      </c>
      <c r="P44" s="231">
        <v>12304.583999999999</v>
      </c>
      <c r="Q44" s="232">
        <v>41015.279999999999</v>
      </c>
    </row>
    <row r="45" spans="1:17" s="213" customFormat="1" x14ac:dyDescent="0.3">
      <c r="A45" s="214">
        <v>21</v>
      </c>
      <c r="B45" s="215" t="s">
        <v>777</v>
      </c>
      <c r="C45" s="216" t="s">
        <v>778</v>
      </c>
      <c r="D45" s="217" t="s">
        <v>779</v>
      </c>
      <c r="E45" s="217" t="s">
        <v>780</v>
      </c>
      <c r="F45" s="217" t="s">
        <v>781</v>
      </c>
      <c r="G45" s="218">
        <v>131127</v>
      </c>
      <c r="H45" s="220" t="s">
        <v>675</v>
      </c>
      <c r="I45" s="221">
        <v>6728</v>
      </c>
      <c r="J45" s="221">
        <v>6728</v>
      </c>
      <c r="K45" s="221">
        <v>6728</v>
      </c>
      <c r="L45" s="221">
        <v>6728</v>
      </c>
      <c r="M45" s="221">
        <v>6728</v>
      </c>
      <c r="N45" s="221">
        <v>6728</v>
      </c>
      <c r="O45" s="221">
        <v>6728</v>
      </c>
      <c r="P45" s="222">
        <v>53824</v>
      </c>
      <c r="Q45" s="223">
        <v>100920</v>
      </c>
    </row>
    <row r="46" spans="1:17" x14ac:dyDescent="0.3">
      <c r="A46" s="224"/>
      <c r="B46" s="225" t="s">
        <v>782</v>
      </c>
      <c r="C46" s="226"/>
      <c r="D46" s="227"/>
      <c r="E46" s="227"/>
      <c r="F46" s="227"/>
      <c r="G46" s="228"/>
      <c r="H46" s="229" t="s">
        <v>677</v>
      </c>
      <c r="I46" s="230">
        <v>4188.18</v>
      </c>
      <c r="J46" s="230">
        <v>3908.9680000000003</v>
      </c>
      <c r="K46" s="230">
        <v>3629.7560000000003</v>
      </c>
      <c r="L46" s="230">
        <v>3350.5440000000003</v>
      </c>
      <c r="M46" s="230">
        <v>3071.3320000000003</v>
      </c>
      <c r="N46" s="230">
        <v>2792.12</v>
      </c>
      <c r="O46" s="230">
        <v>2512.9080000000004</v>
      </c>
      <c r="P46" s="231">
        <v>10051.632000000001</v>
      </c>
      <c r="Q46" s="232">
        <v>33505.440000000002</v>
      </c>
    </row>
    <row r="47" spans="1:17" s="213" customFormat="1" x14ac:dyDescent="0.3">
      <c r="A47" s="214">
        <v>22</v>
      </c>
      <c r="B47" s="215" t="s">
        <v>783</v>
      </c>
      <c r="C47" s="216" t="s">
        <v>784</v>
      </c>
      <c r="D47" s="217" t="s">
        <v>785</v>
      </c>
      <c r="E47" s="217" t="s">
        <v>786</v>
      </c>
      <c r="F47" s="217" t="s">
        <v>787</v>
      </c>
      <c r="G47" s="218">
        <v>5678344.2000000002</v>
      </c>
      <c r="H47" s="220" t="s">
        <v>675</v>
      </c>
      <c r="I47" s="221">
        <v>395316</v>
      </c>
      <c r="J47" s="221">
        <v>363420</v>
      </c>
      <c r="K47" s="221">
        <v>344336</v>
      </c>
      <c r="L47" s="221">
        <v>314856</v>
      </c>
      <c r="M47" s="221">
        <v>305080</v>
      </c>
      <c r="N47" s="221">
        <v>279984</v>
      </c>
      <c r="O47" s="221">
        <v>252100</v>
      </c>
      <c r="P47" s="222">
        <v>777092</v>
      </c>
      <c r="Q47" s="223">
        <v>3032184</v>
      </c>
    </row>
    <row r="48" spans="1:17" x14ac:dyDescent="0.3">
      <c r="A48" s="224"/>
      <c r="B48" s="225" t="s">
        <v>788</v>
      </c>
      <c r="C48" s="226"/>
      <c r="D48" s="227"/>
      <c r="E48" s="227"/>
      <c r="F48" s="227"/>
      <c r="G48" s="228"/>
      <c r="H48" s="229" t="s">
        <v>677</v>
      </c>
      <c r="I48" s="230">
        <v>117497.13</v>
      </c>
      <c r="J48" s="230">
        <v>102178.63499999999</v>
      </c>
      <c r="K48" s="230">
        <v>88096.11</v>
      </c>
      <c r="L48" s="230">
        <v>74753.09</v>
      </c>
      <c r="M48" s="230">
        <v>62552.42</v>
      </c>
      <c r="N48" s="230">
        <v>50730.57</v>
      </c>
      <c r="O48" s="230">
        <v>39881.19</v>
      </c>
      <c r="P48" s="231">
        <v>64400.01999999999</v>
      </c>
      <c r="Q48" s="232">
        <v>600089.16500000004</v>
      </c>
    </row>
    <row r="49" spans="1:17" s="213" customFormat="1" x14ac:dyDescent="0.3">
      <c r="A49" s="214">
        <v>23</v>
      </c>
      <c r="B49" s="215" t="s">
        <v>789</v>
      </c>
      <c r="C49" s="216" t="s">
        <v>790</v>
      </c>
      <c r="D49" s="217" t="s">
        <v>791</v>
      </c>
      <c r="E49" s="217" t="s">
        <v>792</v>
      </c>
      <c r="F49" s="217" t="s">
        <v>793</v>
      </c>
      <c r="G49" s="218">
        <v>117517</v>
      </c>
      <c r="H49" s="220" t="s">
        <v>675</v>
      </c>
      <c r="I49" s="221">
        <v>1932</v>
      </c>
      <c r="J49" s="221">
        <v>1932</v>
      </c>
      <c r="K49" s="221">
        <v>1932</v>
      </c>
      <c r="L49" s="221">
        <v>1932</v>
      </c>
      <c r="M49" s="221">
        <v>1932</v>
      </c>
      <c r="N49" s="221">
        <v>483</v>
      </c>
      <c r="O49" s="221">
        <v>0</v>
      </c>
      <c r="P49" s="222">
        <v>0</v>
      </c>
      <c r="Q49" s="223">
        <v>10143</v>
      </c>
    </row>
    <row r="50" spans="1:17" x14ac:dyDescent="0.3">
      <c r="A50" s="224"/>
      <c r="B50" s="225" t="s">
        <v>794</v>
      </c>
      <c r="C50" s="226"/>
      <c r="D50" s="227"/>
      <c r="E50" s="227"/>
      <c r="F50" s="227"/>
      <c r="G50" s="228"/>
      <c r="H50" s="229" t="s">
        <v>677</v>
      </c>
      <c r="I50" s="230">
        <v>412.92152999999996</v>
      </c>
      <c r="J50" s="230">
        <v>334.26981000000001</v>
      </c>
      <c r="K50" s="230">
        <v>255.61808999999997</v>
      </c>
      <c r="L50" s="230">
        <v>176.96636999999998</v>
      </c>
      <c r="M50" s="230">
        <v>98.31465</v>
      </c>
      <c r="N50" s="230">
        <v>19.662929999999999</v>
      </c>
      <c r="O50" s="230">
        <v>0</v>
      </c>
      <c r="P50" s="231">
        <v>0</v>
      </c>
      <c r="Q50" s="232">
        <v>1297.7533799999999</v>
      </c>
    </row>
    <row r="51" spans="1:17" s="213" customFormat="1" x14ac:dyDescent="0.3">
      <c r="A51" s="214">
        <v>24</v>
      </c>
      <c r="B51" s="215" t="s">
        <v>795</v>
      </c>
      <c r="C51" s="216" t="s">
        <v>796</v>
      </c>
      <c r="D51" s="217" t="s">
        <v>797</v>
      </c>
      <c r="E51" s="217" t="s">
        <v>798</v>
      </c>
      <c r="F51" s="217" t="s">
        <v>799</v>
      </c>
      <c r="G51" s="218">
        <v>2227434</v>
      </c>
      <c r="H51" s="220" t="s">
        <v>675</v>
      </c>
      <c r="I51" s="221">
        <v>70440</v>
      </c>
      <c r="J51" s="221">
        <v>70440</v>
      </c>
      <c r="K51" s="221">
        <v>70440</v>
      </c>
      <c r="L51" s="221">
        <v>70440</v>
      </c>
      <c r="M51" s="221">
        <v>70440</v>
      </c>
      <c r="N51" s="221">
        <v>70440</v>
      </c>
      <c r="O51" s="221">
        <v>70440</v>
      </c>
      <c r="P51" s="222">
        <v>1303140</v>
      </c>
      <c r="Q51" s="223">
        <v>1796220</v>
      </c>
    </row>
    <row r="52" spans="1:17" x14ac:dyDescent="0.3">
      <c r="A52" s="224"/>
      <c r="B52" s="225" t="s">
        <v>800</v>
      </c>
      <c r="C52" s="226"/>
      <c r="D52" s="227"/>
      <c r="E52" s="227"/>
      <c r="F52" s="227"/>
      <c r="G52" s="228"/>
      <c r="H52" s="229" t="s">
        <v>677</v>
      </c>
      <c r="I52" s="230">
        <v>75243.655800000008</v>
      </c>
      <c r="J52" s="230">
        <v>72292.924199999994</v>
      </c>
      <c r="K52" s="230">
        <v>69342.192599999995</v>
      </c>
      <c r="L52" s="230">
        <v>66391.460999999996</v>
      </c>
      <c r="M52" s="230">
        <v>63440.729400000004</v>
      </c>
      <c r="N52" s="230">
        <v>60489.997800000005</v>
      </c>
      <c r="O52" s="230">
        <v>57539.266199999998</v>
      </c>
      <c r="P52" s="231">
        <v>532607.05380000023</v>
      </c>
      <c r="Q52" s="232">
        <v>997347.2808000003</v>
      </c>
    </row>
    <row r="53" spans="1:17" s="213" customFormat="1" x14ac:dyDescent="0.3">
      <c r="A53" s="214">
        <v>25</v>
      </c>
      <c r="B53" s="215" t="s">
        <v>801</v>
      </c>
      <c r="C53" s="216" t="s">
        <v>802</v>
      </c>
      <c r="D53" s="217" t="s">
        <v>803</v>
      </c>
      <c r="E53" s="217" t="s">
        <v>804</v>
      </c>
      <c r="F53" s="217" t="s">
        <v>805</v>
      </c>
      <c r="G53" s="218">
        <v>531484</v>
      </c>
      <c r="H53" s="220" t="s">
        <v>675</v>
      </c>
      <c r="I53" s="221">
        <v>36656</v>
      </c>
      <c r="J53" s="221">
        <v>36656</v>
      </c>
      <c r="K53" s="221">
        <v>36656</v>
      </c>
      <c r="L53" s="221">
        <v>36656</v>
      </c>
      <c r="M53" s="221">
        <v>36656</v>
      </c>
      <c r="N53" s="221">
        <v>36656</v>
      </c>
      <c r="O53" s="221">
        <v>36656</v>
      </c>
      <c r="P53" s="222">
        <v>137460</v>
      </c>
      <c r="Q53" s="223">
        <v>394052</v>
      </c>
    </row>
    <row r="54" spans="1:17" x14ac:dyDescent="0.3">
      <c r="A54" s="224"/>
      <c r="B54" s="225"/>
      <c r="C54" s="226"/>
      <c r="D54" s="227"/>
      <c r="E54" s="227"/>
      <c r="F54" s="227"/>
      <c r="G54" s="228"/>
      <c r="H54" s="229" t="s">
        <v>677</v>
      </c>
      <c r="I54" s="230">
        <v>16353.158000000001</v>
      </c>
      <c r="J54" s="230">
        <v>14831.934000000001</v>
      </c>
      <c r="K54" s="230">
        <v>13310.71</v>
      </c>
      <c r="L54" s="230">
        <v>11789.486000000001</v>
      </c>
      <c r="M54" s="230">
        <v>10268.262000000001</v>
      </c>
      <c r="N54" s="230">
        <v>8747.0380000000005</v>
      </c>
      <c r="O54" s="230">
        <v>7225.8140000000003</v>
      </c>
      <c r="P54" s="231">
        <v>13691.016</v>
      </c>
      <c r="Q54" s="232">
        <v>96217.418000000005</v>
      </c>
    </row>
    <row r="55" spans="1:17" s="213" customFormat="1" x14ac:dyDescent="0.3">
      <c r="A55" s="214">
        <v>26</v>
      </c>
      <c r="B55" s="215" t="s">
        <v>806</v>
      </c>
      <c r="C55" s="216" t="s">
        <v>807</v>
      </c>
      <c r="D55" s="217" t="s">
        <v>808</v>
      </c>
      <c r="E55" s="217" t="s">
        <v>809</v>
      </c>
      <c r="F55" s="217" t="s">
        <v>810</v>
      </c>
      <c r="G55" s="218">
        <v>583938.46</v>
      </c>
      <c r="H55" s="220" t="s">
        <v>675</v>
      </c>
      <c r="I55" s="221">
        <v>31568</v>
      </c>
      <c r="J55" s="221">
        <v>31568</v>
      </c>
      <c r="K55" s="221">
        <v>31568</v>
      </c>
      <c r="L55" s="221">
        <v>31568</v>
      </c>
      <c r="M55" s="221">
        <v>31568</v>
      </c>
      <c r="N55" s="221">
        <v>31568</v>
      </c>
      <c r="O55" s="221">
        <v>31568</v>
      </c>
      <c r="P55" s="222">
        <v>284112</v>
      </c>
      <c r="Q55" s="223">
        <v>505088</v>
      </c>
    </row>
    <row r="56" spans="1:17" x14ac:dyDescent="0.3">
      <c r="A56" s="224"/>
      <c r="B56" s="225"/>
      <c r="C56" s="226"/>
      <c r="D56" s="227"/>
      <c r="E56" s="227"/>
      <c r="F56" s="227"/>
      <c r="G56" s="228"/>
      <c r="H56" s="229" t="s">
        <v>677</v>
      </c>
      <c r="I56" s="230">
        <v>20961.152000000002</v>
      </c>
      <c r="J56" s="230">
        <v>19651.080000000002</v>
      </c>
      <c r="K56" s="230">
        <v>18341.008000000002</v>
      </c>
      <c r="L56" s="230">
        <v>17030.936000000002</v>
      </c>
      <c r="M56" s="230">
        <v>15720.864000000001</v>
      </c>
      <c r="N56" s="230">
        <v>14410.792000000001</v>
      </c>
      <c r="O56" s="230">
        <v>13100.72</v>
      </c>
      <c r="P56" s="231">
        <v>58953.240000000005</v>
      </c>
      <c r="Q56" s="232">
        <v>178169.79200000002</v>
      </c>
    </row>
    <row r="57" spans="1:17" s="213" customFormat="1" x14ac:dyDescent="0.3">
      <c r="A57" s="214">
        <v>27</v>
      </c>
      <c r="B57" s="215" t="s">
        <v>811</v>
      </c>
      <c r="C57" s="216" t="s">
        <v>812</v>
      </c>
      <c r="D57" s="217" t="s">
        <v>813</v>
      </c>
      <c r="E57" s="217" t="s">
        <v>814</v>
      </c>
      <c r="F57" s="217" t="s">
        <v>815</v>
      </c>
      <c r="G57" s="218">
        <v>2556845.52</v>
      </c>
      <c r="H57" s="220" t="s">
        <v>675</v>
      </c>
      <c r="I57" s="221">
        <v>96316</v>
      </c>
      <c r="J57" s="221">
        <v>96316</v>
      </c>
      <c r="K57" s="221">
        <v>96316</v>
      </c>
      <c r="L57" s="221">
        <v>96316</v>
      </c>
      <c r="M57" s="221">
        <v>96316</v>
      </c>
      <c r="N57" s="221">
        <v>96316</v>
      </c>
      <c r="O57" s="221">
        <v>96316</v>
      </c>
      <c r="P57" s="222">
        <v>1666007.52</v>
      </c>
      <c r="Q57" s="223">
        <v>2340219.52</v>
      </c>
    </row>
    <row r="58" spans="1:17" x14ac:dyDescent="0.3">
      <c r="A58" s="224"/>
      <c r="B58" s="225"/>
      <c r="C58" s="226"/>
      <c r="D58" s="227"/>
      <c r="E58" s="227"/>
      <c r="F58" s="227"/>
      <c r="G58" s="228"/>
      <c r="H58" s="229" t="s">
        <v>677</v>
      </c>
      <c r="I58" s="230">
        <v>140951.42168959999</v>
      </c>
      <c r="J58" s="230">
        <v>135150.30900959999</v>
      </c>
      <c r="K58" s="230">
        <v>129349.19632959999</v>
      </c>
      <c r="L58" s="230">
        <v>123548.0836496</v>
      </c>
      <c r="M58" s="230">
        <v>117746.97096959999</v>
      </c>
      <c r="N58" s="230">
        <v>111945.8582896</v>
      </c>
      <c r="O58" s="230">
        <v>106144.74560960001</v>
      </c>
      <c r="P58" s="231">
        <v>918615.15269280004</v>
      </c>
      <c r="Q58" s="232">
        <v>1783451.7382399999</v>
      </c>
    </row>
    <row r="59" spans="1:17" s="213" customFormat="1" x14ac:dyDescent="0.3">
      <c r="A59" s="214">
        <v>28</v>
      </c>
      <c r="B59" s="215" t="s">
        <v>816</v>
      </c>
      <c r="C59" s="216" t="s">
        <v>817</v>
      </c>
      <c r="D59" s="217" t="s">
        <v>818</v>
      </c>
      <c r="E59" s="217" t="s">
        <v>819</v>
      </c>
      <c r="F59" s="217" t="s">
        <v>820</v>
      </c>
      <c r="G59" s="218">
        <v>1410783</v>
      </c>
      <c r="H59" s="220" t="s">
        <v>675</v>
      </c>
      <c r="I59" s="221">
        <v>88284</v>
      </c>
      <c r="J59" s="221">
        <v>88284</v>
      </c>
      <c r="K59" s="221">
        <v>88284</v>
      </c>
      <c r="L59" s="221">
        <v>88284</v>
      </c>
      <c r="M59" s="221">
        <v>88284</v>
      </c>
      <c r="N59" s="221">
        <v>88284</v>
      </c>
      <c r="O59" s="221">
        <v>88284</v>
      </c>
      <c r="P59" s="222">
        <v>397278</v>
      </c>
      <c r="Q59" s="223">
        <v>1015266</v>
      </c>
    </row>
    <row r="60" spans="1:17" x14ac:dyDescent="0.3">
      <c r="A60" s="224"/>
      <c r="B60" s="225"/>
      <c r="C60" s="226"/>
      <c r="D60" s="227"/>
      <c r="E60" s="227"/>
      <c r="F60" s="227"/>
      <c r="G60" s="228"/>
      <c r="H60" s="229" t="s">
        <v>677</v>
      </c>
      <c r="I60" s="230">
        <v>50763.3</v>
      </c>
      <c r="J60" s="230">
        <v>46349.1</v>
      </c>
      <c r="K60" s="230">
        <v>41934.9</v>
      </c>
      <c r="L60" s="230">
        <v>37520.699999999997</v>
      </c>
      <c r="M60" s="230">
        <v>33106.5</v>
      </c>
      <c r="N60" s="230">
        <v>28692.3</v>
      </c>
      <c r="O60" s="230">
        <v>24278.1</v>
      </c>
      <c r="P60" s="231">
        <v>55177.500000000007</v>
      </c>
      <c r="Q60" s="232">
        <v>317822.39999999997</v>
      </c>
    </row>
    <row r="61" spans="1:17" s="213" customFormat="1" x14ac:dyDescent="0.3">
      <c r="A61" s="214">
        <v>29</v>
      </c>
      <c r="B61" s="215" t="s">
        <v>821</v>
      </c>
      <c r="C61" s="216" t="s">
        <v>822</v>
      </c>
      <c r="D61" s="217" t="s">
        <v>823</v>
      </c>
      <c r="E61" s="217" t="s">
        <v>824</v>
      </c>
      <c r="F61" s="217" t="s">
        <v>825</v>
      </c>
      <c r="G61" s="218">
        <v>824810</v>
      </c>
      <c r="H61" s="220" t="s">
        <v>675</v>
      </c>
      <c r="I61" s="221">
        <v>29724</v>
      </c>
      <c r="J61" s="221">
        <v>29724</v>
      </c>
      <c r="K61" s="221">
        <v>29724</v>
      </c>
      <c r="L61" s="221">
        <v>29724</v>
      </c>
      <c r="M61" s="221">
        <v>29724</v>
      </c>
      <c r="N61" s="221">
        <v>29724</v>
      </c>
      <c r="O61" s="221">
        <v>29724</v>
      </c>
      <c r="P61" s="222">
        <v>587049</v>
      </c>
      <c r="Q61" s="223">
        <v>795117</v>
      </c>
    </row>
    <row r="62" spans="1:17" x14ac:dyDescent="0.3">
      <c r="A62" s="224"/>
      <c r="B62" s="225" t="s">
        <v>826</v>
      </c>
      <c r="C62" s="226"/>
      <c r="D62" s="227"/>
      <c r="E62" s="227"/>
      <c r="F62" s="227"/>
      <c r="G62" s="228"/>
      <c r="H62" s="229" t="s">
        <v>677</v>
      </c>
      <c r="I62" s="230">
        <v>40550.966999999997</v>
      </c>
      <c r="J62" s="230">
        <v>39035.042999999998</v>
      </c>
      <c r="K62" s="230">
        <v>37519.118999999999</v>
      </c>
      <c r="L62" s="230">
        <v>36003.194999999992</v>
      </c>
      <c r="M62" s="230">
        <v>34487.270999999993</v>
      </c>
      <c r="N62" s="230">
        <v>32971.346999999994</v>
      </c>
      <c r="O62" s="230">
        <v>31455.422999999999</v>
      </c>
      <c r="P62" s="231">
        <v>310764.42000000016</v>
      </c>
      <c r="Q62" s="232">
        <v>562786.78500000015</v>
      </c>
    </row>
    <row r="63" spans="1:17" s="213" customFormat="1" x14ac:dyDescent="0.3">
      <c r="A63" s="214">
        <v>30</v>
      </c>
      <c r="B63" s="215" t="s">
        <v>827</v>
      </c>
      <c r="C63" s="216" t="s">
        <v>828</v>
      </c>
      <c r="D63" s="217" t="s">
        <v>829</v>
      </c>
      <c r="E63" s="217" t="s">
        <v>824</v>
      </c>
      <c r="F63" s="217" t="s">
        <v>830</v>
      </c>
      <c r="G63" s="218">
        <v>347420.04</v>
      </c>
      <c r="H63" s="220" t="s">
        <v>675</v>
      </c>
      <c r="I63" s="221">
        <v>18788</v>
      </c>
      <c r="J63" s="221">
        <v>18788</v>
      </c>
      <c r="K63" s="221">
        <v>18788</v>
      </c>
      <c r="L63" s="221">
        <v>18788</v>
      </c>
      <c r="M63" s="221">
        <v>18788</v>
      </c>
      <c r="N63" s="221">
        <v>18788</v>
      </c>
      <c r="O63" s="221">
        <v>18788</v>
      </c>
      <c r="P63" s="222">
        <v>178398.04</v>
      </c>
      <c r="Q63" s="223">
        <v>309914.04000000004</v>
      </c>
    </row>
    <row r="64" spans="1:17" x14ac:dyDescent="0.3">
      <c r="A64" s="224"/>
      <c r="B64" s="225" t="s">
        <v>831</v>
      </c>
      <c r="C64" s="226"/>
      <c r="D64" s="227"/>
      <c r="E64" s="227"/>
      <c r="F64" s="227"/>
      <c r="G64" s="228"/>
      <c r="H64" s="229" t="s">
        <v>677</v>
      </c>
      <c r="I64" s="230">
        <v>15495.701999999999</v>
      </c>
      <c r="J64" s="230">
        <v>14556.302</v>
      </c>
      <c r="K64" s="230">
        <v>13616.902</v>
      </c>
      <c r="L64" s="230">
        <v>12677.502</v>
      </c>
      <c r="M64" s="230">
        <v>11738.101999999999</v>
      </c>
      <c r="N64" s="230">
        <v>10798.701999999999</v>
      </c>
      <c r="O64" s="230">
        <v>9859.3020000000015</v>
      </c>
      <c r="P64" s="231">
        <v>46926.020000000004</v>
      </c>
      <c r="Q64" s="232">
        <v>135668.53400000001</v>
      </c>
    </row>
    <row r="65" spans="1:17" s="213" customFormat="1" x14ac:dyDescent="0.3">
      <c r="A65" s="214">
        <v>31</v>
      </c>
      <c r="B65" s="215" t="s">
        <v>832</v>
      </c>
      <c r="C65" s="216" t="s">
        <v>833</v>
      </c>
      <c r="D65" s="217" t="s">
        <v>834</v>
      </c>
      <c r="E65" s="217" t="s">
        <v>835</v>
      </c>
      <c r="F65" s="217" t="s">
        <v>836</v>
      </c>
      <c r="G65" s="218">
        <v>53218</v>
      </c>
      <c r="H65" s="220" t="s">
        <v>675</v>
      </c>
      <c r="I65" s="221">
        <v>11204</v>
      </c>
      <c r="J65" s="221">
        <v>8403</v>
      </c>
      <c r="K65" s="221">
        <v>0</v>
      </c>
      <c r="L65" s="221">
        <v>0</v>
      </c>
      <c r="M65" s="221">
        <v>0</v>
      </c>
      <c r="N65" s="221">
        <v>0</v>
      </c>
      <c r="O65" s="221">
        <v>0</v>
      </c>
      <c r="P65" s="222">
        <v>0</v>
      </c>
      <c r="Q65" s="223">
        <v>19607</v>
      </c>
    </row>
    <row r="66" spans="1:17" x14ac:dyDescent="0.3">
      <c r="A66" s="224"/>
      <c r="B66" s="225"/>
      <c r="C66" s="226"/>
      <c r="D66" s="227"/>
      <c r="E66" s="227"/>
      <c r="F66" s="227"/>
      <c r="G66" s="228"/>
      <c r="H66" s="229" t="s">
        <v>677</v>
      </c>
      <c r="I66" s="230">
        <v>49.017499999999998</v>
      </c>
      <c r="J66" s="230">
        <v>21.0075</v>
      </c>
      <c r="K66" s="230">
        <v>0</v>
      </c>
      <c r="L66" s="230">
        <v>0</v>
      </c>
      <c r="M66" s="230">
        <v>0</v>
      </c>
      <c r="N66" s="230">
        <v>0</v>
      </c>
      <c r="O66" s="230">
        <v>0</v>
      </c>
      <c r="P66" s="231">
        <v>0</v>
      </c>
      <c r="Q66" s="232">
        <v>70.025000000000006</v>
      </c>
    </row>
    <row r="67" spans="1:17" s="213" customFormat="1" x14ac:dyDescent="0.3">
      <c r="A67" s="214">
        <v>32</v>
      </c>
      <c r="B67" s="215" t="s">
        <v>837</v>
      </c>
      <c r="C67" s="216" t="s">
        <v>838</v>
      </c>
      <c r="D67" s="217" t="s">
        <v>839</v>
      </c>
      <c r="E67" s="217" t="s">
        <v>835</v>
      </c>
      <c r="F67" s="217" t="s">
        <v>836</v>
      </c>
      <c r="G67" s="218">
        <v>46991.33</v>
      </c>
      <c r="H67" s="220" t="s">
        <v>675</v>
      </c>
      <c r="I67" s="221">
        <v>9896</v>
      </c>
      <c r="J67" s="221">
        <v>7420.33</v>
      </c>
      <c r="K67" s="221">
        <v>0</v>
      </c>
      <c r="L67" s="221">
        <v>0</v>
      </c>
      <c r="M67" s="221">
        <v>0</v>
      </c>
      <c r="N67" s="221">
        <v>0</v>
      </c>
      <c r="O67" s="221">
        <v>0</v>
      </c>
      <c r="P67" s="222">
        <v>0</v>
      </c>
      <c r="Q67" s="223">
        <v>17316.330000000002</v>
      </c>
    </row>
    <row r="68" spans="1:17" x14ac:dyDescent="0.3">
      <c r="A68" s="224"/>
      <c r="B68" s="225"/>
      <c r="C68" s="226"/>
      <c r="D68" s="227"/>
      <c r="E68" s="227"/>
      <c r="F68" s="227"/>
      <c r="G68" s="228"/>
      <c r="H68" s="229" t="s">
        <v>677</v>
      </c>
      <c r="I68" s="230">
        <v>43.290825000000005</v>
      </c>
      <c r="J68" s="230">
        <v>18.550825</v>
      </c>
      <c r="K68" s="230">
        <v>0</v>
      </c>
      <c r="L68" s="230">
        <v>0</v>
      </c>
      <c r="M68" s="230">
        <v>0</v>
      </c>
      <c r="N68" s="230">
        <v>0</v>
      </c>
      <c r="O68" s="230">
        <v>0</v>
      </c>
      <c r="P68" s="231">
        <v>0</v>
      </c>
      <c r="Q68" s="232">
        <v>61.841650000000001</v>
      </c>
    </row>
    <row r="69" spans="1:17" s="213" customFormat="1" x14ac:dyDescent="0.3">
      <c r="A69" s="214">
        <v>33</v>
      </c>
      <c r="B69" s="215" t="s">
        <v>840</v>
      </c>
      <c r="C69" s="216" t="s">
        <v>841</v>
      </c>
      <c r="D69" s="217" t="s">
        <v>842</v>
      </c>
      <c r="E69" s="217" t="s">
        <v>843</v>
      </c>
      <c r="F69" s="217" t="s">
        <v>844</v>
      </c>
      <c r="G69" s="218">
        <v>9703992</v>
      </c>
      <c r="H69" s="220" t="s">
        <v>675</v>
      </c>
      <c r="I69" s="221">
        <v>343508</v>
      </c>
      <c r="J69" s="221">
        <v>343508</v>
      </c>
      <c r="K69" s="221">
        <v>343508</v>
      </c>
      <c r="L69" s="221">
        <v>343508</v>
      </c>
      <c r="M69" s="221">
        <v>343508</v>
      </c>
      <c r="N69" s="221">
        <v>343508</v>
      </c>
      <c r="O69" s="221">
        <v>343508</v>
      </c>
      <c r="P69" s="222">
        <v>6909467.9199999999</v>
      </c>
      <c r="Q69" s="223">
        <v>9314023.9199999999</v>
      </c>
    </row>
    <row r="70" spans="1:17" x14ac:dyDescent="0.3">
      <c r="A70" s="224"/>
      <c r="B70" s="225"/>
      <c r="C70" s="226"/>
      <c r="D70" s="227"/>
      <c r="E70" s="227"/>
      <c r="F70" s="227"/>
      <c r="G70" s="228"/>
      <c r="H70" s="229" t="s">
        <v>677</v>
      </c>
      <c r="I70" s="230">
        <v>442416.13619999995</v>
      </c>
      <c r="J70" s="230">
        <v>426099.50619999995</v>
      </c>
      <c r="K70" s="230">
        <v>409782.8762</v>
      </c>
      <c r="L70" s="230">
        <v>393466.24619999999</v>
      </c>
      <c r="M70" s="230">
        <v>377149.61619999999</v>
      </c>
      <c r="N70" s="230">
        <v>360832.98619999998</v>
      </c>
      <c r="O70" s="230">
        <v>344516.35619999998</v>
      </c>
      <c r="P70" s="231">
        <v>3465701.9502000008</v>
      </c>
      <c r="Q70" s="232">
        <v>6219965.6736000003</v>
      </c>
    </row>
    <row r="71" spans="1:17" s="213" customFormat="1" x14ac:dyDescent="0.3">
      <c r="A71" s="214">
        <v>34</v>
      </c>
      <c r="B71" s="215" t="s">
        <v>845</v>
      </c>
      <c r="C71" s="216" t="s">
        <v>846</v>
      </c>
      <c r="D71" s="217" t="s">
        <v>847</v>
      </c>
      <c r="E71" s="217" t="s">
        <v>843</v>
      </c>
      <c r="F71" s="217" t="s">
        <v>848</v>
      </c>
      <c r="G71" s="218">
        <v>43430</v>
      </c>
      <c r="H71" s="220" t="s">
        <v>675</v>
      </c>
      <c r="I71" s="221">
        <v>848</v>
      </c>
      <c r="J71" s="221">
        <v>848</v>
      </c>
      <c r="K71" s="221">
        <v>848</v>
      </c>
      <c r="L71" s="221">
        <v>848</v>
      </c>
      <c r="M71" s="221">
        <v>848</v>
      </c>
      <c r="N71" s="221">
        <v>848</v>
      </c>
      <c r="O71" s="221">
        <v>848</v>
      </c>
      <c r="P71" s="222">
        <v>212</v>
      </c>
      <c r="Q71" s="223">
        <v>6148</v>
      </c>
    </row>
    <row r="72" spans="1:17" x14ac:dyDescent="0.3">
      <c r="A72" s="224"/>
      <c r="B72" s="225"/>
      <c r="C72" s="226"/>
      <c r="D72" s="227"/>
      <c r="E72" s="227"/>
      <c r="F72" s="227"/>
      <c r="G72" s="228"/>
      <c r="H72" s="229" t="s">
        <v>677</v>
      </c>
      <c r="I72" s="230">
        <v>15.37</v>
      </c>
      <c r="J72" s="230">
        <v>13.25</v>
      </c>
      <c r="K72" s="230">
        <v>11.13</v>
      </c>
      <c r="L72" s="230">
        <v>9.01</v>
      </c>
      <c r="M72" s="230">
        <v>6.89</v>
      </c>
      <c r="N72" s="230">
        <v>4.7699999999999996</v>
      </c>
      <c r="O72" s="230">
        <v>2.65</v>
      </c>
      <c r="P72" s="231">
        <v>0.53</v>
      </c>
      <c r="Q72" s="232">
        <v>63.6</v>
      </c>
    </row>
    <row r="73" spans="1:17" s="213" customFormat="1" x14ac:dyDescent="0.3">
      <c r="A73" s="214">
        <v>35</v>
      </c>
      <c r="B73" s="215" t="s">
        <v>849</v>
      </c>
      <c r="C73" s="216" t="s">
        <v>850</v>
      </c>
      <c r="D73" s="217" t="s">
        <v>851</v>
      </c>
      <c r="E73" s="217" t="s">
        <v>852</v>
      </c>
      <c r="F73" s="217" t="s">
        <v>853</v>
      </c>
      <c r="G73" s="218">
        <v>400000</v>
      </c>
      <c r="H73" s="220" t="s">
        <v>675</v>
      </c>
      <c r="I73" s="221">
        <v>13676</v>
      </c>
      <c r="J73" s="221">
        <v>13676</v>
      </c>
      <c r="K73" s="221">
        <v>13676</v>
      </c>
      <c r="L73" s="221">
        <v>13676</v>
      </c>
      <c r="M73" s="221">
        <v>13676</v>
      </c>
      <c r="N73" s="221">
        <v>13676</v>
      </c>
      <c r="O73" s="221">
        <v>13676</v>
      </c>
      <c r="P73" s="222">
        <v>276939</v>
      </c>
      <c r="Q73" s="223">
        <v>372671</v>
      </c>
    </row>
    <row r="74" spans="1:17" x14ac:dyDescent="0.3">
      <c r="A74" s="224"/>
      <c r="B74" s="225" t="s">
        <v>854</v>
      </c>
      <c r="C74" s="226"/>
      <c r="D74" s="227"/>
      <c r="E74" s="227"/>
      <c r="F74" s="227"/>
      <c r="G74" s="228"/>
      <c r="H74" s="229" t="s">
        <v>677</v>
      </c>
      <c r="I74" s="230">
        <v>17142.865999999998</v>
      </c>
      <c r="J74" s="230">
        <v>16513.769999999997</v>
      </c>
      <c r="K74" s="230">
        <v>15884.673999999999</v>
      </c>
      <c r="L74" s="230">
        <v>15255.577999999998</v>
      </c>
      <c r="M74" s="230">
        <v>14626.482</v>
      </c>
      <c r="N74" s="230">
        <v>13997.385999999999</v>
      </c>
      <c r="O74" s="230">
        <v>13368.29</v>
      </c>
      <c r="P74" s="231">
        <v>135412.91399999996</v>
      </c>
      <c r="Q74" s="232">
        <v>242201.95999999996</v>
      </c>
    </row>
    <row r="75" spans="1:17" s="213" customFormat="1" x14ac:dyDescent="0.3">
      <c r="A75" s="214">
        <v>36</v>
      </c>
      <c r="B75" s="215" t="s">
        <v>855</v>
      </c>
      <c r="C75" s="216" t="s">
        <v>856</v>
      </c>
      <c r="D75" s="217" t="s">
        <v>857</v>
      </c>
      <c r="E75" s="217" t="s">
        <v>858</v>
      </c>
      <c r="F75" s="217" t="s">
        <v>859</v>
      </c>
      <c r="G75" s="218">
        <v>192902.34</v>
      </c>
      <c r="H75" s="220" t="s">
        <v>675</v>
      </c>
      <c r="I75" s="221">
        <v>19244.34</v>
      </c>
      <c r="J75" s="221">
        <v>0</v>
      </c>
      <c r="K75" s="221">
        <v>0</v>
      </c>
      <c r="L75" s="221">
        <v>0</v>
      </c>
      <c r="M75" s="221">
        <v>0</v>
      </c>
      <c r="N75" s="221">
        <v>0</v>
      </c>
      <c r="O75" s="221">
        <v>0</v>
      </c>
      <c r="P75" s="222">
        <v>0</v>
      </c>
      <c r="Q75" s="223">
        <v>19244.34</v>
      </c>
    </row>
    <row r="76" spans="1:17" x14ac:dyDescent="0.3">
      <c r="A76" s="224"/>
      <c r="B76" s="225" t="s">
        <v>860</v>
      </c>
      <c r="C76" s="226"/>
      <c r="D76" s="227"/>
      <c r="E76" s="227"/>
      <c r="F76" s="227"/>
      <c r="G76" s="228"/>
      <c r="H76" s="229" t="s">
        <v>677</v>
      </c>
      <c r="I76" s="230">
        <v>48.110849999999999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1">
        <v>0</v>
      </c>
      <c r="Q76" s="232">
        <v>48.110849999999999</v>
      </c>
    </row>
    <row r="77" spans="1:17" s="213" customFormat="1" collapsed="1" x14ac:dyDescent="0.3">
      <c r="A77" s="214">
        <v>37</v>
      </c>
      <c r="B77" s="215" t="s">
        <v>861</v>
      </c>
      <c r="C77" s="216" t="s">
        <v>862</v>
      </c>
      <c r="D77" s="217" t="s">
        <v>863</v>
      </c>
      <c r="E77" s="217" t="s">
        <v>864</v>
      </c>
      <c r="F77" s="217" t="s">
        <v>865</v>
      </c>
      <c r="G77" s="218">
        <v>279650</v>
      </c>
      <c r="H77" s="220" t="s">
        <v>675</v>
      </c>
      <c r="I77" s="221">
        <v>9564</v>
      </c>
      <c r="J77" s="221">
        <v>9564</v>
      </c>
      <c r="K77" s="221">
        <v>9564</v>
      </c>
      <c r="L77" s="221">
        <v>9564</v>
      </c>
      <c r="M77" s="221">
        <v>9564</v>
      </c>
      <c r="N77" s="221">
        <v>9564</v>
      </c>
      <c r="O77" s="221">
        <v>9564</v>
      </c>
      <c r="P77" s="222">
        <v>193671</v>
      </c>
      <c r="Q77" s="223">
        <v>260619</v>
      </c>
    </row>
    <row r="78" spans="1:17" x14ac:dyDescent="0.3">
      <c r="A78" s="224"/>
      <c r="B78" s="225"/>
      <c r="C78" s="226"/>
      <c r="D78" s="227"/>
      <c r="E78" s="227"/>
      <c r="F78" s="227"/>
      <c r="G78" s="228"/>
      <c r="H78" s="229" t="s">
        <v>677</v>
      </c>
      <c r="I78" s="230">
        <v>10953.816570000001</v>
      </c>
      <c r="J78" s="230">
        <v>10551.84165</v>
      </c>
      <c r="K78" s="230">
        <v>10149.866730000002</v>
      </c>
      <c r="L78" s="230">
        <v>9747.891810000001</v>
      </c>
      <c r="M78" s="230">
        <v>9345.9168900000004</v>
      </c>
      <c r="N78" s="230">
        <v>8943.9419699999999</v>
      </c>
      <c r="O78" s="230">
        <v>8541.9670500000011</v>
      </c>
      <c r="P78" s="231">
        <v>86525.101530000029</v>
      </c>
      <c r="Q78" s="232">
        <v>154760.34420000005</v>
      </c>
    </row>
    <row r="79" spans="1:17" s="213" customFormat="1" x14ac:dyDescent="0.3">
      <c r="A79" s="214">
        <v>38</v>
      </c>
      <c r="B79" s="215" t="s">
        <v>866</v>
      </c>
      <c r="C79" s="216" t="s">
        <v>867</v>
      </c>
      <c r="D79" s="217" t="s">
        <v>868</v>
      </c>
      <c r="E79" s="217" t="s">
        <v>869</v>
      </c>
      <c r="F79" s="217" t="s">
        <v>870</v>
      </c>
      <c r="G79" s="218">
        <v>2075409</v>
      </c>
      <c r="H79" s="220" t="s">
        <v>675</v>
      </c>
      <c r="I79" s="221">
        <v>128252</v>
      </c>
      <c r="J79" s="221">
        <v>123200</v>
      </c>
      <c r="K79" s="221">
        <v>121648</v>
      </c>
      <c r="L79" s="221">
        <v>117000</v>
      </c>
      <c r="M79" s="221">
        <v>117000</v>
      </c>
      <c r="N79" s="221">
        <v>117000</v>
      </c>
      <c r="O79" s="221">
        <v>117000</v>
      </c>
      <c r="P79" s="222">
        <v>570102</v>
      </c>
      <c r="Q79" s="223">
        <v>1411202</v>
      </c>
    </row>
    <row r="80" spans="1:17" x14ac:dyDescent="0.3">
      <c r="A80" s="224"/>
      <c r="B80" s="225" t="s">
        <v>871</v>
      </c>
      <c r="C80" s="226"/>
      <c r="D80" s="227"/>
      <c r="E80" s="227"/>
      <c r="F80" s="227"/>
      <c r="G80" s="228"/>
      <c r="H80" s="229" t="s">
        <v>677</v>
      </c>
      <c r="I80" s="230">
        <v>57506.481500000002</v>
      </c>
      <c r="J80" s="230">
        <v>52280.212500000001</v>
      </c>
      <c r="K80" s="230">
        <v>47259.8125</v>
      </c>
      <c r="L80" s="230">
        <v>42302.656500000005</v>
      </c>
      <c r="M80" s="230">
        <v>37534.906500000005</v>
      </c>
      <c r="N80" s="230">
        <v>32767.156500000005</v>
      </c>
      <c r="O80" s="230">
        <v>27999.406499999997</v>
      </c>
      <c r="P80" s="231">
        <v>83997.322999999989</v>
      </c>
      <c r="Q80" s="232">
        <v>381647.95549999998</v>
      </c>
    </row>
    <row r="81" spans="1:17" s="213" customFormat="1" x14ac:dyDescent="0.3">
      <c r="A81" s="214">
        <v>39</v>
      </c>
      <c r="B81" s="215" t="s">
        <v>873</v>
      </c>
      <c r="C81" s="216" t="s">
        <v>874</v>
      </c>
      <c r="D81" s="217" t="s">
        <v>875</v>
      </c>
      <c r="E81" s="217" t="s">
        <v>876</v>
      </c>
      <c r="F81" s="217" t="s">
        <v>877</v>
      </c>
      <c r="G81" s="218">
        <v>617703</v>
      </c>
      <c r="H81" s="220" t="s">
        <v>675</v>
      </c>
      <c r="I81" s="221">
        <v>20940</v>
      </c>
      <c r="J81" s="221">
        <v>20940</v>
      </c>
      <c r="K81" s="221">
        <v>20940</v>
      </c>
      <c r="L81" s="221">
        <v>20940</v>
      </c>
      <c r="M81" s="221">
        <v>20940</v>
      </c>
      <c r="N81" s="221">
        <v>20940</v>
      </c>
      <c r="O81" s="221">
        <v>20940</v>
      </c>
      <c r="P81" s="222">
        <v>429270</v>
      </c>
      <c r="Q81" s="223">
        <v>575850</v>
      </c>
    </row>
    <row r="82" spans="1:17" x14ac:dyDescent="0.3">
      <c r="A82" s="224"/>
      <c r="B82" s="225"/>
      <c r="C82" s="226"/>
      <c r="D82" s="227"/>
      <c r="E82" s="227"/>
      <c r="F82" s="227"/>
      <c r="G82" s="228"/>
      <c r="H82" s="229" t="s">
        <v>677</v>
      </c>
      <c r="I82" s="230">
        <v>25942.0425</v>
      </c>
      <c r="J82" s="230">
        <v>24998.695499999998</v>
      </c>
      <c r="K82" s="230">
        <v>24055.3485</v>
      </c>
      <c r="L82" s="230">
        <v>23112.001499999998</v>
      </c>
      <c r="M82" s="230">
        <v>22168.654499999997</v>
      </c>
      <c r="N82" s="230">
        <v>21225.307499999999</v>
      </c>
      <c r="O82" s="230">
        <v>20281.960500000001</v>
      </c>
      <c r="P82" s="231">
        <v>208008.01350000003</v>
      </c>
      <c r="Q82" s="232">
        <v>369792.02399999998</v>
      </c>
    </row>
    <row r="83" spans="1:17" s="213" customFormat="1" x14ac:dyDescent="0.3">
      <c r="A83" s="214">
        <v>40</v>
      </c>
      <c r="B83" s="215" t="s">
        <v>878</v>
      </c>
      <c r="C83" s="216" t="s">
        <v>879</v>
      </c>
      <c r="D83" s="217" t="s">
        <v>880</v>
      </c>
      <c r="E83" s="217" t="s">
        <v>881</v>
      </c>
      <c r="F83" s="217" t="s">
        <v>882</v>
      </c>
      <c r="G83" s="218">
        <v>131926.07</v>
      </c>
      <c r="H83" s="220" t="s">
        <v>675</v>
      </c>
      <c r="I83" s="221">
        <v>6772</v>
      </c>
      <c r="J83" s="221">
        <v>6772</v>
      </c>
      <c r="K83" s="221">
        <v>6772</v>
      </c>
      <c r="L83" s="221">
        <v>6772</v>
      </c>
      <c r="M83" s="221">
        <v>6772</v>
      </c>
      <c r="N83" s="221">
        <v>6772</v>
      </c>
      <c r="O83" s="221">
        <v>6772</v>
      </c>
      <c r="P83" s="222">
        <v>71005.070000000007</v>
      </c>
      <c r="Q83" s="223">
        <v>118409.07</v>
      </c>
    </row>
    <row r="84" spans="1:17" x14ac:dyDescent="0.3">
      <c r="A84" s="224"/>
      <c r="B84" s="225"/>
      <c r="C84" s="226"/>
      <c r="D84" s="227"/>
      <c r="E84" s="227"/>
      <c r="F84" s="227"/>
      <c r="G84" s="228"/>
      <c r="H84" s="229" t="s">
        <v>677</v>
      </c>
      <c r="I84" s="230">
        <v>5221.8399870000003</v>
      </c>
      <c r="J84" s="230">
        <v>4923.1947870000004</v>
      </c>
      <c r="K84" s="230">
        <v>4624.5495870000004</v>
      </c>
      <c r="L84" s="230">
        <v>4325.9043870000005</v>
      </c>
      <c r="M84" s="230">
        <v>4027.2591870000006</v>
      </c>
      <c r="N84" s="230">
        <v>3728.6139870000002</v>
      </c>
      <c r="O84" s="230">
        <v>3429.9687870000007</v>
      </c>
      <c r="P84" s="231">
        <v>18019.073456999999</v>
      </c>
      <c r="Q84" s="232">
        <v>48300.404166000008</v>
      </c>
    </row>
    <row r="85" spans="1:17" s="213" customFormat="1" x14ac:dyDescent="0.3">
      <c r="A85" s="214">
        <v>41</v>
      </c>
      <c r="B85" s="215" t="s">
        <v>883</v>
      </c>
      <c r="C85" s="216" t="s">
        <v>884</v>
      </c>
      <c r="D85" s="217" t="s">
        <v>885</v>
      </c>
      <c r="E85" s="217" t="s">
        <v>881</v>
      </c>
      <c r="F85" s="217" t="s">
        <v>882</v>
      </c>
      <c r="G85" s="218">
        <v>145332</v>
      </c>
      <c r="H85" s="220" t="s">
        <v>675</v>
      </c>
      <c r="I85" s="221">
        <v>7456</v>
      </c>
      <c r="J85" s="221">
        <v>7456</v>
      </c>
      <c r="K85" s="221">
        <v>7456</v>
      </c>
      <c r="L85" s="221">
        <v>7456</v>
      </c>
      <c r="M85" s="221">
        <v>7456</v>
      </c>
      <c r="N85" s="221">
        <v>7456</v>
      </c>
      <c r="O85" s="221">
        <v>7456</v>
      </c>
      <c r="P85" s="222">
        <v>78288</v>
      </c>
      <c r="Q85" s="223">
        <v>130480</v>
      </c>
    </row>
    <row r="86" spans="1:17" x14ac:dyDescent="0.3">
      <c r="A86" s="224"/>
      <c r="B86" s="225" t="s">
        <v>886</v>
      </c>
      <c r="C86" s="226"/>
      <c r="D86" s="227"/>
      <c r="E86" s="227"/>
      <c r="F86" s="227"/>
      <c r="G86" s="228"/>
      <c r="H86" s="229" t="s">
        <v>677</v>
      </c>
      <c r="I86" s="230">
        <v>5754.1680000000006</v>
      </c>
      <c r="J86" s="230">
        <v>5425.3584000000001</v>
      </c>
      <c r="K86" s="230">
        <v>5096.5488000000005</v>
      </c>
      <c r="L86" s="230">
        <v>4767.7392</v>
      </c>
      <c r="M86" s="230">
        <v>4438.9296000000004</v>
      </c>
      <c r="N86" s="230">
        <v>4110.12</v>
      </c>
      <c r="O86" s="230">
        <v>3781.3104000000003</v>
      </c>
      <c r="P86" s="231">
        <v>19892.980800000001</v>
      </c>
      <c r="Q86" s="232">
        <v>53267.155200000008</v>
      </c>
    </row>
    <row r="87" spans="1:17" s="213" customFormat="1" x14ac:dyDescent="0.3">
      <c r="A87" s="214">
        <v>42</v>
      </c>
      <c r="B87" s="215" t="s">
        <v>887</v>
      </c>
      <c r="C87" s="216" t="s">
        <v>888</v>
      </c>
      <c r="D87" s="217" t="s">
        <v>889</v>
      </c>
      <c r="E87" s="217" t="s">
        <v>890</v>
      </c>
      <c r="F87" s="217" t="s">
        <v>891</v>
      </c>
      <c r="G87" s="218">
        <v>141294</v>
      </c>
      <c r="H87" s="220" t="s">
        <v>675</v>
      </c>
      <c r="I87" s="221">
        <v>29748</v>
      </c>
      <c r="J87" s="221">
        <v>29748</v>
      </c>
      <c r="K87" s="221">
        <v>22311</v>
      </c>
      <c r="L87" s="221">
        <v>0</v>
      </c>
      <c r="M87" s="221">
        <v>0</v>
      </c>
      <c r="N87" s="221">
        <v>0</v>
      </c>
      <c r="O87" s="221">
        <v>0</v>
      </c>
      <c r="P87" s="222">
        <v>0</v>
      </c>
      <c r="Q87" s="223">
        <v>81807</v>
      </c>
    </row>
    <row r="88" spans="1:17" x14ac:dyDescent="0.3">
      <c r="A88" s="224"/>
      <c r="B88" s="225"/>
      <c r="C88" s="226"/>
      <c r="D88" s="227"/>
      <c r="E88" s="227"/>
      <c r="F88" s="227"/>
      <c r="G88" s="228"/>
      <c r="H88" s="229" t="s">
        <v>677</v>
      </c>
      <c r="I88" s="230">
        <v>204.51750000000001</v>
      </c>
      <c r="J88" s="230">
        <v>130.14750000000001</v>
      </c>
      <c r="K88" s="230">
        <v>55.777500000000003</v>
      </c>
      <c r="L88" s="230">
        <v>0</v>
      </c>
      <c r="M88" s="230">
        <v>0</v>
      </c>
      <c r="N88" s="230">
        <v>0</v>
      </c>
      <c r="O88" s="230">
        <v>0</v>
      </c>
      <c r="P88" s="231">
        <v>0</v>
      </c>
      <c r="Q88" s="232">
        <v>390.4425</v>
      </c>
    </row>
    <row r="89" spans="1:17" s="213" customFormat="1" x14ac:dyDescent="0.3">
      <c r="A89" s="214">
        <v>43</v>
      </c>
      <c r="B89" s="215" t="s">
        <v>892</v>
      </c>
      <c r="C89" s="216" t="s">
        <v>893</v>
      </c>
      <c r="D89" s="217" t="s">
        <v>894</v>
      </c>
      <c r="E89" s="217" t="s">
        <v>895</v>
      </c>
      <c r="F89" s="217" t="s">
        <v>896</v>
      </c>
      <c r="G89" s="218">
        <v>186392</v>
      </c>
      <c r="H89" s="220" t="s">
        <v>675</v>
      </c>
      <c r="I89" s="221">
        <v>17360</v>
      </c>
      <c r="J89" s="221">
        <v>15080</v>
      </c>
      <c r="K89" s="221">
        <v>8240</v>
      </c>
      <c r="L89" s="221">
        <v>8240</v>
      </c>
      <c r="M89" s="221">
        <v>8240</v>
      </c>
      <c r="N89" s="221">
        <v>8240</v>
      </c>
      <c r="O89" s="221">
        <v>8240</v>
      </c>
      <c r="P89" s="222">
        <v>82400</v>
      </c>
      <c r="Q89" s="223">
        <v>156040</v>
      </c>
    </row>
    <row r="90" spans="1:17" x14ac:dyDescent="0.3">
      <c r="A90" s="224"/>
      <c r="B90" s="225" t="s">
        <v>897</v>
      </c>
      <c r="C90" s="226"/>
      <c r="D90" s="227"/>
      <c r="E90" s="227"/>
      <c r="F90" s="227"/>
      <c r="G90" s="228"/>
      <c r="H90" s="229" t="s">
        <v>677</v>
      </c>
      <c r="I90" s="230">
        <v>7177.84</v>
      </c>
      <c r="J90" s="230">
        <v>6379.28</v>
      </c>
      <c r="K90" s="230">
        <v>5685.6</v>
      </c>
      <c r="L90" s="230">
        <v>5306.56</v>
      </c>
      <c r="M90" s="230">
        <v>4927.5199999999995</v>
      </c>
      <c r="N90" s="230">
        <v>4548.4799999999996</v>
      </c>
      <c r="O90" s="230">
        <v>4169.4399999999996</v>
      </c>
      <c r="P90" s="231">
        <v>20847.2</v>
      </c>
      <c r="Q90" s="232">
        <v>59041.919999999998</v>
      </c>
    </row>
    <row r="91" spans="1:17" s="213" customFormat="1" x14ac:dyDescent="0.3">
      <c r="A91" s="214">
        <v>44</v>
      </c>
      <c r="B91" s="215" t="s">
        <v>898</v>
      </c>
      <c r="C91" s="216" t="s">
        <v>899</v>
      </c>
      <c r="D91" s="217" t="s">
        <v>900</v>
      </c>
      <c r="E91" s="217" t="s">
        <v>895</v>
      </c>
      <c r="F91" s="217" t="s">
        <v>901</v>
      </c>
      <c r="G91" s="218">
        <v>697002</v>
      </c>
      <c r="H91" s="220" t="s">
        <v>675</v>
      </c>
      <c r="I91" s="221">
        <v>73372</v>
      </c>
      <c r="J91" s="221">
        <v>73372</v>
      </c>
      <c r="K91" s="221">
        <v>73372</v>
      </c>
      <c r="L91" s="221">
        <v>73372</v>
      </c>
      <c r="M91" s="221">
        <v>73372</v>
      </c>
      <c r="N91" s="221">
        <v>73372</v>
      </c>
      <c r="O91" s="221">
        <v>73372</v>
      </c>
      <c r="P91" s="222">
        <v>73372</v>
      </c>
      <c r="Q91" s="223">
        <v>586976</v>
      </c>
    </row>
    <row r="92" spans="1:17" x14ac:dyDescent="0.3">
      <c r="A92" s="224"/>
      <c r="B92" s="225"/>
      <c r="C92" s="226"/>
      <c r="D92" s="227"/>
      <c r="E92" s="227"/>
      <c r="F92" s="227"/>
      <c r="G92" s="228"/>
      <c r="H92" s="229" t="s">
        <v>677</v>
      </c>
      <c r="I92" s="230">
        <v>25826.944000000003</v>
      </c>
      <c r="J92" s="230">
        <v>22598.576000000001</v>
      </c>
      <c r="K92" s="230">
        <v>19370.207999999999</v>
      </c>
      <c r="L92" s="230">
        <v>16141.840000000002</v>
      </c>
      <c r="M92" s="230">
        <v>12913.472000000002</v>
      </c>
      <c r="N92" s="230">
        <v>9685.1039999999994</v>
      </c>
      <c r="O92" s="230">
        <v>6456.7360000000008</v>
      </c>
      <c r="P92" s="231">
        <v>3228.3680000000004</v>
      </c>
      <c r="Q92" s="232">
        <v>116221.24800000001</v>
      </c>
    </row>
    <row r="93" spans="1:17" s="213" customFormat="1" x14ac:dyDescent="0.3">
      <c r="A93" s="214">
        <v>45</v>
      </c>
      <c r="B93" s="215" t="s">
        <v>902</v>
      </c>
      <c r="C93" s="216" t="s">
        <v>903</v>
      </c>
      <c r="D93" s="217" t="s">
        <v>904</v>
      </c>
      <c r="E93" s="217" t="s">
        <v>895</v>
      </c>
      <c r="F93" s="217" t="s">
        <v>901</v>
      </c>
      <c r="G93" s="218">
        <v>559121.98</v>
      </c>
      <c r="H93" s="220" t="s">
        <v>675</v>
      </c>
      <c r="I93" s="221">
        <v>58116</v>
      </c>
      <c r="J93" s="221">
        <v>58116</v>
      </c>
      <c r="K93" s="221">
        <v>58116</v>
      </c>
      <c r="L93" s="221">
        <v>58116</v>
      </c>
      <c r="M93" s="221">
        <v>58116</v>
      </c>
      <c r="N93" s="221">
        <v>58116</v>
      </c>
      <c r="O93" s="221">
        <v>58116</v>
      </c>
      <c r="P93" s="222">
        <v>35995.86</v>
      </c>
      <c r="Q93" s="223">
        <v>442807.86</v>
      </c>
    </row>
    <row r="94" spans="1:17" x14ac:dyDescent="0.3">
      <c r="A94" s="224"/>
      <c r="B94" s="225"/>
      <c r="C94" s="226"/>
      <c r="D94" s="227"/>
      <c r="E94" s="227"/>
      <c r="F94" s="227"/>
      <c r="G94" s="228"/>
      <c r="H94" s="229" t="s">
        <v>677</v>
      </c>
      <c r="I94" s="230">
        <v>19483.545839999999</v>
      </c>
      <c r="J94" s="230">
        <v>16926.44184</v>
      </c>
      <c r="K94" s="230">
        <v>14369.33784</v>
      </c>
      <c r="L94" s="230">
        <v>11812.233840000001</v>
      </c>
      <c r="M94" s="230">
        <v>9255.1298400000014</v>
      </c>
      <c r="N94" s="230">
        <v>6698.0258400000002</v>
      </c>
      <c r="O94" s="230">
        <v>4140.92184</v>
      </c>
      <c r="P94" s="231">
        <v>1583.8178400000002</v>
      </c>
      <c r="Q94" s="232">
        <v>84269.454719999994</v>
      </c>
    </row>
    <row r="95" spans="1:17" s="213" customFormat="1" x14ac:dyDescent="0.3">
      <c r="A95" s="214">
        <v>46</v>
      </c>
      <c r="B95" s="215" t="s">
        <v>905</v>
      </c>
      <c r="C95" s="216" t="s">
        <v>906</v>
      </c>
      <c r="D95" s="217" t="s">
        <v>907</v>
      </c>
      <c r="E95" s="217" t="s">
        <v>908</v>
      </c>
      <c r="F95" s="217" t="s">
        <v>909</v>
      </c>
      <c r="G95" s="218">
        <v>247902</v>
      </c>
      <c r="H95" s="220" t="s">
        <v>675</v>
      </c>
      <c r="I95" s="221">
        <v>61976</v>
      </c>
      <c r="J95" s="221">
        <v>61976</v>
      </c>
      <c r="K95" s="221">
        <v>61976</v>
      </c>
      <c r="L95" s="221">
        <v>0</v>
      </c>
      <c r="M95" s="221">
        <v>0</v>
      </c>
      <c r="N95" s="221">
        <v>0</v>
      </c>
      <c r="O95" s="221">
        <v>0</v>
      </c>
      <c r="P95" s="222">
        <v>0</v>
      </c>
      <c r="Q95" s="223">
        <v>185928</v>
      </c>
    </row>
    <row r="96" spans="1:17" x14ac:dyDescent="0.3">
      <c r="A96" s="224"/>
      <c r="B96" s="225" t="s">
        <v>910</v>
      </c>
      <c r="C96" s="226"/>
      <c r="D96" s="227"/>
      <c r="E96" s="227"/>
      <c r="F96" s="227"/>
      <c r="G96" s="228"/>
      <c r="H96" s="229" t="s">
        <v>677</v>
      </c>
      <c r="I96" s="230">
        <v>7623.0479999999989</v>
      </c>
      <c r="J96" s="230">
        <v>5336.22</v>
      </c>
      <c r="K96" s="230">
        <v>2449.1499999999996</v>
      </c>
      <c r="L96" s="230">
        <v>160.5</v>
      </c>
      <c r="M96" s="230">
        <v>0</v>
      </c>
      <c r="N96" s="230">
        <v>0</v>
      </c>
      <c r="O96" s="230">
        <v>0</v>
      </c>
      <c r="P96" s="231">
        <v>0</v>
      </c>
      <c r="Q96" s="232">
        <v>15568.918</v>
      </c>
    </row>
    <row r="97" spans="1:17" s="213" customFormat="1" x14ac:dyDescent="0.3">
      <c r="A97" s="214">
        <v>47</v>
      </c>
      <c r="B97" s="215" t="s">
        <v>911</v>
      </c>
      <c r="C97" s="216" t="s">
        <v>912</v>
      </c>
      <c r="D97" s="217" t="s">
        <v>913</v>
      </c>
      <c r="E97" s="217" t="s">
        <v>914</v>
      </c>
      <c r="F97" s="217" t="s">
        <v>915</v>
      </c>
      <c r="G97" s="218">
        <v>178121</v>
      </c>
      <c r="H97" s="220" t="s">
        <v>675</v>
      </c>
      <c r="I97" s="221">
        <v>12500</v>
      </c>
      <c r="J97" s="221">
        <v>12500</v>
      </c>
      <c r="K97" s="221">
        <v>12500</v>
      </c>
      <c r="L97" s="221">
        <v>12500</v>
      </c>
      <c r="M97" s="221">
        <v>12500</v>
      </c>
      <c r="N97" s="221">
        <v>12500</v>
      </c>
      <c r="O97" s="221">
        <v>12500</v>
      </c>
      <c r="P97" s="222">
        <v>5783.52</v>
      </c>
      <c r="Q97" s="223">
        <v>93283.520000000004</v>
      </c>
    </row>
    <row r="98" spans="1:17" x14ac:dyDescent="0.3">
      <c r="A98" s="224"/>
      <c r="B98" s="225" t="s">
        <v>916</v>
      </c>
      <c r="C98" s="226"/>
      <c r="D98" s="227"/>
      <c r="E98" s="227"/>
      <c r="F98" s="227"/>
      <c r="G98" s="228"/>
      <c r="H98" s="229" t="s">
        <v>677</v>
      </c>
      <c r="I98" s="230">
        <v>3639.9229504000004</v>
      </c>
      <c r="J98" s="230">
        <v>3152.1729504000004</v>
      </c>
      <c r="K98" s="230">
        <v>2664.4229504</v>
      </c>
      <c r="L98" s="230">
        <v>2176.6729504000004</v>
      </c>
      <c r="M98" s="230">
        <v>1688.9229504000002</v>
      </c>
      <c r="N98" s="230">
        <v>1201.1729504000002</v>
      </c>
      <c r="O98" s="230">
        <v>713.42295039999999</v>
      </c>
      <c r="P98" s="231">
        <v>225.67295040000002</v>
      </c>
      <c r="Q98" s="232">
        <v>15462.3836032</v>
      </c>
    </row>
    <row r="99" spans="1:17" s="213" customFormat="1" x14ac:dyDescent="0.3">
      <c r="A99" s="214">
        <v>48</v>
      </c>
      <c r="B99" s="215" t="s">
        <v>917</v>
      </c>
      <c r="C99" s="216" t="s">
        <v>918</v>
      </c>
      <c r="D99" s="217" t="s">
        <v>919</v>
      </c>
      <c r="E99" s="217" t="s">
        <v>920</v>
      </c>
      <c r="F99" s="217" t="s">
        <v>921</v>
      </c>
      <c r="G99" s="218">
        <v>1230506</v>
      </c>
      <c r="H99" s="220" t="s">
        <v>675</v>
      </c>
      <c r="I99" s="221">
        <v>86352</v>
      </c>
      <c r="J99" s="221">
        <v>86352</v>
      </c>
      <c r="K99" s="221">
        <v>86352</v>
      </c>
      <c r="L99" s="221">
        <v>86352</v>
      </c>
      <c r="M99" s="221">
        <v>86352</v>
      </c>
      <c r="N99" s="221">
        <v>86352</v>
      </c>
      <c r="O99" s="221">
        <v>86352</v>
      </c>
      <c r="P99" s="222">
        <v>225866.22999999998</v>
      </c>
      <c r="Q99" s="223">
        <v>830330.23</v>
      </c>
    </row>
    <row r="100" spans="1:17" x14ac:dyDescent="0.3">
      <c r="A100" s="224"/>
      <c r="B100" s="225" t="s">
        <v>922</v>
      </c>
      <c r="C100" s="226"/>
      <c r="D100" s="227"/>
      <c r="E100" s="227"/>
      <c r="F100" s="227"/>
      <c r="G100" s="228"/>
      <c r="H100" s="229" t="s">
        <v>677</v>
      </c>
      <c r="I100" s="230">
        <v>41956.586521899997</v>
      </c>
      <c r="J100" s="230">
        <v>37593.219961900002</v>
      </c>
      <c r="K100" s="230">
        <v>33229.8534019</v>
      </c>
      <c r="L100" s="230">
        <v>28866.486841899998</v>
      </c>
      <c r="M100" s="230">
        <v>24503.120281899999</v>
      </c>
      <c r="N100" s="230">
        <v>20139.753721899997</v>
      </c>
      <c r="O100" s="230">
        <v>15776.387161899998</v>
      </c>
      <c r="P100" s="231">
        <v>21148.962125699996</v>
      </c>
      <c r="Q100" s="232">
        <v>223214.37001899999</v>
      </c>
    </row>
    <row r="101" spans="1:17" s="213" customFormat="1" x14ac:dyDescent="0.3">
      <c r="A101" s="214">
        <v>49</v>
      </c>
      <c r="B101" s="215" t="s">
        <v>923</v>
      </c>
      <c r="C101" s="216" t="s">
        <v>924</v>
      </c>
      <c r="D101" s="217" t="s">
        <v>925</v>
      </c>
      <c r="E101" s="217" t="s">
        <v>926</v>
      </c>
      <c r="F101" s="217" t="s">
        <v>927</v>
      </c>
      <c r="G101" s="218">
        <v>156436.10999999999</v>
      </c>
      <c r="H101" s="220" t="s">
        <v>675</v>
      </c>
      <c r="I101" s="221">
        <v>37076</v>
      </c>
      <c r="J101" s="221">
        <v>37076</v>
      </c>
      <c r="K101" s="221">
        <v>37076</v>
      </c>
      <c r="L101" s="221">
        <v>8137.11</v>
      </c>
      <c r="M101" s="221">
        <v>0</v>
      </c>
      <c r="N101" s="221">
        <v>0</v>
      </c>
      <c r="O101" s="221">
        <v>0</v>
      </c>
      <c r="P101" s="222">
        <v>0</v>
      </c>
      <c r="Q101" s="223">
        <v>119365.11</v>
      </c>
    </row>
    <row r="102" spans="1:17" x14ac:dyDescent="0.3">
      <c r="A102" s="224"/>
      <c r="B102" s="225"/>
      <c r="C102" s="226"/>
      <c r="D102" s="227"/>
      <c r="E102" s="227"/>
      <c r="F102" s="227"/>
      <c r="G102" s="228"/>
      <c r="H102" s="229" t="s">
        <v>677</v>
      </c>
      <c r="I102" s="230">
        <v>6021.9697994999997</v>
      </c>
      <c r="J102" s="230">
        <v>4151.4855994999998</v>
      </c>
      <c r="K102" s="230">
        <v>2281.0013994999999</v>
      </c>
      <c r="L102" s="230">
        <v>410.5171995</v>
      </c>
      <c r="M102" s="230">
        <v>0</v>
      </c>
      <c r="N102" s="230">
        <v>0</v>
      </c>
      <c r="O102" s="230">
        <v>0</v>
      </c>
      <c r="P102" s="231">
        <v>0</v>
      </c>
      <c r="Q102" s="232">
        <v>12864.973997999999</v>
      </c>
    </row>
    <row r="103" spans="1:17" s="213" customFormat="1" x14ac:dyDescent="0.3">
      <c r="A103" s="214">
        <v>50</v>
      </c>
      <c r="B103" s="215" t="s">
        <v>928</v>
      </c>
      <c r="C103" s="216" t="s">
        <v>929</v>
      </c>
      <c r="D103" s="217" t="s">
        <v>930</v>
      </c>
      <c r="E103" s="217" t="s">
        <v>931</v>
      </c>
      <c r="F103" s="217" t="s">
        <v>932</v>
      </c>
      <c r="G103" s="218">
        <v>90861.19</v>
      </c>
      <c r="H103" s="220" t="s">
        <v>675</v>
      </c>
      <c r="I103" s="221">
        <v>20380</v>
      </c>
      <c r="J103" s="221">
        <v>20380</v>
      </c>
      <c r="K103" s="221">
        <v>20380</v>
      </c>
      <c r="L103" s="221">
        <v>9346.1899999999987</v>
      </c>
      <c r="M103" s="221">
        <v>0</v>
      </c>
      <c r="N103" s="221">
        <v>0</v>
      </c>
      <c r="O103" s="221">
        <v>0</v>
      </c>
      <c r="P103" s="222">
        <v>0</v>
      </c>
      <c r="Q103" s="223">
        <v>70486.19</v>
      </c>
    </row>
    <row r="104" spans="1:17" x14ac:dyDescent="0.3">
      <c r="A104" s="224"/>
      <c r="B104" s="225"/>
      <c r="C104" s="226"/>
      <c r="D104" s="227"/>
      <c r="E104" s="227"/>
      <c r="F104" s="227"/>
      <c r="G104" s="228"/>
      <c r="H104" s="229" t="s">
        <v>677</v>
      </c>
      <c r="I104" s="230">
        <v>3680.0839799000005</v>
      </c>
      <c r="J104" s="230">
        <v>2616.0441799</v>
      </c>
      <c r="K104" s="230">
        <v>1552.0043799</v>
      </c>
      <c r="L104" s="230">
        <v>487.96457989999993</v>
      </c>
      <c r="M104" s="230">
        <v>0</v>
      </c>
      <c r="N104" s="230">
        <v>0</v>
      </c>
      <c r="O104" s="230">
        <v>0</v>
      </c>
      <c r="P104" s="231">
        <v>0</v>
      </c>
      <c r="Q104" s="232">
        <v>8336.0971195999991</v>
      </c>
    </row>
    <row r="105" spans="1:17" s="213" customFormat="1" x14ac:dyDescent="0.3">
      <c r="A105" s="214">
        <v>51</v>
      </c>
      <c r="B105" s="215" t="s">
        <v>933</v>
      </c>
      <c r="C105" s="216" t="s">
        <v>934</v>
      </c>
      <c r="D105" s="217" t="s">
        <v>935</v>
      </c>
      <c r="E105" s="217" t="s">
        <v>936</v>
      </c>
      <c r="F105" s="217" t="s">
        <v>937</v>
      </c>
      <c r="G105" s="218">
        <v>496340</v>
      </c>
      <c r="H105" s="220" t="s">
        <v>675</v>
      </c>
      <c r="I105" s="314">
        <v>53660</v>
      </c>
      <c r="J105" s="221">
        <v>53660</v>
      </c>
      <c r="K105" s="221">
        <v>53660</v>
      </c>
      <c r="L105" s="221">
        <v>53660</v>
      </c>
      <c r="M105" s="221">
        <v>53660</v>
      </c>
      <c r="N105" s="221">
        <v>53660</v>
      </c>
      <c r="O105" s="221">
        <v>53660</v>
      </c>
      <c r="P105" s="222">
        <v>93905</v>
      </c>
      <c r="Q105" s="223">
        <v>469525</v>
      </c>
    </row>
    <row r="106" spans="1:17" x14ac:dyDescent="0.3">
      <c r="A106" s="224"/>
      <c r="B106" s="225" t="s">
        <v>938</v>
      </c>
      <c r="C106" s="226"/>
      <c r="D106" s="227"/>
      <c r="E106" s="227"/>
      <c r="F106" s="227"/>
      <c r="G106" s="228"/>
      <c r="H106" s="229" t="s">
        <v>677</v>
      </c>
      <c r="I106" s="315">
        <v>23969.427749999999</v>
      </c>
      <c r="J106" s="230">
        <v>23001.493149999998</v>
      </c>
      <c r="K106" s="230">
        <v>20033.558550000002</v>
      </c>
      <c r="L106" s="230">
        <v>17065.623950000001</v>
      </c>
      <c r="M106" s="230">
        <v>14097.689349999999</v>
      </c>
      <c r="N106" s="230">
        <v>11129.754749999998</v>
      </c>
      <c r="O106" s="230">
        <v>8161.8201499999986</v>
      </c>
      <c r="P106" s="231">
        <v>7419.8364999999994</v>
      </c>
      <c r="Q106" s="232">
        <v>124879.20414999999</v>
      </c>
    </row>
    <row r="107" spans="1:17" s="213" customFormat="1" x14ac:dyDescent="0.3">
      <c r="A107" s="214">
        <v>52</v>
      </c>
      <c r="B107" s="215" t="s">
        <v>939</v>
      </c>
      <c r="C107" s="216" t="s">
        <v>940</v>
      </c>
      <c r="D107" s="217" t="s">
        <v>941</v>
      </c>
      <c r="E107" s="217" t="s">
        <v>942</v>
      </c>
      <c r="F107" s="217" t="s">
        <v>943</v>
      </c>
      <c r="G107" s="218">
        <v>6469</v>
      </c>
      <c r="H107" s="220" t="s">
        <v>675</v>
      </c>
      <c r="I107" s="314">
        <v>928</v>
      </c>
      <c r="J107" s="221">
        <v>928</v>
      </c>
      <c r="K107" s="221">
        <v>928</v>
      </c>
      <c r="L107" s="221">
        <v>928</v>
      </c>
      <c r="M107" s="221">
        <v>928</v>
      </c>
      <c r="N107" s="221">
        <v>696</v>
      </c>
      <c r="O107" s="221">
        <v>0</v>
      </c>
      <c r="P107" s="222">
        <v>0</v>
      </c>
      <c r="Q107" s="223">
        <v>5336</v>
      </c>
    </row>
    <row r="108" spans="1:17" x14ac:dyDescent="0.3">
      <c r="A108" s="224"/>
      <c r="B108" s="225" t="s">
        <v>944</v>
      </c>
      <c r="C108" s="226"/>
      <c r="D108" s="227"/>
      <c r="E108" s="227"/>
      <c r="F108" s="227"/>
      <c r="G108" s="228"/>
      <c r="H108" s="229" t="s">
        <v>677</v>
      </c>
      <c r="I108" s="315">
        <v>290.01159999999999</v>
      </c>
      <c r="J108" s="230">
        <v>239.57479999999998</v>
      </c>
      <c r="K108" s="230">
        <v>189.13800000000001</v>
      </c>
      <c r="L108" s="230">
        <v>138.7012</v>
      </c>
      <c r="M108" s="230">
        <v>88.264399999999981</v>
      </c>
      <c r="N108" s="230">
        <v>37.827599999999997</v>
      </c>
      <c r="O108" s="230">
        <v>0</v>
      </c>
      <c r="P108" s="231">
        <v>0</v>
      </c>
      <c r="Q108" s="232">
        <v>983.5175999999999</v>
      </c>
    </row>
    <row r="109" spans="1:17" s="213" customFormat="1" x14ac:dyDescent="0.3">
      <c r="A109" s="214">
        <v>53</v>
      </c>
      <c r="B109" s="215" t="s">
        <v>945</v>
      </c>
      <c r="C109" s="216" t="s">
        <v>946</v>
      </c>
      <c r="D109" s="217" t="s">
        <v>947</v>
      </c>
      <c r="E109" s="217" t="s">
        <v>948</v>
      </c>
      <c r="F109" s="217" t="s">
        <v>949</v>
      </c>
      <c r="G109" s="218">
        <v>503660</v>
      </c>
      <c r="H109" s="220" t="s">
        <v>675</v>
      </c>
      <c r="I109" s="314">
        <v>35348</v>
      </c>
      <c r="J109" s="221">
        <v>35348</v>
      </c>
      <c r="K109" s="221">
        <v>35348</v>
      </c>
      <c r="L109" s="221">
        <v>35348</v>
      </c>
      <c r="M109" s="221">
        <v>35348</v>
      </c>
      <c r="N109" s="221">
        <v>35348</v>
      </c>
      <c r="O109" s="221">
        <v>35348</v>
      </c>
      <c r="P109" s="222">
        <v>247436</v>
      </c>
      <c r="Q109" s="223">
        <v>494872</v>
      </c>
    </row>
    <row r="110" spans="1:17" x14ac:dyDescent="0.3">
      <c r="A110" s="224"/>
      <c r="B110" s="225" t="s">
        <v>950</v>
      </c>
      <c r="C110" s="226"/>
      <c r="D110" s="227"/>
      <c r="E110" s="227"/>
      <c r="F110" s="227"/>
      <c r="G110" s="228"/>
      <c r="H110" s="229" t="s">
        <v>677</v>
      </c>
      <c r="I110" s="315">
        <v>21823.496639999998</v>
      </c>
      <c r="J110" s="230">
        <v>21193.246880000002</v>
      </c>
      <c r="K110" s="230">
        <v>19562.99712</v>
      </c>
      <c r="L110" s="230">
        <v>17932.747360000001</v>
      </c>
      <c r="M110" s="230">
        <v>16302.497600000001</v>
      </c>
      <c r="N110" s="230">
        <v>14672.24784</v>
      </c>
      <c r="O110" s="230">
        <v>13041.998079999999</v>
      </c>
      <c r="P110" s="231">
        <v>45646.993280000002</v>
      </c>
      <c r="Q110" s="232">
        <v>170176.22480000003</v>
      </c>
    </row>
    <row r="111" spans="1:17" s="213" customFormat="1" x14ac:dyDescent="0.3">
      <c r="A111" s="214">
        <v>54</v>
      </c>
      <c r="B111" s="215" t="s">
        <v>945</v>
      </c>
      <c r="C111" s="216" t="s">
        <v>951</v>
      </c>
      <c r="D111" s="217" t="s">
        <v>952</v>
      </c>
      <c r="E111" s="217" t="s">
        <v>948</v>
      </c>
      <c r="F111" s="217" t="s">
        <v>953</v>
      </c>
      <c r="G111" s="218">
        <v>300000</v>
      </c>
      <c r="H111" s="220" t="s">
        <v>675</v>
      </c>
      <c r="I111" s="314">
        <v>32436</v>
      </c>
      <c r="J111" s="221">
        <v>32436</v>
      </c>
      <c r="K111" s="221">
        <v>32436</v>
      </c>
      <c r="L111" s="221">
        <v>32436</v>
      </c>
      <c r="M111" s="221">
        <v>32436</v>
      </c>
      <c r="N111" s="221">
        <v>32436</v>
      </c>
      <c r="O111" s="221">
        <v>32436</v>
      </c>
      <c r="P111" s="222">
        <v>64872</v>
      </c>
      <c r="Q111" s="223">
        <v>291924</v>
      </c>
    </row>
    <row r="112" spans="1:17" x14ac:dyDescent="0.3">
      <c r="A112" s="224"/>
      <c r="B112" s="225" t="s">
        <v>954</v>
      </c>
      <c r="C112" s="226"/>
      <c r="D112" s="227"/>
      <c r="E112" s="227"/>
      <c r="F112" s="227"/>
      <c r="G112" s="228"/>
      <c r="H112" s="229" t="s">
        <v>677</v>
      </c>
      <c r="I112" s="315">
        <v>12838.817519999999</v>
      </c>
      <c r="J112" s="230">
        <v>11412.282239999999</v>
      </c>
      <c r="K112" s="230">
        <v>9985.7469599999986</v>
      </c>
      <c r="L112" s="230">
        <v>8559.2116800000003</v>
      </c>
      <c r="M112" s="230">
        <v>7132.6763999999994</v>
      </c>
      <c r="N112" s="230">
        <v>5706.1411199999993</v>
      </c>
      <c r="O112" s="230">
        <v>4279.6058400000002</v>
      </c>
      <c r="P112" s="231">
        <v>4279.6058399999993</v>
      </c>
      <c r="Q112" s="232">
        <v>64194.087599999992</v>
      </c>
    </row>
    <row r="113" spans="1:17" s="213" customFormat="1" x14ac:dyDescent="0.3">
      <c r="A113" s="214">
        <v>55</v>
      </c>
      <c r="B113" s="215" t="s">
        <v>955</v>
      </c>
      <c r="C113" s="216" t="s">
        <v>956</v>
      </c>
      <c r="D113" s="217" t="s">
        <v>957</v>
      </c>
      <c r="E113" s="217" t="s">
        <v>958</v>
      </c>
      <c r="F113" s="217" t="s">
        <v>959</v>
      </c>
      <c r="G113" s="218">
        <v>292889</v>
      </c>
      <c r="H113" s="220" t="s">
        <v>675</v>
      </c>
      <c r="I113" s="314">
        <v>20200</v>
      </c>
      <c r="J113" s="221">
        <v>20200</v>
      </c>
      <c r="K113" s="221">
        <v>20200</v>
      </c>
      <c r="L113" s="221">
        <v>20200</v>
      </c>
      <c r="M113" s="221">
        <v>20200</v>
      </c>
      <c r="N113" s="221">
        <v>20200</v>
      </c>
      <c r="O113" s="221">
        <v>20200</v>
      </c>
      <c r="P113" s="222">
        <v>141400</v>
      </c>
      <c r="Q113" s="223">
        <v>282800</v>
      </c>
    </row>
    <row r="114" spans="1:17" x14ac:dyDescent="0.3">
      <c r="A114" s="224"/>
      <c r="B114" s="225" t="s">
        <v>960</v>
      </c>
      <c r="C114" s="226"/>
      <c r="D114" s="227"/>
      <c r="E114" s="227"/>
      <c r="F114" s="227"/>
      <c r="G114" s="228"/>
      <c r="H114" s="229" t="s">
        <v>677</v>
      </c>
      <c r="I114" s="315">
        <v>13037.08</v>
      </c>
      <c r="J114" s="230">
        <v>12105.86</v>
      </c>
      <c r="K114" s="230">
        <v>11174.64</v>
      </c>
      <c r="L114" s="230">
        <v>10243.420000000002</v>
      </c>
      <c r="M114" s="230">
        <v>9312.2000000000007</v>
      </c>
      <c r="N114" s="230">
        <v>8380.98</v>
      </c>
      <c r="O114" s="230">
        <v>7449.76</v>
      </c>
      <c r="P114" s="231">
        <v>26074.16</v>
      </c>
      <c r="Q114" s="232">
        <v>97778.099999999991</v>
      </c>
    </row>
    <row r="115" spans="1:17" x14ac:dyDescent="0.3">
      <c r="A115" s="251">
        <v>56</v>
      </c>
      <c r="B115" s="252" t="s">
        <v>961</v>
      </c>
      <c r="C115" s="253" t="s">
        <v>962</v>
      </c>
      <c r="D115" s="254" t="s">
        <v>963</v>
      </c>
      <c r="E115" s="254" t="s">
        <v>964</v>
      </c>
      <c r="F115" s="254" t="s">
        <v>872</v>
      </c>
      <c r="G115" s="255">
        <v>37335</v>
      </c>
      <c r="H115" s="220" t="s">
        <v>675</v>
      </c>
      <c r="I115" s="316">
        <v>37335</v>
      </c>
      <c r="J115" s="256"/>
      <c r="K115" s="256"/>
      <c r="L115" s="256"/>
      <c r="M115" s="256"/>
      <c r="N115" s="256"/>
      <c r="O115" s="256"/>
      <c r="P115" s="222">
        <v>0</v>
      </c>
      <c r="Q115" s="223">
        <v>37335</v>
      </c>
    </row>
    <row r="116" spans="1:17" x14ac:dyDescent="0.3">
      <c r="A116" s="251"/>
      <c r="B116" s="252" t="s">
        <v>965</v>
      </c>
      <c r="C116" s="253"/>
      <c r="D116" s="254"/>
      <c r="E116" s="254"/>
      <c r="F116" s="254"/>
      <c r="G116" s="255"/>
      <c r="H116" s="229" t="s">
        <v>677</v>
      </c>
      <c r="I116" s="317">
        <v>841.58</v>
      </c>
      <c r="J116" s="256"/>
      <c r="K116" s="256"/>
      <c r="L116" s="256"/>
      <c r="M116" s="256"/>
      <c r="N116" s="256"/>
      <c r="O116" s="256"/>
      <c r="P116" s="231">
        <v>0</v>
      </c>
      <c r="Q116" s="232">
        <v>841.58</v>
      </c>
    </row>
    <row r="117" spans="1:17" s="213" customFormat="1" x14ac:dyDescent="0.3">
      <c r="A117" s="214">
        <v>57</v>
      </c>
      <c r="B117" s="215" t="s">
        <v>300</v>
      </c>
      <c r="C117" s="216" t="s">
        <v>966</v>
      </c>
      <c r="D117" s="217" t="s">
        <v>967</v>
      </c>
      <c r="E117" s="217" t="s">
        <v>968</v>
      </c>
      <c r="F117" s="217" t="s">
        <v>870</v>
      </c>
      <c r="G117" s="218">
        <v>495501</v>
      </c>
      <c r="H117" s="220" t="s">
        <v>675</v>
      </c>
      <c r="I117" s="314">
        <v>26079</v>
      </c>
      <c r="J117" s="221">
        <v>34772</v>
      </c>
      <c r="K117" s="221">
        <v>34772</v>
      </c>
      <c r="L117" s="221">
        <v>34772</v>
      </c>
      <c r="M117" s="221">
        <v>34772</v>
      </c>
      <c r="N117" s="221">
        <v>34772</v>
      </c>
      <c r="O117" s="221">
        <v>34772</v>
      </c>
      <c r="P117" s="222">
        <v>260790</v>
      </c>
      <c r="Q117" s="223">
        <v>495501</v>
      </c>
    </row>
    <row r="118" spans="1:17" x14ac:dyDescent="0.3">
      <c r="A118" s="224"/>
      <c r="B118" s="225" t="s">
        <v>969</v>
      </c>
      <c r="C118" s="226"/>
      <c r="D118" s="227"/>
      <c r="E118" s="227"/>
      <c r="F118" s="227"/>
      <c r="G118" s="228"/>
      <c r="H118" s="229" t="s">
        <v>677</v>
      </c>
      <c r="I118" s="315">
        <v>25371.475240000003</v>
      </c>
      <c r="J118" s="230">
        <v>25930.871279999999</v>
      </c>
      <c r="K118" s="230">
        <v>24010.066000000003</v>
      </c>
      <c r="L118" s="230">
        <v>22089.260720000002</v>
      </c>
      <c r="M118" s="230">
        <v>20168.455440000002</v>
      </c>
      <c r="N118" s="230">
        <v>18247.650160000001</v>
      </c>
      <c r="O118" s="230">
        <v>16326.844879999999</v>
      </c>
      <c r="P118" s="231">
        <v>61465.768960000009</v>
      </c>
      <c r="Q118" s="232">
        <v>213610.39268000002</v>
      </c>
    </row>
    <row r="119" spans="1:17" s="213" customFormat="1" x14ac:dyDescent="0.3">
      <c r="A119" s="214">
        <v>58</v>
      </c>
      <c r="B119" s="215" t="s">
        <v>970</v>
      </c>
      <c r="C119" s="216" t="s">
        <v>971</v>
      </c>
      <c r="D119" s="217" t="s">
        <v>972</v>
      </c>
      <c r="E119" s="217" t="s">
        <v>973</v>
      </c>
      <c r="F119" s="217" t="s">
        <v>974</v>
      </c>
      <c r="G119" s="218">
        <v>167687</v>
      </c>
      <c r="H119" s="220" t="s">
        <v>675</v>
      </c>
      <c r="I119" s="314">
        <v>167687</v>
      </c>
      <c r="J119" s="221">
        <v>0</v>
      </c>
      <c r="K119" s="221">
        <v>0</v>
      </c>
      <c r="L119" s="221">
        <v>0</v>
      </c>
      <c r="M119" s="221">
        <v>0</v>
      </c>
      <c r="N119" s="221">
        <v>0</v>
      </c>
      <c r="O119" s="221">
        <v>0</v>
      </c>
      <c r="P119" s="222">
        <v>0</v>
      </c>
      <c r="Q119" s="223">
        <v>167687</v>
      </c>
    </row>
    <row r="120" spans="1:17" x14ac:dyDescent="0.3">
      <c r="A120" s="224"/>
      <c r="B120" s="225" t="s">
        <v>975</v>
      </c>
      <c r="C120" s="226"/>
      <c r="D120" s="227"/>
      <c r="E120" s="227"/>
      <c r="F120" s="227"/>
      <c r="G120" s="228"/>
      <c r="H120" s="229" t="s">
        <v>677</v>
      </c>
      <c r="I120" s="315">
        <v>7911.4726599999995</v>
      </c>
      <c r="J120" s="230">
        <v>0</v>
      </c>
      <c r="K120" s="230">
        <v>0</v>
      </c>
      <c r="L120" s="230">
        <v>0</v>
      </c>
      <c r="M120" s="230">
        <v>0</v>
      </c>
      <c r="N120" s="230">
        <v>0</v>
      </c>
      <c r="O120" s="230">
        <v>0</v>
      </c>
      <c r="P120" s="231">
        <v>0</v>
      </c>
      <c r="Q120" s="232">
        <v>7911.4726599999995</v>
      </c>
    </row>
    <row r="121" spans="1:17" s="260" customFormat="1" x14ac:dyDescent="0.3">
      <c r="A121" s="257">
        <v>59</v>
      </c>
      <c r="B121" s="258" t="s">
        <v>976</v>
      </c>
      <c r="C121" s="216" t="s">
        <v>977</v>
      </c>
      <c r="D121" s="216" t="s">
        <v>978</v>
      </c>
      <c r="E121" s="259">
        <v>45159</v>
      </c>
      <c r="F121" s="216" t="s">
        <v>979</v>
      </c>
      <c r="G121" s="218">
        <v>287500</v>
      </c>
      <c r="H121" s="220" t="s">
        <v>675</v>
      </c>
      <c r="I121" s="314">
        <v>15542</v>
      </c>
      <c r="J121" s="221">
        <v>31084</v>
      </c>
      <c r="K121" s="221">
        <v>31084</v>
      </c>
      <c r="L121" s="221">
        <v>31084</v>
      </c>
      <c r="M121" s="221">
        <v>31084</v>
      </c>
      <c r="N121" s="221">
        <v>31084</v>
      </c>
      <c r="O121" s="221">
        <v>31084</v>
      </c>
      <c r="P121" s="222">
        <v>85454</v>
      </c>
      <c r="Q121" s="223">
        <v>287500</v>
      </c>
    </row>
    <row r="122" spans="1:17" s="201" customFormat="1" x14ac:dyDescent="0.3">
      <c r="A122" s="261"/>
      <c r="B122" s="262" t="s">
        <v>980</v>
      </c>
      <c r="C122" s="226"/>
      <c r="D122" s="226"/>
      <c r="E122" s="226"/>
      <c r="F122" s="226"/>
      <c r="G122" s="228"/>
      <c r="H122" s="229" t="s">
        <v>677</v>
      </c>
      <c r="I122" s="315">
        <v>15226</v>
      </c>
      <c r="J122" s="230">
        <v>14402.89568</v>
      </c>
      <c r="K122" s="230">
        <v>12756.687040000001</v>
      </c>
      <c r="L122" s="230">
        <v>11110.4784</v>
      </c>
      <c r="M122" s="230">
        <v>9464.269760000001</v>
      </c>
      <c r="N122" s="230">
        <v>7818.0611200000012</v>
      </c>
      <c r="O122" s="230">
        <v>6171.8524800000005</v>
      </c>
      <c r="P122" s="231">
        <v>8638.3055999999997</v>
      </c>
      <c r="Q122" s="232">
        <v>85588.550080000015</v>
      </c>
    </row>
    <row r="123" spans="1:17" s="260" customFormat="1" x14ac:dyDescent="0.3">
      <c r="A123" s="257">
        <v>60</v>
      </c>
      <c r="B123" s="258" t="s">
        <v>981</v>
      </c>
      <c r="C123" s="216" t="s">
        <v>982</v>
      </c>
      <c r="D123" s="216" t="s">
        <v>983</v>
      </c>
      <c r="E123" s="259">
        <v>45215</v>
      </c>
      <c r="F123" s="259">
        <v>49572</v>
      </c>
      <c r="G123" s="218">
        <v>353750</v>
      </c>
      <c r="H123" s="220" t="s">
        <v>675</v>
      </c>
      <c r="I123" s="314">
        <v>30108</v>
      </c>
      <c r="J123" s="221">
        <v>30108</v>
      </c>
      <c r="K123" s="221">
        <v>30108</v>
      </c>
      <c r="L123" s="221">
        <v>30108</v>
      </c>
      <c r="M123" s="221">
        <v>30108</v>
      </c>
      <c r="N123" s="221">
        <v>30108</v>
      </c>
      <c r="O123" s="221">
        <v>30108</v>
      </c>
      <c r="P123" s="222">
        <v>142994</v>
      </c>
      <c r="Q123" s="223">
        <v>353750</v>
      </c>
    </row>
    <row r="124" spans="1:17" s="201" customFormat="1" x14ac:dyDescent="0.3">
      <c r="A124" s="261"/>
      <c r="B124" s="262" t="s">
        <v>984</v>
      </c>
      <c r="C124" s="226"/>
      <c r="D124" s="226"/>
      <c r="E124" s="226"/>
      <c r="F124" s="226"/>
      <c r="G124" s="228"/>
      <c r="H124" s="229" t="s">
        <v>677</v>
      </c>
      <c r="I124" s="315">
        <v>14349.6625</v>
      </c>
      <c r="J124" s="230">
        <v>14858.40422</v>
      </c>
      <c r="K124" s="230">
        <v>13476.14594</v>
      </c>
      <c r="L124" s="230">
        <v>12093.88766</v>
      </c>
      <c r="M124" s="230">
        <v>10711.62938</v>
      </c>
      <c r="N124" s="230">
        <v>9329.3711000000003</v>
      </c>
      <c r="O124" s="230">
        <v>7947.1128200000003</v>
      </c>
      <c r="P124" s="231">
        <v>19001.689900000001</v>
      </c>
      <c r="Q124" s="232">
        <v>101767.90351999999</v>
      </c>
    </row>
    <row r="125" spans="1:17" s="270" customFormat="1" x14ac:dyDescent="0.3">
      <c r="A125" s="263">
        <v>61</v>
      </c>
      <c r="B125" s="264" t="s">
        <v>985</v>
      </c>
      <c r="C125" s="264" t="s">
        <v>986</v>
      </c>
      <c r="D125" s="264"/>
      <c r="E125" s="264">
        <v>2024</v>
      </c>
      <c r="F125" s="264">
        <v>2029</v>
      </c>
      <c r="G125" s="265">
        <v>196584</v>
      </c>
      <c r="H125" s="266" t="s">
        <v>675</v>
      </c>
      <c r="I125" s="267"/>
      <c r="J125" s="267"/>
      <c r="K125" s="267">
        <v>39316.800000000003</v>
      </c>
      <c r="L125" s="267">
        <v>39316.800000000003</v>
      </c>
      <c r="M125" s="267">
        <v>39316.800000000003</v>
      </c>
      <c r="N125" s="267">
        <v>39316.800000000003</v>
      </c>
      <c r="O125" s="267">
        <v>39316.800000000003</v>
      </c>
      <c r="P125" s="269">
        <v>0</v>
      </c>
      <c r="Q125" s="268">
        <v>196584</v>
      </c>
    </row>
    <row r="126" spans="1:17" s="270" customFormat="1" x14ac:dyDescent="0.3">
      <c r="A126" s="272"/>
      <c r="B126" s="273" t="s">
        <v>987</v>
      </c>
      <c r="C126" s="273"/>
      <c r="D126" s="273"/>
      <c r="E126" s="273"/>
      <c r="F126" s="273"/>
      <c r="G126" s="274"/>
      <c r="H126" s="275" t="s">
        <v>677</v>
      </c>
      <c r="I126" s="276"/>
      <c r="J126" s="276">
        <v>8742.0904800000008</v>
      </c>
      <c r="K126" s="276">
        <v>8742.0904800000008</v>
      </c>
      <c r="L126" s="276">
        <v>6993.6723840000004</v>
      </c>
      <c r="M126" s="276">
        <v>5245.2542880000001</v>
      </c>
      <c r="N126" s="276">
        <v>3496.8361920000002</v>
      </c>
      <c r="O126" s="276">
        <v>1748.4180960000001</v>
      </c>
      <c r="P126" s="278">
        <v>0</v>
      </c>
      <c r="Q126" s="277">
        <v>34968.361920000003</v>
      </c>
    </row>
    <row r="127" spans="1:17" s="270" customFormat="1" x14ac:dyDescent="0.3">
      <c r="A127" s="263">
        <v>62</v>
      </c>
      <c r="B127" s="264" t="s">
        <v>220</v>
      </c>
      <c r="C127" s="264" t="s">
        <v>986</v>
      </c>
      <c r="D127" s="264"/>
      <c r="E127" s="264">
        <v>2024</v>
      </c>
      <c r="F127" s="264">
        <v>2039</v>
      </c>
      <c r="G127" s="265">
        <v>787514</v>
      </c>
      <c r="H127" s="266" t="s">
        <v>675</v>
      </c>
      <c r="I127" s="267"/>
      <c r="J127" s="267"/>
      <c r="K127" s="267"/>
      <c r="L127" s="267">
        <v>52500.933333333334</v>
      </c>
      <c r="M127" s="267">
        <v>52500.933333333334</v>
      </c>
      <c r="N127" s="267">
        <v>52500.933333333334</v>
      </c>
      <c r="O127" s="267">
        <v>52500.933333333334</v>
      </c>
      <c r="P127" s="269">
        <v>577510.26666666672</v>
      </c>
      <c r="Q127" s="268">
        <v>787514</v>
      </c>
    </row>
    <row r="128" spans="1:17" s="270" customFormat="1" x14ac:dyDescent="0.3">
      <c r="A128" s="272"/>
      <c r="B128" s="273"/>
      <c r="C128" s="273"/>
      <c r="D128" s="273"/>
      <c r="E128" s="273"/>
      <c r="F128" s="273"/>
      <c r="G128" s="273"/>
      <c r="H128" s="275" t="s">
        <v>677</v>
      </c>
      <c r="I128" s="276"/>
      <c r="J128" s="276">
        <v>38934.692160000006</v>
      </c>
      <c r="K128" s="276">
        <v>38934.692160000006</v>
      </c>
      <c r="L128" s="276">
        <v>38934.692160000006</v>
      </c>
      <c r="M128" s="276">
        <v>36339.046016000008</v>
      </c>
      <c r="N128" s="276">
        <v>33743.399872000002</v>
      </c>
      <c r="O128" s="276">
        <v>31147.753728000003</v>
      </c>
      <c r="P128" s="278">
        <v>171312.64550399999</v>
      </c>
      <c r="Q128" s="277">
        <v>389346.9216</v>
      </c>
    </row>
    <row r="129" spans="1:17" s="270" customFormat="1" x14ac:dyDescent="0.3">
      <c r="A129" s="263">
        <v>63</v>
      </c>
      <c r="B129" s="264" t="s">
        <v>225</v>
      </c>
      <c r="C129" s="264" t="s">
        <v>986</v>
      </c>
      <c r="D129" s="264"/>
      <c r="E129" s="264">
        <v>2024</v>
      </c>
      <c r="F129" s="264">
        <v>2029</v>
      </c>
      <c r="G129" s="265">
        <v>164032</v>
      </c>
      <c r="H129" s="266" t="s">
        <v>675</v>
      </c>
      <c r="I129" s="267"/>
      <c r="J129" s="267">
        <v>32806.400000000001</v>
      </c>
      <c r="K129" s="267">
        <v>32806.400000000001</v>
      </c>
      <c r="L129" s="267">
        <v>32806.400000000001</v>
      </c>
      <c r="M129" s="267">
        <v>32806.400000000001</v>
      </c>
      <c r="N129" s="267">
        <v>32806.400000000001</v>
      </c>
      <c r="O129" s="267"/>
      <c r="P129" s="269">
        <v>0</v>
      </c>
      <c r="Q129" s="268">
        <v>164032</v>
      </c>
    </row>
    <row r="130" spans="1:17" s="270" customFormat="1" x14ac:dyDescent="0.3">
      <c r="A130" s="272"/>
      <c r="B130" s="273"/>
      <c r="C130" s="273"/>
      <c r="D130" s="273"/>
      <c r="E130" s="273"/>
      <c r="F130" s="273"/>
      <c r="G130" s="274"/>
      <c r="H130" s="275" t="s">
        <v>677</v>
      </c>
      <c r="I130" s="276"/>
      <c r="J130" s="276">
        <v>7294.5030399999996</v>
      </c>
      <c r="K130" s="276">
        <v>5835.6024320000006</v>
      </c>
      <c r="L130" s="276">
        <v>4376.7018240000007</v>
      </c>
      <c r="M130" s="276">
        <v>2917.8012160000003</v>
      </c>
      <c r="N130" s="276">
        <v>1458.9006080000001</v>
      </c>
      <c r="O130" s="276"/>
      <c r="P130" s="278">
        <v>0</v>
      </c>
      <c r="Q130" s="277">
        <v>21883.509119999999</v>
      </c>
    </row>
    <row r="131" spans="1:17" s="270" customFormat="1" x14ac:dyDescent="0.3">
      <c r="A131" s="263">
        <v>64</v>
      </c>
      <c r="B131" s="264" t="s">
        <v>988</v>
      </c>
      <c r="C131" s="264" t="s">
        <v>986</v>
      </c>
      <c r="D131" s="264"/>
      <c r="E131" s="264">
        <v>2024</v>
      </c>
      <c r="F131" s="264">
        <v>2034</v>
      </c>
      <c r="G131" s="265">
        <v>783000</v>
      </c>
      <c r="H131" s="266" t="s">
        <v>675</v>
      </c>
      <c r="I131" s="267"/>
      <c r="J131" s="267">
        <v>39150</v>
      </c>
      <c r="K131" s="267">
        <v>78300</v>
      </c>
      <c r="L131" s="267">
        <v>78300</v>
      </c>
      <c r="M131" s="267">
        <v>78300</v>
      </c>
      <c r="N131" s="267">
        <v>78300</v>
      </c>
      <c r="O131" s="267">
        <v>78300</v>
      </c>
      <c r="P131" s="269">
        <v>352350</v>
      </c>
      <c r="Q131" s="268">
        <v>783000</v>
      </c>
    </row>
    <row r="132" spans="1:17" s="270" customFormat="1" x14ac:dyDescent="0.3">
      <c r="A132" s="272"/>
      <c r="B132" s="273" t="s">
        <v>989</v>
      </c>
      <c r="C132" s="273"/>
      <c r="D132" s="273"/>
      <c r="E132" s="273"/>
      <c r="F132" s="273"/>
      <c r="G132" s="274"/>
      <c r="H132" s="275" t="s">
        <v>677</v>
      </c>
      <c r="I132" s="276"/>
      <c r="J132" s="276">
        <v>34820.01</v>
      </c>
      <c r="K132" s="276">
        <v>33079.0095</v>
      </c>
      <c r="L132" s="276">
        <v>29597.0085</v>
      </c>
      <c r="M132" s="276">
        <v>26115.0075</v>
      </c>
      <c r="N132" s="276">
        <v>22633.0065</v>
      </c>
      <c r="O132" s="276">
        <v>19151.005499999999</v>
      </c>
      <c r="P132" s="278">
        <v>43525.012500000004</v>
      </c>
      <c r="Q132" s="277">
        <v>208920.06</v>
      </c>
    </row>
    <row r="133" spans="1:17" s="270" customFormat="1" x14ac:dyDescent="0.3">
      <c r="A133" s="263">
        <v>65</v>
      </c>
      <c r="B133" s="264" t="s">
        <v>990</v>
      </c>
      <c r="C133" s="264" t="s">
        <v>986</v>
      </c>
      <c r="D133" s="264"/>
      <c r="E133" s="264">
        <v>2025</v>
      </c>
      <c r="F133" s="264">
        <v>2045</v>
      </c>
      <c r="G133" s="265">
        <v>5690000</v>
      </c>
      <c r="H133" s="266" t="s">
        <v>675</v>
      </c>
      <c r="I133" s="267"/>
      <c r="J133" s="267"/>
      <c r="K133" s="267"/>
      <c r="L133" s="267">
        <v>158055.55555555556</v>
      </c>
      <c r="M133" s="267">
        <v>316111.11111111112</v>
      </c>
      <c r="N133" s="267">
        <v>316111.11111111112</v>
      </c>
      <c r="O133" s="267">
        <v>316111.11111111112</v>
      </c>
      <c r="P133" s="269">
        <v>4583611.1111111101</v>
      </c>
      <c r="Q133" s="268">
        <v>5689999.9999999991</v>
      </c>
    </row>
    <row r="134" spans="1:17" s="270" customFormat="1" x14ac:dyDescent="0.3">
      <c r="A134" s="272"/>
      <c r="B134" s="273"/>
      <c r="C134" s="273"/>
      <c r="D134" s="273"/>
      <c r="E134" s="273"/>
      <c r="F134" s="273"/>
      <c r="G134" s="274"/>
      <c r="H134" s="275" t="s">
        <v>677</v>
      </c>
      <c r="I134" s="276"/>
      <c r="J134" s="276">
        <v>72590.174999999988</v>
      </c>
      <c r="K134" s="276">
        <v>290360.69999999995</v>
      </c>
      <c r="L134" s="276">
        <v>290360.69999999995</v>
      </c>
      <c r="M134" s="276">
        <v>282295.12499999994</v>
      </c>
      <c r="N134" s="276">
        <v>266163.97499999998</v>
      </c>
      <c r="O134" s="276">
        <v>250032.82499999995</v>
      </c>
      <c r="P134" s="278">
        <v>1806688.7999999998</v>
      </c>
      <c r="Q134" s="277">
        <v>3258492.3</v>
      </c>
    </row>
    <row r="135" spans="1:17" x14ac:dyDescent="0.3">
      <c r="G135" s="279"/>
      <c r="H135" s="281"/>
      <c r="I135" s="279"/>
      <c r="J135" s="279"/>
      <c r="K135" s="279"/>
      <c r="L135" s="279"/>
      <c r="M135" s="279"/>
      <c r="N135" s="279"/>
      <c r="O135" s="279"/>
      <c r="P135" s="279"/>
      <c r="Q135" s="279"/>
    </row>
    <row r="136" spans="1:17" hidden="1" outlineLevel="1" x14ac:dyDescent="0.3">
      <c r="G136" s="282">
        <v>74812477.030000001</v>
      </c>
      <c r="H136" s="280"/>
      <c r="I136" s="279"/>
      <c r="J136" s="279"/>
      <c r="K136" s="279"/>
      <c r="L136" s="279"/>
      <c r="M136" s="279"/>
      <c r="N136" s="279"/>
      <c r="O136" s="279"/>
      <c r="P136" s="279"/>
      <c r="Q136" s="279"/>
    </row>
    <row r="137" spans="1:17" s="213" customFormat="1" collapsed="1" x14ac:dyDescent="0.3">
      <c r="C137" s="260"/>
      <c r="H137" s="283" t="s">
        <v>675</v>
      </c>
      <c r="I137" s="284">
        <v>3657198.1799999997</v>
      </c>
      <c r="J137" s="284">
        <v>3480078.89</v>
      </c>
      <c r="K137" s="284">
        <v>3503337.36</v>
      </c>
      <c r="L137" s="284">
        <v>3555506.1488888883</v>
      </c>
      <c r="M137" s="284">
        <v>3674786.404444444</v>
      </c>
      <c r="N137" s="284">
        <v>3617009.404444444</v>
      </c>
      <c r="O137" s="284">
        <v>3555140.0044444441</v>
      </c>
      <c r="P137" s="284">
        <v>33488111.977777787</v>
      </c>
      <c r="Q137" s="284">
        <v>58531168.370000005</v>
      </c>
    </row>
    <row r="138" spans="1:17" x14ac:dyDescent="0.3">
      <c r="H138" s="285" t="s">
        <v>677</v>
      </c>
      <c r="I138" s="286">
        <v>2229302.7832189007</v>
      </c>
      <c r="J138" s="286">
        <v>2243023.0790198999</v>
      </c>
      <c r="K138" s="286">
        <v>2310774.2351628998</v>
      </c>
      <c r="L138" s="286">
        <v>2159219.3065748997</v>
      </c>
      <c r="M138" s="286">
        <v>2002577.9125634998</v>
      </c>
      <c r="N138" s="286">
        <v>1839739.1704315008</v>
      </c>
      <c r="O138" s="286">
        <v>1679261.8073895001</v>
      </c>
      <c r="P138" s="286">
        <v>12473058.707912501</v>
      </c>
      <c r="Q138" s="286">
        <v>26936957.002273601</v>
      </c>
    </row>
    <row r="139" spans="1:17" s="260" customFormat="1" x14ac:dyDescent="0.3">
      <c r="H139" s="283" t="s">
        <v>991</v>
      </c>
      <c r="I139" s="287">
        <v>5886500.9632189004</v>
      </c>
      <c r="J139" s="287">
        <v>5723101.9690199001</v>
      </c>
      <c r="K139" s="287">
        <v>5814111.5951629002</v>
      </c>
      <c r="L139" s="287">
        <v>5714725.4554637875</v>
      </c>
      <c r="M139" s="287">
        <v>5677364.317007944</v>
      </c>
      <c r="N139" s="287">
        <v>5456748.5748759452</v>
      </c>
      <c r="O139" s="287">
        <v>5234401.8118339442</v>
      </c>
      <c r="P139" s="287">
        <v>45961170.685690269</v>
      </c>
      <c r="Q139" s="287">
        <v>85468125.372273594</v>
      </c>
    </row>
    <row r="141" spans="1:17" x14ac:dyDescent="0.3">
      <c r="G141" s="288"/>
      <c r="I141" s="289"/>
      <c r="J141" s="289"/>
      <c r="K141" s="289"/>
      <c r="L141" s="289"/>
      <c r="M141" s="289"/>
      <c r="N141" s="289"/>
      <c r="O141" s="289"/>
      <c r="P141" s="289"/>
      <c r="Q141" s="289"/>
    </row>
    <row r="142" spans="1:17" ht="15.6" x14ac:dyDescent="0.3">
      <c r="A142" s="205" t="s">
        <v>992</v>
      </c>
      <c r="G142" s="290"/>
      <c r="J142" s="203"/>
    </row>
    <row r="143" spans="1:17" ht="43.2" x14ac:dyDescent="0.3">
      <c r="A143" s="210" t="s">
        <v>660</v>
      </c>
      <c r="B143" s="209" t="s">
        <v>993</v>
      </c>
      <c r="C143" s="209" t="s">
        <v>994</v>
      </c>
      <c r="D143" s="209" t="s">
        <v>995</v>
      </c>
      <c r="E143" s="209" t="s">
        <v>664</v>
      </c>
      <c r="F143" s="209" t="s">
        <v>665</v>
      </c>
      <c r="G143" s="211" t="s">
        <v>996</v>
      </c>
      <c r="H143" s="212" t="s">
        <v>667</v>
      </c>
      <c r="I143" s="210">
        <v>2024</v>
      </c>
      <c r="J143" s="210">
        <v>2025</v>
      </c>
      <c r="K143" s="210">
        <v>2026</v>
      </c>
      <c r="L143" s="210">
        <v>2027</v>
      </c>
      <c r="M143" s="210">
        <v>2028</v>
      </c>
      <c r="N143" s="210">
        <v>2029</v>
      </c>
      <c r="O143" s="210">
        <v>2030</v>
      </c>
      <c r="P143" s="208" t="s">
        <v>668</v>
      </c>
      <c r="Q143" s="209" t="s">
        <v>669</v>
      </c>
    </row>
    <row r="144" spans="1:17" s="213" customFormat="1" x14ac:dyDescent="0.3">
      <c r="A144" s="215">
        <v>1</v>
      </c>
      <c r="B144" s="215" t="s">
        <v>997</v>
      </c>
      <c r="C144" s="258"/>
      <c r="D144" s="215"/>
      <c r="E144" s="215">
        <v>3.2017000000000002</v>
      </c>
      <c r="F144" s="215">
        <v>3.2031999999999998</v>
      </c>
      <c r="G144" s="219">
        <v>129553</v>
      </c>
      <c r="H144" s="220" t="s">
        <v>675</v>
      </c>
      <c r="I144" s="221">
        <v>8936</v>
      </c>
      <c r="J144" s="221">
        <v>8936</v>
      </c>
      <c r="K144" s="221">
        <v>8936</v>
      </c>
      <c r="L144" s="221">
        <v>8936</v>
      </c>
      <c r="M144" s="221">
        <v>8936</v>
      </c>
      <c r="N144" s="221">
        <v>8936</v>
      </c>
      <c r="O144" s="221">
        <v>8936</v>
      </c>
      <c r="P144" s="222">
        <v>11170</v>
      </c>
      <c r="Q144" s="223">
        <v>73722</v>
      </c>
    </row>
    <row r="145" spans="1:17" x14ac:dyDescent="0.3">
      <c r="A145" s="227"/>
      <c r="B145" s="227"/>
      <c r="C145" s="226"/>
      <c r="D145" s="227"/>
      <c r="E145" s="227"/>
      <c r="F145" s="227"/>
      <c r="G145" s="228"/>
      <c r="H145" s="229" t="s">
        <v>677</v>
      </c>
      <c r="I145" s="230">
        <v>2218.2949800000001</v>
      </c>
      <c r="J145" s="230">
        <v>1949.41074</v>
      </c>
      <c r="K145" s="230">
        <v>1680.5264999999999</v>
      </c>
      <c r="L145" s="230">
        <v>1411.6422599999999</v>
      </c>
      <c r="M145" s="230">
        <v>1142.75802</v>
      </c>
      <c r="N145" s="230">
        <v>873.87378000000001</v>
      </c>
      <c r="O145" s="230">
        <v>604.98954000000003</v>
      </c>
      <c r="P145" s="231">
        <v>403.32636000000002</v>
      </c>
      <c r="Q145" s="232">
        <v>10284.822179999999</v>
      </c>
    </row>
    <row r="146" spans="1:17" s="213" customFormat="1" x14ac:dyDescent="0.3">
      <c r="A146" s="215">
        <v>2</v>
      </c>
      <c r="B146" s="215" t="s">
        <v>998</v>
      </c>
      <c r="C146" s="258"/>
      <c r="D146" s="215"/>
      <c r="E146" s="291">
        <v>43832</v>
      </c>
      <c r="F146" s="291">
        <v>45656</v>
      </c>
      <c r="G146" s="219">
        <v>44681</v>
      </c>
      <c r="H146" s="220" t="s">
        <v>675</v>
      </c>
      <c r="I146" s="221">
        <v>5976</v>
      </c>
      <c r="J146" s="221">
        <v>446.95</v>
      </c>
      <c r="K146" s="221"/>
      <c r="L146" s="221"/>
      <c r="M146" s="221"/>
      <c r="N146" s="221"/>
      <c r="O146" s="221"/>
      <c r="P146" s="222">
        <v>0</v>
      </c>
      <c r="Q146" s="223">
        <v>6422.95</v>
      </c>
    </row>
    <row r="147" spans="1:17" x14ac:dyDescent="0.3">
      <c r="A147" s="227"/>
      <c r="B147" s="227" t="s">
        <v>999</v>
      </c>
      <c r="C147" s="226"/>
      <c r="D147" s="227"/>
      <c r="E147" s="227"/>
      <c r="F147" s="227"/>
      <c r="G147" s="228"/>
      <c r="H147" s="229" t="s">
        <v>677</v>
      </c>
      <c r="I147" s="230"/>
      <c r="J147" s="230"/>
      <c r="K147" s="230"/>
      <c r="L147" s="230"/>
      <c r="M147" s="230"/>
      <c r="N147" s="230"/>
      <c r="O147" s="230"/>
      <c r="P147" s="231">
        <v>0</v>
      </c>
      <c r="Q147" s="232">
        <v>0</v>
      </c>
    </row>
    <row r="148" spans="1:17" s="213" customFormat="1" x14ac:dyDescent="0.3">
      <c r="A148" s="215">
        <v>3</v>
      </c>
      <c r="B148" s="215" t="s">
        <v>1000</v>
      </c>
      <c r="C148" s="258"/>
      <c r="D148" s="215"/>
      <c r="E148" s="291">
        <v>44151</v>
      </c>
      <c r="F148" s="291">
        <v>45981</v>
      </c>
      <c r="G148" s="219">
        <v>82111</v>
      </c>
      <c r="H148" s="220" t="s">
        <v>675</v>
      </c>
      <c r="I148" s="221">
        <v>15204.36</v>
      </c>
      <c r="J148" s="221">
        <v>13937.16</v>
      </c>
      <c r="K148" s="221"/>
      <c r="L148" s="221"/>
      <c r="M148" s="221"/>
      <c r="N148" s="221"/>
      <c r="O148" s="221"/>
      <c r="P148" s="222">
        <v>0</v>
      </c>
      <c r="Q148" s="223">
        <v>29141.52</v>
      </c>
    </row>
    <row r="149" spans="1:17" x14ac:dyDescent="0.3">
      <c r="A149" s="227"/>
      <c r="B149" s="227" t="s">
        <v>999</v>
      </c>
      <c r="C149" s="226"/>
      <c r="D149" s="227"/>
      <c r="E149" s="227"/>
      <c r="F149" s="227"/>
      <c r="G149" s="228"/>
      <c r="H149" s="229" t="s">
        <v>677</v>
      </c>
      <c r="I149" s="230"/>
      <c r="J149" s="230"/>
      <c r="K149" s="230"/>
      <c r="L149" s="230"/>
      <c r="M149" s="230"/>
      <c r="N149" s="230"/>
      <c r="O149" s="230"/>
      <c r="P149" s="231">
        <v>0</v>
      </c>
      <c r="Q149" s="232">
        <v>0</v>
      </c>
    </row>
    <row r="150" spans="1:17" s="213" customFormat="1" x14ac:dyDescent="0.3">
      <c r="A150" s="215">
        <v>4</v>
      </c>
      <c r="B150" s="215" t="s">
        <v>1001</v>
      </c>
      <c r="C150" s="258"/>
      <c r="D150" s="215"/>
      <c r="E150" s="291">
        <v>44313</v>
      </c>
      <c r="F150" s="291">
        <v>45774</v>
      </c>
      <c r="G150" s="219">
        <v>33649.81</v>
      </c>
      <c r="H150" s="220" t="s">
        <v>675</v>
      </c>
      <c r="I150" s="221">
        <v>8424</v>
      </c>
      <c r="J150" s="221">
        <v>2808</v>
      </c>
      <c r="K150" s="221"/>
      <c r="L150" s="221"/>
      <c r="M150" s="221"/>
      <c r="N150" s="221"/>
      <c r="O150" s="221"/>
      <c r="P150" s="222">
        <v>0</v>
      </c>
      <c r="Q150" s="223">
        <v>11232</v>
      </c>
    </row>
    <row r="151" spans="1:17" ht="13.95" customHeight="1" x14ac:dyDescent="0.3">
      <c r="A151" s="227"/>
      <c r="B151" s="227" t="s">
        <v>999</v>
      </c>
      <c r="C151" s="226"/>
      <c r="D151" s="227"/>
      <c r="E151" s="227"/>
      <c r="F151" s="227"/>
      <c r="G151" s="228"/>
      <c r="H151" s="229" t="s">
        <v>677</v>
      </c>
      <c r="I151" s="230"/>
      <c r="J151" s="230"/>
      <c r="K151" s="230"/>
      <c r="L151" s="230"/>
      <c r="M151" s="230"/>
      <c r="N151" s="230"/>
      <c r="O151" s="230"/>
      <c r="P151" s="231">
        <v>0</v>
      </c>
      <c r="Q151" s="232">
        <v>0</v>
      </c>
    </row>
    <row r="152" spans="1:17" s="213" customFormat="1" x14ac:dyDescent="0.3">
      <c r="A152" s="215">
        <v>5</v>
      </c>
      <c r="B152" s="215" t="s">
        <v>997</v>
      </c>
      <c r="C152" s="258"/>
      <c r="D152" s="215"/>
      <c r="E152" s="291">
        <v>44655</v>
      </c>
      <c r="F152" s="291">
        <v>55598</v>
      </c>
      <c r="G152" s="219">
        <v>2209678</v>
      </c>
      <c r="H152" s="220" t="s">
        <v>675</v>
      </c>
      <c r="I152" s="221"/>
      <c r="J152" s="221">
        <v>67990</v>
      </c>
      <c r="K152" s="221">
        <v>81588</v>
      </c>
      <c r="L152" s="221">
        <v>81588</v>
      </c>
      <c r="M152" s="221">
        <v>81588</v>
      </c>
      <c r="N152" s="221">
        <v>81588</v>
      </c>
      <c r="O152" s="221">
        <v>81588</v>
      </c>
      <c r="P152" s="222">
        <v>1815336</v>
      </c>
      <c r="Q152" s="223">
        <v>2291266</v>
      </c>
    </row>
    <row r="153" spans="1:17" x14ac:dyDescent="0.3">
      <c r="A153" s="227"/>
      <c r="B153" s="227"/>
      <c r="C153" s="226"/>
      <c r="D153" s="227"/>
      <c r="E153" s="227"/>
      <c r="F153" s="227"/>
      <c r="G153" s="228"/>
      <c r="H153" s="229" t="s">
        <v>677</v>
      </c>
      <c r="I153" s="230">
        <v>68921.281279999996</v>
      </c>
      <c r="J153" s="230">
        <v>68921.281279999996</v>
      </c>
      <c r="K153" s="230">
        <v>66876.142079999991</v>
      </c>
      <c r="L153" s="230">
        <v>64421.975039999998</v>
      </c>
      <c r="M153" s="230">
        <v>61967.807999999997</v>
      </c>
      <c r="N153" s="230">
        <v>59513.640959999997</v>
      </c>
      <c r="O153" s="230">
        <v>57059.473919999997</v>
      </c>
      <c r="P153" s="231">
        <v>635017.79712</v>
      </c>
      <c r="Q153" s="232">
        <v>1082699.39968</v>
      </c>
    </row>
    <row r="154" spans="1:17" s="213" customFormat="1" x14ac:dyDescent="0.3">
      <c r="A154" s="215">
        <v>6</v>
      </c>
      <c r="B154" s="215" t="s">
        <v>1002</v>
      </c>
      <c r="C154" s="258"/>
      <c r="D154" s="215"/>
      <c r="E154" s="291">
        <v>45112</v>
      </c>
      <c r="F154" s="291">
        <v>46965</v>
      </c>
      <c r="G154" s="219">
        <v>134432.07999999999</v>
      </c>
      <c r="H154" s="220" t="s">
        <v>675</v>
      </c>
      <c r="I154" s="221">
        <v>24300</v>
      </c>
      <c r="J154" s="221">
        <v>24300</v>
      </c>
      <c r="K154" s="221">
        <v>24300</v>
      </c>
      <c r="L154" s="221">
        <v>24300</v>
      </c>
      <c r="M154" s="221">
        <v>10125</v>
      </c>
      <c r="N154" s="221"/>
      <c r="O154" s="221"/>
      <c r="P154" s="222">
        <v>0</v>
      </c>
      <c r="Q154" s="223">
        <v>107325</v>
      </c>
    </row>
    <row r="155" spans="1:17" x14ac:dyDescent="0.3">
      <c r="A155" s="227"/>
      <c r="B155" s="227"/>
      <c r="C155" s="226"/>
      <c r="D155" s="227"/>
      <c r="E155" s="227"/>
      <c r="F155" s="227"/>
      <c r="G155" s="228"/>
      <c r="H155" s="229" t="s">
        <v>677</v>
      </c>
      <c r="I155" s="230"/>
      <c r="J155" s="230"/>
      <c r="K155" s="230"/>
      <c r="L155" s="230"/>
      <c r="M155" s="230"/>
      <c r="N155" s="230"/>
      <c r="O155" s="230"/>
      <c r="P155" s="231">
        <v>0</v>
      </c>
      <c r="Q155" s="232">
        <v>0</v>
      </c>
    </row>
    <row r="156" spans="1:17" s="271" customFormat="1" x14ac:dyDescent="0.3">
      <c r="A156" s="292">
        <v>7</v>
      </c>
      <c r="B156" s="264" t="s">
        <v>997</v>
      </c>
      <c r="C156" s="292"/>
      <c r="D156" s="292"/>
      <c r="E156" s="293" t="s">
        <v>986</v>
      </c>
      <c r="F156" s="293">
        <v>49572</v>
      </c>
      <c r="G156" s="265">
        <v>801681</v>
      </c>
      <c r="H156" s="266" t="s">
        <v>675</v>
      </c>
      <c r="I156" s="267"/>
      <c r="J156" s="267"/>
      <c r="K156" s="267"/>
      <c r="L156" s="267">
        <v>80168.100000000006</v>
      </c>
      <c r="M156" s="267">
        <v>80168.100000000006</v>
      </c>
      <c r="N156" s="267">
        <v>80168.100000000006</v>
      </c>
      <c r="O156" s="267">
        <v>80168.100000000006</v>
      </c>
      <c r="P156" s="269">
        <v>481008.6</v>
      </c>
      <c r="Q156" s="268">
        <v>801681</v>
      </c>
    </row>
    <row r="157" spans="1:17" s="270" customFormat="1" x14ac:dyDescent="0.3">
      <c r="A157" s="273"/>
      <c r="B157" s="273" t="s">
        <v>1003</v>
      </c>
      <c r="C157" s="273"/>
      <c r="D157" s="273"/>
      <c r="E157" s="273"/>
      <c r="F157" s="273"/>
      <c r="G157" s="274"/>
      <c r="H157" s="275" t="s">
        <v>677</v>
      </c>
      <c r="I157" s="276">
        <v>39402.621149999992</v>
      </c>
      <c r="J157" s="276">
        <v>39402.621149999992</v>
      </c>
      <c r="K157" s="276">
        <v>39402.621149999992</v>
      </c>
      <c r="L157" s="276">
        <v>39402.621149999992</v>
      </c>
      <c r="M157" s="276">
        <v>35462.359034999994</v>
      </c>
      <c r="N157" s="276">
        <v>31522.096919999996</v>
      </c>
      <c r="O157" s="276">
        <v>27581.834804999995</v>
      </c>
      <c r="P157" s="278">
        <v>82745.504415000003</v>
      </c>
      <c r="Q157" s="277">
        <v>334922.27977499994</v>
      </c>
    </row>
    <row r="158" spans="1:17" s="260" customFormat="1" x14ac:dyDescent="0.3">
      <c r="A158" s="294"/>
      <c r="B158" s="294"/>
      <c r="C158" s="294"/>
      <c r="D158" s="294"/>
      <c r="E158" s="294"/>
      <c r="F158" s="294"/>
      <c r="G158" s="294"/>
      <c r="H158" s="295" t="s">
        <v>1004</v>
      </c>
      <c r="I158" s="296">
        <v>173382.55740999998</v>
      </c>
      <c r="J158" s="296">
        <v>228691.42316999999</v>
      </c>
      <c r="K158" s="296">
        <v>222783.28972999999</v>
      </c>
      <c r="L158" s="296">
        <v>300228.33844999998</v>
      </c>
      <c r="M158" s="296">
        <v>279390.02505499998</v>
      </c>
      <c r="N158" s="296">
        <v>262601.71165999997</v>
      </c>
      <c r="O158" s="296">
        <v>255938.398265</v>
      </c>
      <c r="P158" s="297">
        <v>3025681.227895</v>
      </c>
      <c r="Q158" s="297">
        <v>4748696.9716349998</v>
      </c>
    </row>
    <row r="161" spans="4:17" ht="28.8" x14ac:dyDescent="0.3">
      <c r="I161" s="210">
        <v>2024</v>
      </c>
      <c r="J161" s="210">
        <v>2025</v>
      </c>
      <c r="K161" s="210">
        <v>2026</v>
      </c>
      <c r="L161" s="210">
        <v>2027</v>
      </c>
      <c r="M161" s="210">
        <v>2028</v>
      </c>
      <c r="N161" s="210">
        <v>2029</v>
      </c>
      <c r="O161" s="210">
        <v>2030</v>
      </c>
      <c r="P161" s="210" t="s">
        <v>668</v>
      </c>
      <c r="Q161" s="209" t="s">
        <v>669</v>
      </c>
    </row>
    <row r="162" spans="4:17" x14ac:dyDescent="0.3">
      <c r="H162" s="298" t="s">
        <v>1005</v>
      </c>
      <c r="I162" s="299">
        <v>3657198.1799999997</v>
      </c>
      <c r="J162" s="299">
        <v>3480078.89</v>
      </c>
      <c r="K162" s="299">
        <v>3503337.36</v>
      </c>
      <c r="L162" s="299">
        <v>3555506.1488888883</v>
      </c>
      <c r="M162" s="299">
        <v>3674786.404444444</v>
      </c>
      <c r="N162" s="299">
        <v>3617009.404444444</v>
      </c>
      <c r="O162" s="299">
        <v>3555140.0044444441</v>
      </c>
      <c r="P162" s="256">
        <v>33488111.977777787</v>
      </c>
      <c r="Q162" s="223">
        <v>58531168.370000005</v>
      </c>
    </row>
    <row r="163" spans="4:17" x14ac:dyDescent="0.3">
      <c r="H163" s="298" t="s">
        <v>1006</v>
      </c>
      <c r="I163" s="299">
        <v>2229302.7832189007</v>
      </c>
      <c r="J163" s="299">
        <v>2243023.0790198999</v>
      </c>
      <c r="K163" s="299">
        <v>2310774.2351628998</v>
      </c>
      <c r="L163" s="299">
        <v>2159219.3065748997</v>
      </c>
      <c r="M163" s="299">
        <v>2002577.9125634998</v>
      </c>
      <c r="N163" s="299">
        <v>1839739.1704315008</v>
      </c>
      <c r="O163" s="299">
        <v>1679261.8073895001</v>
      </c>
      <c r="P163" s="256">
        <v>12473058.707912501</v>
      </c>
      <c r="Q163" s="300">
        <v>26936957.002273601</v>
      </c>
    </row>
    <row r="164" spans="4:17" x14ac:dyDescent="0.3">
      <c r="H164" s="298" t="s">
        <v>1007</v>
      </c>
      <c r="I164" s="299">
        <v>173382.55740999998</v>
      </c>
      <c r="J164" s="299">
        <v>228691.42316999999</v>
      </c>
      <c r="K164" s="299">
        <v>222783.28972999999</v>
      </c>
      <c r="L164" s="299">
        <v>300228.33844999998</v>
      </c>
      <c r="M164" s="299">
        <v>279390.02505499998</v>
      </c>
      <c r="N164" s="299">
        <v>262601.71165999997</v>
      </c>
      <c r="O164" s="299">
        <v>255938.398265</v>
      </c>
      <c r="P164" s="230">
        <v>3025681.227895</v>
      </c>
      <c r="Q164" s="300">
        <v>4748696.9716349998</v>
      </c>
    </row>
    <row r="165" spans="4:17" s="260" customFormat="1" x14ac:dyDescent="0.3">
      <c r="H165" s="301" t="s">
        <v>1008</v>
      </c>
      <c r="I165" s="302">
        <v>6059883.5206289003</v>
      </c>
      <c r="J165" s="302">
        <v>5951793.3921899004</v>
      </c>
      <c r="K165" s="302">
        <v>6036894.8848929005</v>
      </c>
      <c r="L165" s="302">
        <v>6014953.7939137872</v>
      </c>
      <c r="M165" s="302">
        <v>5956754.3420629436</v>
      </c>
      <c r="N165" s="302">
        <v>5719350.2865359448</v>
      </c>
      <c r="O165" s="302">
        <v>5490340.2100989446</v>
      </c>
      <c r="P165" s="302">
        <v>48986851.913585283</v>
      </c>
      <c r="Q165" s="302">
        <v>90216822.343908608</v>
      </c>
    </row>
    <row r="167" spans="4:17" s="260" customFormat="1" x14ac:dyDescent="0.3">
      <c r="H167" s="301" t="s">
        <v>1009</v>
      </c>
      <c r="I167" s="303">
        <v>0.17649820940082775</v>
      </c>
      <c r="J167" s="303">
        <v>0.17335001124512969</v>
      </c>
      <c r="K167" s="303">
        <v>0.17582864982428481</v>
      </c>
      <c r="L167" s="303">
        <v>0.17518960069785666</v>
      </c>
      <c r="M167" s="303">
        <v>0.17349450226818958</v>
      </c>
      <c r="N167" s="303">
        <v>0.16657994845500648</v>
      </c>
      <c r="O167" s="303">
        <v>0.1599098749646034</v>
      </c>
      <c r="P167" s="304"/>
      <c r="Q167" s="304"/>
    </row>
    <row r="168" spans="4:17" x14ac:dyDescent="0.3">
      <c r="G168" s="305" t="s">
        <v>1010</v>
      </c>
      <c r="H168" s="306">
        <v>34333966</v>
      </c>
      <c r="J168" s="307"/>
      <c r="K168" s="307"/>
      <c r="L168" s="307"/>
      <c r="M168" s="307"/>
      <c r="N168" s="307"/>
    </row>
    <row r="169" spans="4:17" x14ac:dyDescent="0.3">
      <c r="I169" s="308"/>
    </row>
    <row r="170" spans="4:17" x14ac:dyDescent="0.3">
      <c r="D170" s="309"/>
      <c r="G170" s="310"/>
      <c r="H170" s="311"/>
      <c r="I170" s="204"/>
      <c r="J170" s="204"/>
      <c r="K170" s="204"/>
      <c r="L170" s="204"/>
    </row>
    <row r="171" spans="4:17" x14ac:dyDescent="0.3">
      <c r="I171" s="204"/>
    </row>
    <row r="174" spans="4:17" x14ac:dyDescent="0.3">
      <c r="H174" s="203"/>
    </row>
  </sheetData>
  <pageMargins left="0.25" right="0.25" top="0.75" bottom="0.75" header="0.3" footer="0.3"/>
  <pageSetup paperSize="9" scale="4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2024.gada budzeta plans_apvieno</vt:lpstr>
      <vt:lpstr>Saistibas_25012023</vt:lpstr>
      <vt:lpstr>'2024.gada budzeta plans_apvieno'!Print_Area</vt:lpstr>
      <vt:lpstr>'2024.gada budzeta plans_apvieno'!Print_Titles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Sarmīte Mūze</dc:creator>
  <cp:lastModifiedBy>Sarmīte Mūze</cp:lastModifiedBy>
  <dcterms:created xsi:type="dcterms:W3CDTF">2024-01-19T11:31:59Z</dcterms:created>
  <dcterms:modified xsi:type="dcterms:W3CDTF">2024-01-23T08:39:04Z</dcterms:modified>
</cp:coreProperties>
</file>