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Šī_darbgrāmata"/>
  <mc:AlternateContent xmlns:mc="http://schemas.openxmlformats.org/markup-compatibility/2006">
    <mc:Choice Requires="x15">
      <x15ac:absPath xmlns:x15ac="http://schemas.microsoft.com/office/spreadsheetml/2010/11/ac" url="https://dvs-adazi.namejs.lv/webdav/c5781710-8eaa-4fda-ac08-ea634444b48c/"/>
    </mc:Choice>
  </mc:AlternateContent>
  <xr:revisionPtr revIDLastSave="0" documentId="13_ncr:1_{E0618739-2075-4743-84E9-0B58F1C35C2B}" xr6:coauthVersionLast="47" xr6:coauthVersionMax="47" xr10:uidLastSave="{00000000-0000-0000-0000-000000000000}"/>
  <bookViews>
    <workbookView xWindow="-108" yWindow="-108" windowWidth="23256" windowHeight="12456" tabRatio="823" activeTab="2" xr2:uid="{00000000-000D-0000-FFFF-FFFF00000000}"/>
  </bookViews>
  <sheets>
    <sheet name="Investīcijas_2024" sheetId="143" r:id="rId1"/>
    <sheet name="2024.gada budzeta plans_apvieno" sheetId="70" r:id="rId2"/>
    <sheet name="Grafiki_budžeta_izpilde" sheetId="128" r:id="rId3"/>
  </sheets>
  <definedNames>
    <definedName name="_0812" localSheetId="2">#REF!</definedName>
    <definedName name="_0812" localSheetId="0">#REF!</definedName>
    <definedName name="_0812">#REF!</definedName>
    <definedName name="_xlnm._FilterDatabase" localSheetId="1" hidden="1">'2024.gada budzeta plans_apvieno'!#REF!</definedName>
    <definedName name="_xlnm._FilterDatabase" localSheetId="0" hidden="1">Investīcijas_2024!$A$171:$W$340</definedName>
    <definedName name="Apmaksa" localSheetId="1">#REF!</definedName>
    <definedName name="Apmaksa" localSheetId="0">#REF!</definedName>
    <definedName name="Apmaksa">#REF!</definedName>
    <definedName name="Darijums" localSheetId="1">#REF!</definedName>
    <definedName name="Darijums" localSheetId="0">#REF!</definedName>
    <definedName name="Darijums">#REF!</definedName>
    <definedName name="Excel_BuiltIn__FilterDatabase" localSheetId="1">#REF!</definedName>
    <definedName name="Excel_BuiltIn__FilterDatabase" localSheetId="0">#REF!</definedName>
    <definedName name="Excel_BuiltIn__FilterDatabase">#REF!</definedName>
    <definedName name="Firmas" localSheetId="1">#REF!</definedName>
    <definedName name="Firmas" localSheetId="0">#REF!</definedName>
    <definedName name="Firmas">#REF!</definedName>
    <definedName name="Kolonnas_virsraksta_reģions1..B11.1" localSheetId="0">#REF!</definedName>
    <definedName name="Kolonnas_virsraksta_reģions1..B11.1">#REF!</definedName>
    <definedName name="Kolonnas_virsraksta_reģions1..D4" localSheetId="0">#REF!</definedName>
    <definedName name="Kolonnas_virsraksta_reģions1..D4">#REF!</definedName>
    <definedName name="Kolonnas_virsraksta_reģions2..D7" localSheetId="0">#REF!</definedName>
    <definedName name="Kolonnas_virsraksta_reģions2..D7">#REF!</definedName>
    <definedName name="Kolonnas_virsraksta_reģions3..C12" localSheetId="0">#REF!</definedName>
    <definedName name="Kolonnas_virsraksta_reģions3..C12">#REF!</definedName>
    <definedName name="KolonnasNosaukums1" localSheetId="2">#REF!</definedName>
    <definedName name="KolonnasNosaukums1" localSheetId="0">#REF!</definedName>
    <definedName name="KolonnasNosaukums1">#REF!</definedName>
    <definedName name="Parvadataji" localSheetId="1">#REF!</definedName>
    <definedName name="Parvadataji" localSheetId="0">#REF!</definedName>
    <definedName name="Parvadataji">#REF!</definedName>
    <definedName name="_xlnm.Print_Area" localSheetId="1">'2024.gada budzeta plans_apvieno'!$A$1:$U$301</definedName>
    <definedName name="_xlnm.Print_Titles" localSheetId="1">'2024.gada budzeta plans_apvieno'!$5:$5</definedName>
    <definedName name="Saist_apmers_ar_galvojumu" localSheetId="0">#REF!</definedName>
    <definedName name="Saist_apmers_ar_galvojumu">#REF!</definedName>
    <definedName name="Z_1893421C_DBAA_4C10_AA6C_4D0F39122205_.wvu.FilterData" localSheetId="1">#REF!</definedName>
    <definedName name="Z_1893421C_DBAA_4C10_AA6C_4D0F39122205_.wvu.FilterData" localSheetId="0">#REF!</definedName>
    <definedName name="Z_1893421C_DBAA_4C10_AA6C_4D0F39122205_.wvu.FilterData">#REF!</definedName>
    <definedName name="Z_483F8D4B_D649_4D59_A67B_5E8B6C0D2E28_.wvu.FilterData" localSheetId="1">#REF!</definedName>
    <definedName name="Z_483F8D4B_D649_4D59_A67B_5E8B6C0D2E28_.wvu.FilterData" localSheetId="0">#REF!</definedName>
    <definedName name="Z_483F8D4B_D649_4D59_A67B_5E8B6C0D2E28_.wvu.FilterData">#REF!</definedName>
    <definedName name="Z_56A06D27_97E5_4D01_ADCE_F8E0A2A870EF_.wvu.FilterData" localSheetId="1">#REF!</definedName>
    <definedName name="Z_56A06D27_97E5_4D01_ADCE_F8E0A2A870EF_.wvu.FilterData" localSheetId="0">#REF!</definedName>
    <definedName name="Z_56A06D27_97E5_4D01_ADCE_F8E0A2A870EF_.wvu.FilterData">#REF!</definedName>
    <definedName name="Z_81EB1DB6_89AB_4045_90FA_EF2BA7E792F9_.wvu.FilterData" localSheetId="1">#REF!</definedName>
    <definedName name="Z_81EB1DB6_89AB_4045_90FA_EF2BA7E792F9_.wvu.FilterData" localSheetId="0">#REF!</definedName>
    <definedName name="Z_81EB1DB6_89AB_4045_90FA_EF2BA7E792F9_.wvu.FilterData">#REF!</definedName>
    <definedName name="Z_81EB1DB6_89AB_4045_90FA_EF2BA7E792F9_.wvu.PrintArea" localSheetId="1">#REF!</definedName>
    <definedName name="Z_81EB1DB6_89AB_4045_90FA_EF2BA7E792F9_.wvu.PrintArea" localSheetId="0">#REF!</definedName>
    <definedName name="Z_81EB1DB6_89AB_4045_90FA_EF2BA7E792F9_.wvu.PrintArea">#REF!</definedName>
    <definedName name="Z_8545B4E6_A517_4BD7_BFB7_42FEB5F229AD_.wvu.FilterData" localSheetId="1">#REF!</definedName>
    <definedName name="Z_8545B4E6_A517_4BD7_BFB7_42FEB5F229AD_.wvu.FilterData" localSheetId="0">#REF!</definedName>
    <definedName name="Z_8545B4E6_A517_4BD7_BFB7_42FEB5F229AD_.wvu.FilterData">#REF!</definedName>
    <definedName name="Z_877A1030_2452_46B0_88DF_8A068656C08E_.wvu.FilterData" localSheetId="1">#REF!</definedName>
    <definedName name="Z_877A1030_2452_46B0_88DF_8A068656C08E_.wvu.FilterData" localSheetId="0">#REF!</definedName>
    <definedName name="Z_877A1030_2452_46B0_88DF_8A068656C08E_.wvu.FilterData">#REF!</definedName>
    <definedName name="Z_ABD8A783_3A6C_4629_9559_1E4E89E80131_.wvu.FilterData" localSheetId="1">#REF!</definedName>
    <definedName name="Z_ABD8A783_3A6C_4629_9559_1E4E89E80131_.wvu.FilterData" localSheetId="0">#REF!</definedName>
    <definedName name="Z_ABD8A783_3A6C_4629_9559_1E4E89E80131_.wvu.FilterData">#REF!</definedName>
    <definedName name="Z_AF277C95_CBD9_4696_AC72_D010599E9831_.wvu.FilterData" localSheetId="1">#REF!</definedName>
    <definedName name="Z_AF277C95_CBD9_4696_AC72_D010599E9831_.wvu.FilterData" localSheetId="0">#REF!</definedName>
    <definedName name="Z_AF277C95_CBD9_4696_AC72_D010599E9831_.wvu.FilterData">#REF!</definedName>
    <definedName name="Z_B7CBCF06_FF41_423A_9AB3_E1D1F70C6FC5_.wvu.FilterData" localSheetId="1">#REF!</definedName>
    <definedName name="Z_B7CBCF06_FF41_423A_9AB3_E1D1F70C6FC5_.wvu.FilterData" localSheetId="0">#REF!</definedName>
    <definedName name="Z_B7CBCF06_FF41_423A_9AB3_E1D1F70C6FC5_.wvu.FilterData">#REF!</definedName>
    <definedName name="Z_C5511FB8_86C5_41F3_ADCD_B10310F066F5_.wvu.FilterData" localSheetId="1">#REF!</definedName>
    <definedName name="Z_C5511FB8_86C5_41F3_ADCD_B10310F066F5_.wvu.FilterData" localSheetId="0">#REF!</definedName>
    <definedName name="Z_C5511FB8_86C5_41F3_ADCD_B10310F066F5_.wvu.FilterData">#REF!</definedName>
    <definedName name="Z_DB8ECBD1_2D44_4F97_BCC9_F610BA0A3109_.wvu.FilterData" localSheetId="1">#REF!</definedName>
    <definedName name="Z_DB8ECBD1_2D44_4F97_BCC9_F610BA0A3109_.wvu.FilterData" localSheetId="0">#REF!</definedName>
    <definedName name="Z_DB8ECBD1_2D44_4F97_BCC9_F610BA0A3109_.wvu.FilterData">#REF!</definedName>
    <definedName name="Z_DEE3A27E_689A_4E9F_A3EB_C84F1E3B413E_.wvu.FilterData" localSheetId="1">#REF!</definedName>
    <definedName name="Z_DEE3A27E_689A_4E9F_A3EB_C84F1E3B413E_.wvu.FilterData" localSheetId="0">#REF!</definedName>
    <definedName name="Z_DEE3A27E_689A_4E9F_A3EB_C84F1E3B413E_.wvu.FilterData">#REF!</definedName>
    <definedName name="Z_F1F489B9_0F61_4F1F_A151_75EF77465344_.wvu.Cols" localSheetId="1">#REF!</definedName>
    <definedName name="Z_F1F489B9_0F61_4F1F_A151_75EF77465344_.wvu.Cols" localSheetId="0">#REF!</definedName>
    <definedName name="Z_F1F489B9_0F61_4F1F_A151_75EF77465344_.wvu.Cols">#REF!</definedName>
    <definedName name="Z_F1F489B9_0F61_4F1F_A151_75EF77465344_.wvu.FilterData" localSheetId="1">#REF!</definedName>
    <definedName name="Z_F1F489B9_0F61_4F1F_A151_75EF77465344_.wvu.FilterData" localSheetId="0">#REF!</definedName>
    <definedName name="Z_F1F489B9_0F61_4F1F_A151_75EF77465344_.wvu.FilterData">#REF!</definedName>
    <definedName name="Z_F1F489B9_0F61_4F1F_A151_75EF77465344_.wvu.PrintArea" localSheetId="1">#REF!</definedName>
    <definedName name="Z_F1F489B9_0F61_4F1F_A151_75EF77465344_.wvu.PrintArea" localSheetId="0">#REF!</definedName>
    <definedName name="Z_F1F489B9_0F61_4F1F_A151_75EF77465344_.wvu.PrintArea">#REF!</definedName>
    <definedName name="Z_F1F489B9_0F61_4F1F_A151_75EF77465344_.wvu.PrintTitles" localSheetId="1">#REF!</definedName>
    <definedName name="Z_F1F489B9_0F61_4F1F_A151_75EF77465344_.wvu.PrintTitles" localSheetId="0">#REF!</definedName>
    <definedName name="Z_F1F489B9_0F61_4F1F_A151_75EF77465344_.wvu.Print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77" i="143" l="1"/>
  <c r="I366" i="143"/>
  <c r="S178" i="70"/>
  <c r="S241" i="70"/>
  <c r="S273" i="70"/>
  <c r="S106" i="70" l="1"/>
  <c r="S99" i="70"/>
  <c r="S41" i="70"/>
  <c r="S38" i="70"/>
  <c r="S35" i="70"/>
  <c r="S180" i="70"/>
  <c r="S177" i="70" s="1"/>
  <c r="S39" i="70" l="1"/>
  <c r="S103" i="70"/>
  <c r="S101" i="70"/>
  <c r="S65" i="70"/>
  <c r="S54" i="70"/>
  <c r="S47" i="70"/>
  <c r="S155" i="70"/>
  <c r="T3" i="70"/>
  <c r="S267" i="70"/>
  <c r="S264" i="70"/>
  <c r="S263" i="70" s="1"/>
  <c r="S278" i="70"/>
  <c r="S276" i="70" s="1"/>
  <c r="S259" i="70"/>
  <c r="S256" i="70"/>
  <c r="S252" i="70"/>
  <c r="S286" i="70"/>
  <c r="S244" i="70"/>
  <c r="S240" i="70"/>
  <c r="S236" i="70"/>
  <c r="S232" i="70"/>
  <c r="S262" i="70" l="1"/>
  <c r="S208" i="70"/>
  <c r="S218" i="70"/>
  <c r="S202" i="70"/>
  <c r="S157" i="70"/>
  <c r="S131" i="70" l="1"/>
  <c r="P225" i="70" l="1"/>
  <c r="H206" i="70" l="1"/>
  <c r="K207" i="70" l="1"/>
  <c r="K206" i="70" s="1"/>
  <c r="O212" i="70"/>
  <c r="O219" i="70"/>
  <c r="P219" i="70" l="1"/>
  <c r="T219" i="70"/>
  <c r="P212" i="70"/>
  <c r="T212" i="70"/>
  <c r="O297" i="70" l="1"/>
  <c r="O296" i="70"/>
  <c r="O169" i="70"/>
  <c r="O170" i="70"/>
  <c r="O171" i="70"/>
  <c r="I375" i="143" l="1"/>
  <c r="I374" i="143"/>
  <c r="I372" i="143"/>
  <c r="K371" i="143"/>
  <c r="I371" i="143" s="1"/>
  <c r="K370" i="143"/>
  <c r="I363" i="143"/>
  <c r="I360" i="143"/>
  <c r="K358" i="143"/>
  <c r="I358" i="143" s="1"/>
  <c r="I387" i="143" l="1"/>
  <c r="I370" i="143"/>
  <c r="I376" i="143"/>
  <c r="L183" i="70" l="1"/>
  <c r="L49" i="70"/>
  <c r="M183" i="70" l="1"/>
  <c r="O183" i="70"/>
  <c r="I385" i="143"/>
  <c r="I356" i="143"/>
  <c r="P183" i="70" l="1"/>
  <c r="T183" i="70"/>
  <c r="S201" i="70"/>
  <c r="S251" i="70"/>
  <c r="S250" i="70" s="1"/>
  <c r="S118" i="70"/>
  <c r="S192" i="70" l="1"/>
  <c r="S191" i="70" s="1"/>
  <c r="S215" i="70"/>
  <c r="S234" i="70"/>
  <c r="S230" i="70"/>
  <c r="S217" i="70" l="1"/>
  <c r="I373" i="143" l="1"/>
  <c r="J183" i="70" l="1"/>
  <c r="I237" i="70" l="1"/>
  <c r="I233" i="70"/>
  <c r="I203" i="70"/>
  <c r="I274" i="70"/>
  <c r="I279" i="70"/>
  <c r="I268" i="70"/>
  <c r="L274" i="70" l="1"/>
  <c r="L233" i="70"/>
  <c r="O233" i="70" s="1"/>
  <c r="T233" i="70" s="1"/>
  <c r="L268" i="70"/>
  <c r="O268" i="70" s="1"/>
  <c r="T268" i="70" s="1"/>
  <c r="L279" i="70"/>
  <c r="J203" i="70"/>
  <c r="L203" i="70"/>
  <c r="O203" i="70" s="1"/>
  <c r="T203" i="70" s="1"/>
  <c r="L237" i="70"/>
  <c r="I254" i="70"/>
  <c r="L254" i="70" s="1"/>
  <c r="I48" i="70"/>
  <c r="O279" i="70" l="1"/>
  <c r="M279" i="70"/>
  <c r="P268" i="70"/>
  <c r="M268" i="70"/>
  <c r="M233" i="70"/>
  <c r="P203" i="70"/>
  <c r="M203" i="70"/>
  <c r="O254" i="70"/>
  <c r="M254" i="70"/>
  <c r="M274" i="70"/>
  <c r="O274" i="70"/>
  <c r="I47" i="70"/>
  <c r="L48" i="70"/>
  <c r="O48" i="70" s="1"/>
  <c r="T48" i="70" s="1"/>
  <c r="O237" i="70"/>
  <c r="M237" i="70"/>
  <c r="P254" i="70" l="1"/>
  <c r="T254" i="70"/>
  <c r="P237" i="70"/>
  <c r="T237" i="70"/>
  <c r="P274" i="70"/>
  <c r="T274" i="70"/>
  <c r="P279" i="70"/>
  <c r="T279" i="70"/>
  <c r="P233" i="70"/>
  <c r="F264" i="70" l="1"/>
  <c r="I264" i="70" s="1"/>
  <c r="L264" i="70" l="1"/>
  <c r="O264" i="70" l="1"/>
  <c r="M264" i="70"/>
  <c r="T264" i="70" l="1"/>
  <c r="P264" i="70"/>
  <c r="H192" i="70" l="1"/>
  <c r="J233" i="70"/>
  <c r="H298" i="70"/>
  <c r="F299" i="70"/>
  <c r="J274" i="70"/>
  <c r="H262" i="70"/>
  <c r="J279" i="70"/>
  <c r="J268" i="70"/>
  <c r="J264" i="70"/>
  <c r="J254" i="70"/>
  <c r="J237" i="70"/>
  <c r="F240" i="70" l="1"/>
  <c r="F176" i="70"/>
  <c r="G264" i="70" l="1"/>
  <c r="F253" i="70"/>
  <c r="I253" i="70" s="1"/>
  <c r="L253" i="70" s="1"/>
  <c r="F252" i="70"/>
  <c r="I252" i="70" s="1"/>
  <c r="G254" i="70"/>
  <c r="F266" i="70"/>
  <c r="F265" i="70"/>
  <c r="I265" i="70" s="1"/>
  <c r="L252" i="70" l="1"/>
  <c r="I251" i="70"/>
  <c r="O253" i="70"/>
  <c r="M253" i="70"/>
  <c r="L265" i="70"/>
  <c r="G253" i="70"/>
  <c r="I266" i="70"/>
  <c r="G265" i="70"/>
  <c r="G266" i="70"/>
  <c r="J253" i="70"/>
  <c r="G252" i="70"/>
  <c r="J252" i="70"/>
  <c r="F263" i="70"/>
  <c r="F251" i="70"/>
  <c r="P253" i="70" l="1"/>
  <c r="T253" i="70"/>
  <c r="J266" i="70"/>
  <c r="L266" i="70"/>
  <c r="O265" i="70"/>
  <c r="M265" i="70"/>
  <c r="L263" i="70"/>
  <c r="L251" i="70"/>
  <c r="O252" i="70"/>
  <c r="T252" i="70" s="1"/>
  <c r="M252" i="70"/>
  <c r="I263" i="70"/>
  <c r="J265" i="70"/>
  <c r="J251" i="70"/>
  <c r="F256" i="70"/>
  <c r="F255" i="70"/>
  <c r="F247" i="70"/>
  <c r="I247" i="70" s="1"/>
  <c r="F53" i="70"/>
  <c r="F52" i="70"/>
  <c r="T265" i="70" l="1"/>
  <c r="P252" i="70"/>
  <c r="O251" i="70"/>
  <c r="T251" i="70" s="1"/>
  <c r="P265" i="70"/>
  <c r="O266" i="70"/>
  <c r="O263" i="70" s="1"/>
  <c r="M266" i="70"/>
  <c r="P266" i="70" l="1"/>
  <c r="T266" i="70"/>
  <c r="T263" i="70"/>
  <c r="F241" i="70"/>
  <c r="F105" i="70" l="1"/>
  <c r="F178" i="70"/>
  <c r="I178" i="70" s="1"/>
  <c r="L178" i="70" l="1"/>
  <c r="O178" i="70" s="1"/>
  <c r="T178" i="70" s="1"/>
  <c r="F65" i="70" l="1"/>
  <c r="F135" i="70"/>
  <c r="F282" i="70" l="1"/>
  <c r="F197" i="70" l="1"/>
  <c r="F75" i="70"/>
  <c r="I75" i="70" s="1"/>
  <c r="J75" i="70" l="1"/>
  <c r="L75" i="70"/>
  <c r="F208" i="70"/>
  <c r="I208" i="70" s="1"/>
  <c r="F222" i="70"/>
  <c r="I222" i="70" s="1"/>
  <c r="F109" i="70"/>
  <c r="F110" i="70" s="1"/>
  <c r="M75" i="70" l="1"/>
  <c r="O75" i="70"/>
  <c r="P75" i="70" s="1"/>
  <c r="F147" i="70" l="1"/>
  <c r="I147" i="70" s="1"/>
  <c r="F44" i="70"/>
  <c r="F281" i="70"/>
  <c r="F218" i="70" l="1"/>
  <c r="I218" i="70" s="1"/>
  <c r="L218" i="70" s="1"/>
  <c r="O218" i="70" s="1"/>
  <c r="T218" i="70" s="1"/>
  <c r="F60" i="70" l="1"/>
  <c r="I60" i="70" s="1"/>
  <c r="F273" i="70"/>
  <c r="I273" i="70" s="1"/>
  <c r="F267" i="70"/>
  <c r="I267" i="70" s="1"/>
  <c r="L267" i="70" s="1"/>
  <c r="M267" i="70" l="1"/>
  <c r="O267" i="70"/>
  <c r="T267" i="70" l="1"/>
  <c r="F236" i="70"/>
  <c r="I236" i="70" s="1"/>
  <c r="F232" i="70"/>
  <c r="I232" i="70" s="1"/>
  <c r="L232" i="70" l="1"/>
  <c r="O232" i="70" s="1"/>
  <c r="T232" i="70" s="1"/>
  <c r="L236" i="70"/>
  <c r="F175" i="70"/>
  <c r="F67" i="70"/>
  <c r="F115" i="70"/>
  <c r="F142" i="70" l="1"/>
  <c r="F261" i="70"/>
  <c r="F220" i="70"/>
  <c r="F118" i="70"/>
  <c r="F271" i="70"/>
  <c r="I271" i="70" s="1"/>
  <c r="I142" i="70" l="1"/>
  <c r="F202" i="70"/>
  <c r="G203" i="70"/>
  <c r="G233" i="70"/>
  <c r="G237" i="70"/>
  <c r="S238" i="70"/>
  <c r="G274" i="70"/>
  <c r="G268" i="70"/>
  <c r="F278" i="70"/>
  <c r="I278" i="70" s="1"/>
  <c r="G202" i="70" l="1"/>
  <c r="I202" i="70"/>
  <c r="F201" i="70"/>
  <c r="J202" i="70" l="1"/>
  <c r="L202" i="70"/>
  <c r="O202" i="70" s="1"/>
  <c r="T202" i="70" s="1"/>
  <c r="I201" i="70"/>
  <c r="G279" i="70"/>
  <c r="F275" i="70"/>
  <c r="L201" i="70" l="1"/>
  <c r="M202" i="70"/>
  <c r="F277" i="70"/>
  <c r="F243" i="70"/>
  <c r="I243" i="70" s="1"/>
  <c r="F231" i="70"/>
  <c r="F235" i="70"/>
  <c r="F239" i="70"/>
  <c r="I239" i="70" s="1"/>
  <c r="L239" i="70" l="1"/>
  <c r="L243" i="70"/>
  <c r="P202" i="70"/>
  <c r="O201" i="70"/>
  <c r="T201" i="70" s="1"/>
  <c r="F230" i="70"/>
  <c r="I231" i="70"/>
  <c r="F234" i="70"/>
  <c r="I235" i="70"/>
  <c r="F276" i="70"/>
  <c r="G276" i="70" s="1"/>
  <c r="I277" i="70"/>
  <c r="F106" i="70"/>
  <c r="L277" i="70" l="1"/>
  <c r="L231" i="70"/>
  <c r="L230" i="70" s="1"/>
  <c r="L235" i="70"/>
  <c r="L234" i="70" s="1"/>
  <c r="F284" i="70"/>
  <c r="I284" i="70" s="1"/>
  <c r="F288" i="70"/>
  <c r="F221" i="70"/>
  <c r="F293" i="70"/>
  <c r="F216" i="70" l="1"/>
  <c r="F149" i="70" l="1"/>
  <c r="F291" i="70"/>
  <c r="G291" i="70" l="1"/>
  <c r="I291" i="70"/>
  <c r="L291" i="70" s="1"/>
  <c r="F272" i="70"/>
  <c r="F270" i="70"/>
  <c r="I270" i="70" s="1"/>
  <c r="F258" i="70"/>
  <c r="I258" i="70" s="1"/>
  <c r="F170" i="70"/>
  <c r="F171" i="70"/>
  <c r="F169" i="70"/>
  <c r="F166" i="70"/>
  <c r="F167" i="70"/>
  <c r="F168" i="70"/>
  <c r="F165" i="70"/>
  <c r="F162" i="70"/>
  <c r="F163" i="70"/>
  <c r="F164" i="70"/>
  <c r="F158" i="70"/>
  <c r="F155" i="70"/>
  <c r="I155" i="70" s="1"/>
  <c r="F74" i="70"/>
  <c r="G75" i="70"/>
  <c r="F73" i="70"/>
  <c r="F70" i="70"/>
  <c r="F71" i="70"/>
  <c r="F72" i="70"/>
  <c r="G59" i="70"/>
  <c r="F56" i="70"/>
  <c r="I56" i="70" s="1"/>
  <c r="F55" i="70"/>
  <c r="I55" i="70" s="1"/>
  <c r="F38" i="70"/>
  <c r="I38" i="70" s="1"/>
  <c r="L155" i="70" l="1"/>
  <c r="O155" i="70" s="1"/>
  <c r="T155" i="70" s="1"/>
  <c r="O291" i="70"/>
  <c r="M291" i="70"/>
  <c r="L38" i="70"/>
  <c r="O38" i="70" s="1"/>
  <c r="T38" i="70" s="1"/>
  <c r="J291" i="70"/>
  <c r="G73" i="70"/>
  <c r="I73" i="70"/>
  <c r="G163" i="70"/>
  <c r="I163" i="70"/>
  <c r="G72" i="70"/>
  <c r="I72" i="70"/>
  <c r="G71" i="70"/>
  <c r="I71" i="70"/>
  <c r="G167" i="70"/>
  <c r="I167" i="70"/>
  <c r="L167" i="70" s="1"/>
  <c r="G74" i="70"/>
  <c r="I74" i="70"/>
  <c r="G164" i="70"/>
  <c r="I164" i="70"/>
  <c r="G165" i="70"/>
  <c r="I165" i="70"/>
  <c r="G168" i="70"/>
  <c r="I168" i="70"/>
  <c r="G70" i="70"/>
  <c r="I70" i="70"/>
  <c r="G166" i="70"/>
  <c r="I166" i="70"/>
  <c r="G272" i="70"/>
  <c r="I272" i="70"/>
  <c r="L272" i="70" s="1"/>
  <c r="G162" i="70"/>
  <c r="I162" i="70"/>
  <c r="L162" i="70" s="1"/>
  <c r="P291" i="70" l="1"/>
  <c r="T291" i="70"/>
  <c r="M162" i="70"/>
  <c r="O162" i="70"/>
  <c r="J164" i="70"/>
  <c r="L164" i="70"/>
  <c r="J73" i="70"/>
  <c r="L73" i="70"/>
  <c r="O272" i="70"/>
  <c r="M272" i="70"/>
  <c r="J74" i="70"/>
  <c r="L74" i="70"/>
  <c r="J166" i="70"/>
  <c r="L166" i="70"/>
  <c r="M167" i="70"/>
  <c r="O167" i="70"/>
  <c r="J70" i="70"/>
  <c r="L70" i="70"/>
  <c r="J71" i="70"/>
  <c r="L71" i="70"/>
  <c r="J165" i="70"/>
  <c r="L165" i="70"/>
  <c r="J168" i="70"/>
  <c r="L168" i="70"/>
  <c r="J72" i="70"/>
  <c r="L72" i="70"/>
  <c r="J163" i="70"/>
  <c r="L163" i="70"/>
  <c r="J167" i="70"/>
  <c r="J162" i="70"/>
  <c r="J272" i="70"/>
  <c r="P272" i="70" l="1"/>
  <c r="T272" i="70"/>
  <c r="P167" i="70"/>
  <c r="T167" i="70"/>
  <c r="P162" i="70"/>
  <c r="T162" i="70"/>
  <c r="M166" i="70"/>
  <c r="O166" i="70"/>
  <c r="M165" i="70"/>
  <c r="O165" i="70"/>
  <c r="O168" i="70"/>
  <c r="P168" i="70" s="1"/>
  <c r="M168" i="70"/>
  <c r="M164" i="70"/>
  <c r="O164" i="70"/>
  <c r="P164" i="70" s="1"/>
  <c r="M73" i="70"/>
  <c r="O73" i="70"/>
  <c r="P73" i="70" s="1"/>
  <c r="M163" i="70"/>
  <c r="O163" i="70"/>
  <c r="P163" i="70" s="1"/>
  <c r="M74" i="70"/>
  <c r="O74" i="70"/>
  <c r="P74" i="70" s="1"/>
  <c r="M71" i="70"/>
  <c r="O71" i="70"/>
  <c r="P71" i="70" s="1"/>
  <c r="M70" i="70"/>
  <c r="O70" i="70"/>
  <c r="P70" i="70" s="1"/>
  <c r="M72" i="70"/>
  <c r="O72" i="70"/>
  <c r="P72" i="70" s="1"/>
  <c r="P166" i="70" l="1"/>
  <c r="T166" i="70"/>
  <c r="P165" i="70"/>
  <c r="T165" i="70"/>
  <c r="M7" i="143" l="1"/>
  <c r="K102" i="143" l="1"/>
  <c r="I102" i="143" s="1"/>
  <c r="F187" i="70" l="1"/>
  <c r="I187" i="70" s="1"/>
  <c r="F64" i="70"/>
  <c r="I64" i="70" s="1"/>
  <c r="L187" i="70" l="1"/>
  <c r="J187" i="70"/>
  <c r="G187" i="70"/>
  <c r="L64" i="70"/>
  <c r="J64" i="70"/>
  <c r="G64" i="70"/>
  <c r="O187" i="70" l="1"/>
  <c r="M187" i="70"/>
  <c r="O64" i="70"/>
  <c r="P64" i="70" s="1"/>
  <c r="M64" i="70"/>
  <c r="P187" i="70" l="1"/>
  <c r="T187" i="70"/>
  <c r="I201" i="143" l="1"/>
  <c r="I198" i="143"/>
  <c r="K239" i="143"/>
  <c r="K225" i="143"/>
  <c r="K178" i="143"/>
  <c r="K200" i="143"/>
  <c r="M65" i="143"/>
  <c r="Q2" i="143"/>
  <c r="I369" i="143"/>
  <c r="I368" i="143" l="1"/>
  <c r="I367" i="143"/>
  <c r="I47" i="143"/>
  <c r="I95" i="143" l="1"/>
  <c r="K257" i="143" l="1"/>
  <c r="K365" i="143" l="1"/>
  <c r="I365" i="143" s="1"/>
  <c r="K364" i="143"/>
  <c r="I364" i="143" s="1"/>
  <c r="K331" i="143"/>
  <c r="K304" i="143"/>
  <c r="K324" i="143" l="1"/>
  <c r="K325" i="143"/>
  <c r="K326" i="143"/>
  <c r="K334" i="143"/>
  <c r="K333" i="143"/>
  <c r="K336" i="143"/>
  <c r="K301" i="143"/>
  <c r="K288" i="143"/>
  <c r="K357" i="143"/>
  <c r="I357" i="143" l="1"/>
  <c r="K377" i="143"/>
  <c r="I264" i="143"/>
  <c r="I378" i="143" l="1"/>
  <c r="I379" i="143" l="1"/>
  <c r="I265" i="143"/>
  <c r="I266" i="143"/>
  <c r="I267" i="143"/>
  <c r="I268" i="143"/>
  <c r="I269" i="143"/>
  <c r="K42" i="143" l="1"/>
  <c r="I42" i="143" l="1"/>
  <c r="K311" i="143"/>
  <c r="K240" i="143"/>
  <c r="K65" i="143"/>
  <c r="K186" i="143"/>
  <c r="K104" i="143"/>
  <c r="K105" i="143"/>
  <c r="K118" i="143"/>
  <c r="K140" i="143"/>
  <c r="K320" i="143"/>
  <c r="K214" i="143"/>
  <c r="I152" i="143" l="1"/>
  <c r="I153" i="143"/>
  <c r="I57" i="143"/>
  <c r="K45" i="143"/>
  <c r="M45" i="143"/>
  <c r="I158" i="143"/>
  <c r="I157" i="143"/>
  <c r="I156" i="143"/>
  <c r="I155" i="143"/>
  <c r="K154" i="143"/>
  <c r="I154" i="143" s="1"/>
  <c r="I185" i="143"/>
  <c r="K52" i="143"/>
  <c r="I161" i="143"/>
  <c r="I103" i="143" l="1"/>
  <c r="K330" i="143" l="1"/>
  <c r="K329" i="143"/>
  <c r="K255" i="143"/>
  <c r="M163" i="143" l="1"/>
  <c r="L163" i="143"/>
  <c r="I188" i="143"/>
  <c r="I289" i="143" l="1"/>
  <c r="K110" i="143" l="1"/>
  <c r="L350" i="143"/>
  <c r="M350" i="143"/>
  <c r="L347" i="143"/>
  <c r="L32" i="143" s="1"/>
  <c r="M347" i="143"/>
  <c r="M32" i="143" s="1"/>
  <c r="L348" i="143"/>
  <c r="L33" i="143" s="1"/>
  <c r="M348" i="143"/>
  <c r="M33" i="143" s="1"/>
  <c r="L349" i="143"/>
  <c r="L34" i="143" s="1"/>
  <c r="M349" i="143"/>
  <c r="M34" i="143" s="1"/>
  <c r="I150" i="143" l="1"/>
  <c r="K328" i="143"/>
  <c r="K350" i="143" s="1"/>
  <c r="I254" i="143"/>
  <c r="I239" i="143"/>
  <c r="I93" i="143" l="1"/>
  <c r="I177" i="143"/>
  <c r="I276" i="143"/>
  <c r="I274" i="143"/>
  <c r="I275" i="143"/>
  <c r="I272" i="143"/>
  <c r="I273" i="143"/>
  <c r="I306" i="143"/>
  <c r="I262" i="143"/>
  <c r="I246" i="143"/>
  <c r="I222" i="143"/>
  <c r="I216" i="143"/>
  <c r="I219" i="143"/>
  <c r="I218" i="143"/>
  <c r="I215" i="143"/>
  <c r="I217" i="143"/>
  <c r="I229" i="143" l="1"/>
  <c r="I228" i="143"/>
  <c r="I227" i="143"/>
  <c r="L342" i="143" l="1"/>
  <c r="M342" i="143"/>
  <c r="L343" i="143"/>
  <c r="M343" i="143"/>
  <c r="L344" i="143"/>
  <c r="M344" i="143"/>
  <c r="L165" i="143"/>
  <c r="M165" i="143"/>
  <c r="L166" i="143"/>
  <c r="M166" i="143"/>
  <c r="L167" i="143"/>
  <c r="M167" i="143"/>
  <c r="K165" i="143"/>
  <c r="L83" i="143"/>
  <c r="M83" i="143"/>
  <c r="M84" i="143"/>
  <c r="L54" i="143"/>
  <c r="L84" i="143" s="1"/>
  <c r="I58" i="143"/>
  <c r="I83" i="143" s="1"/>
  <c r="Q4" i="143" l="1"/>
  <c r="I64" i="143"/>
  <c r="I82" i="143" s="1"/>
  <c r="I431" i="143"/>
  <c r="I430" i="143"/>
  <c r="I429" i="143"/>
  <c r="I428" i="143"/>
  <c r="I427" i="143"/>
  <c r="I426" i="143"/>
  <c r="I425" i="143"/>
  <c r="I424" i="143"/>
  <c r="I423" i="143"/>
  <c r="I422" i="143"/>
  <c r="I421" i="143"/>
  <c r="I186" i="143"/>
  <c r="I420" i="143"/>
  <c r="I419" i="143"/>
  <c r="I418" i="143"/>
  <c r="I417" i="143"/>
  <c r="I322" i="143"/>
  <c r="I415" i="143"/>
  <c r="I402" i="143"/>
  <c r="I403" i="143"/>
  <c r="I412" i="143"/>
  <c r="I413" i="143"/>
  <c r="I414" i="143"/>
  <c r="I411" i="143"/>
  <c r="I410" i="143"/>
  <c r="I409" i="143"/>
  <c r="I408" i="143"/>
  <c r="I407" i="143"/>
  <c r="I406" i="143"/>
  <c r="I405" i="143"/>
  <c r="I404" i="143"/>
  <c r="I400" i="143"/>
  <c r="I399" i="143"/>
  <c r="I297" i="143"/>
  <c r="I398" i="143"/>
  <c r="I298" i="143"/>
  <c r="K51" i="143"/>
  <c r="K50" i="143"/>
  <c r="K68" i="143"/>
  <c r="I49" i="143"/>
  <c r="I46" i="143"/>
  <c r="L82" i="143" l="1"/>
  <c r="M82" i="143"/>
  <c r="I84" i="143"/>
  <c r="I336" i="143" l="1"/>
  <c r="I337" i="143"/>
  <c r="I338" i="143"/>
  <c r="I335" i="143"/>
  <c r="I332" i="143"/>
  <c r="I333" i="143"/>
  <c r="I334" i="143"/>
  <c r="I324" i="143"/>
  <c r="I325" i="143"/>
  <c r="I326" i="143"/>
  <c r="I327" i="143"/>
  <c r="I328" i="143"/>
  <c r="I329" i="143"/>
  <c r="I330" i="143"/>
  <c r="I331" i="143"/>
  <c r="I320" i="143"/>
  <c r="I321" i="143"/>
  <c r="I323" i="143"/>
  <c r="I315" i="143"/>
  <c r="I314" i="143"/>
  <c r="I312" i="143"/>
  <c r="I311" i="143"/>
  <c r="I310" i="143"/>
  <c r="K308" i="143"/>
  <c r="I316" i="143"/>
  <c r="I317" i="143"/>
  <c r="I318" i="143"/>
  <c r="I304" i="143"/>
  <c r="I305" i="143"/>
  <c r="I307" i="143"/>
  <c r="I303" i="143"/>
  <c r="I302" i="143"/>
  <c r="I301" i="143"/>
  <c r="I308" i="143" l="1"/>
  <c r="I299" i="143"/>
  <c r="I296" i="143"/>
  <c r="I295" i="143"/>
  <c r="I294" i="143"/>
  <c r="I293" i="143"/>
  <c r="I292" i="143"/>
  <c r="I90" i="143"/>
  <c r="K174" i="143" l="1"/>
  <c r="K173" i="143"/>
  <c r="K349" i="143" s="1"/>
  <c r="K34" i="143" s="1"/>
  <c r="K175" i="143"/>
  <c r="K343" i="143"/>
  <c r="I283" i="143"/>
  <c r="I284" i="143"/>
  <c r="I285" i="143"/>
  <c r="I286" i="143"/>
  <c r="I281" i="143"/>
  <c r="I282" i="143"/>
  <c r="I287" i="143"/>
  <c r="I259" i="143"/>
  <c r="I179" i="143"/>
  <c r="I178" i="143"/>
  <c r="I253" i="143"/>
  <c r="I255" i="143"/>
  <c r="I252" i="143"/>
  <c r="I248" i="143"/>
  <c r="I223" i="143"/>
  <c r="I213" i="143"/>
  <c r="I212" i="143"/>
  <c r="I211" i="143"/>
  <c r="I214" i="143"/>
  <c r="I232" i="143"/>
  <c r="I233" i="143"/>
  <c r="I234" i="143"/>
  <c r="I189" i="143"/>
  <c r="I187" i="143"/>
  <c r="I100" i="143"/>
  <c r="K47" i="143" l="1"/>
  <c r="K48" i="143"/>
  <c r="K49" i="143"/>
  <c r="K53" i="143"/>
  <c r="K54" i="143"/>
  <c r="K55" i="143"/>
  <c r="K56" i="143"/>
  <c r="K59" i="143"/>
  <c r="K60" i="143"/>
  <c r="K62" i="143"/>
  <c r="K63" i="143"/>
  <c r="K66" i="143"/>
  <c r="K67" i="143"/>
  <c r="K69" i="143"/>
  <c r="K70" i="143"/>
  <c r="K71" i="143"/>
  <c r="K72" i="143"/>
  <c r="K73" i="143"/>
  <c r="K74" i="143"/>
  <c r="K75" i="143"/>
  <c r="K76" i="143"/>
  <c r="K77" i="143"/>
  <c r="K78" i="143"/>
  <c r="K79" i="143"/>
  <c r="K43" i="143"/>
  <c r="K44" i="143"/>
  <c r="K41" i="143"/>
  <c r="K82" i="143" l="1"/>
  <c r="K83" i="143"/>
  <c r="K84" i="143"/>
  <c r="L36" i="143" l="1"/>
  <c r="M36" i="143"/>
  <c r="L10" i="143"/>
  <c r="K3" i="143"/>
  <c r="K461" i="143"/>
  <c r="I460" i="143"/>
  <c r="I395" i="143"/>
  <c r="I394" i="143"/>
  <c r="I393" i="143"/>
  <c r="I392" i="143"/>
  <c r="I391" i="143"/>
  <c r="K36" i="143"/>
  <c r="M340" i="143"/>
  <c r="M31" i="143" s="1"/>
  <c r="L340" i="143"/>
  <c r="L31" i="143" s="1"/>
  <c r="J340" i="143"/>
  <c r="I339" i="143"/>
  <c r="I288" i="143"/>
  <c r="I280" i="143"/>
  <c r="I279" i="143"/>
  <c r="I278" i="143"/>
  <c r="I277" i="143"/>
  <c r="I270" i="143"/>
  <c r="I263" i="143"/>
  <c r="I261" i="143"/>
  <c r="I260" i="143"/>
  <c r="I258" i="143"/>
  <c r="I257" i="143"/>
  <c r="I256" i="143"/>
  <c r="I251" i="143"/>
  <c r="I250" i="143"/>
  <c r="I249" i="143"/>
  <c r="I247" i="143"/>
  <c r="I245" i="143"/>
  <c r="I244" i="143"/>
  <c r="I243" i="143"/>
  <c r="I242" i="143"/>
  <c r="I241" i="143"/>
  <c r="I240" i="143"/>
  <c r="I238" i="143"/>
  <c r="I237" i="143"/>
  <c r="I350" i="143" s="1"/>
  <c r="K236" i="143"/>
  <c r="I235" i="143"/>
  <c r="I231" i="143"/>
  <c r="I230" i="143"/>
  <c r="I226" i="143"/>
  <c r="I225" i="143"/>
  <c r="I224" i="143"/>
  <c r="I221" i="143"/>
  <c r="I220" i="143"/>
  <c r="I210" i="143"/>
  <c r="I209" i="143"/>
  <c r="I208" i="143"/>
  <c r="I207" i="143"/>
  <c r="I206" i="143"/>
  <c r="I205" i="143"/>
  <c r="I204" i="143"/>
  <c r="I203" i="143"/>
  <c r="I200" i="143"/>
  <c r="I199" i="143"/>
  <c r="I197" i="143"/>
  <c r="I196" i="143"/>
  <c r="I195" i="143"/>
  <c r="I194" i="143"/>
  <c r="I193" i="143"/>
  <c r="K191" i="143"/>
  <c r="K348" i="143" s="1"/>
  <c r="K33" i="143" s="1"/>
  <c r="I190" i="143"/>
  <c r="I184" i="143"/>
  <c r="I183" i="143"/>
  <c r="I182" i="143"/>
  <c r="I181" i="143"/>
  <c r="I180" i="143"/>
  <c r="I89" i="143"/>
  <c r="I172" i="143"/>
  <c r="M30" i="143"/>
  <c r="L30" i="143"/>
  <c r="I162" i="143"/>
  <c r="I151" i="143"/>
  <c r="I149" i="143"/>
  <c r="I148" i="143"/>
  <c r="I147" i="143"/>
  <c r="I146" i="143"/>
  <c r="I145" i="143"/>
  <c r="I144" i="143"/>
  <c r="I143" i="143"/>
  <c r="I142" i="143"/>
  <c r="I140" i="143"/>
  <c r="I139" i="143"/>
  <c r="I138" i="143"/>
  <c r="K137" i="143"/>
  <c r="I136" i="143"/>
  <c r="I135" i="143"/>
  <c r="I134" i="143"/>
  <c r="I133" i="143"/>
  <c r="I132" i="143"/>
  <c r="I131" i="143"/>
  <c r="I130" i="143"/>
  <c r="I129" i="143"/>
  <c r="I128" i="143"/>
  <c r="I127" i="143"/>
  <c r="I125" i="143"/>
  <c r="I124" i="143"/>
  <c r="I123" i="143"/>
  <c r="I122" i="143"/>
  <c r="I121" i="143"/>
  <c r="I120" i="143"/>
  <c r="I118" i="143"/>
  <c r="I117" i="143"/>
  <c r="I116" i="143"/>
  <c r="I115" i="143"/>
  <c r="K114" i="143"/>
  <c r="I113" i="143"/>
  <c r="I112" i="143"/>
  <c r="I111" i="143"/>
  <c r="I110" i="143"/>
  <c r="I109" i="143"/>
  <c r="I108" i="143"/>
  <c r="I107" i="143"/>
  <c r="I106" i="143"/>
  <c r="I105" i="143"/>
  <c r="I104" i="143"/>
  <c r="I101" i="143"/>
  <c r="I99" i="143"/>
  <c r="I98" i="143"/>
  <c r="I97" i="143"/>
  <c r="I96" i="143"/>
  <c r="I94" i="143"/>
  <c r="I92" i="143"/>
  <c r="I91" i="143"/>
  <c r="M80" i="143"/>
  <c r="M29" i="143" s="1"/>
  <c r="L80" i="143"/>
  <c r="L29" i="143" s="1"/>
  <c r="K167" i="143" l="1"/>
  <c r="K342" i="143"/>
  <c r="K347" i="143"/>
  <c r="K32" i="143" s="1"/>
  <c r="L18" i="143" s="1"/>
  <c r="I349" i="143"/>
  <c r="I34" i="143" s="1"/>
  <c r="I165" i="143"/>
  <c r="I343" i="143"/>
  <c r="I191" i="143"/>
  <c r="K344" i="143"/>
  <c r="I236" i="143"/>
  <c r="I342" i="143" s="1"/>
  <c r="I137" i="143"/>
  <c r="I166" i="143" s="1"/>
  <c r="K166" i="143"/>
  <c r="I114" i="143"/>
  <c r="L35" i="143"/>
  <c r="M35" i="143"/>
  <c r="I36" i="143"/>
  <c r="Q6" i="143"/>
  <c r="L7" i="143" s="1"/>
  <c r="M8" i="143" s="1"/>
  <c r="I461" i="143"/>
  <c r="K340" i="143"/>
  <c r="I347" i="143" l="1"/>
  <c r="I32" i="143" s="1"/>
  <c r="I344" i="143"/>
  <c r="I348" i="143"/>
  <c r="I33" i="143" s="1"/>
  <c r="I340" i="143"/>
  <c r="I167" i="143"/>
  <c r="K31" i="143"/>
  <c r="L23" i="143" s="1"/>
  <c r="I31" i="143" l="1"/>
  <c r="P297" i="70" l="1"/>
  <c r="P296" i="70"/>
  <c r="O295" i="70"/>
  <c r="P96" i="70"/>
  <c r="P59" i="70"/>
  <c r="P49" i="70"/>
  <c r="O47" i="70"/>
  <c r="T47" i="70" s="1"/>
  <c r="C70" i="128" l="1"/>
  <c r="C22" i="128" l="1"/>
  <c r="E136" i="128"/>
  <c r="E134" i="128"/>
  <c r="B126" i="128"/>
  <c r="B127" i="128"/>
  <c r="B124" i="128"/>
  <c r="D124" i="128"/>
  <c r="C124" i="128"/>
  <c r="C146" i="128"/>
  <c r="C128" i="128" s="1"/>
  <c r="B146" i="128"/>
  <c r="B128" i="128" s="1"/>
  <c r="C145" i="128"/>
  <c r="D145" i="128" s="1"/>
  <c r="C144" i="128"/>
  <c r="D144" i="128" s="1"/>
  <c r="C143" i="128"/>
  <c r="B143" i="128"/>
  <c r="C64" i="128"/>
  <c r="E143" i="128" l="1"/>
  <c r="E144" i="128"/>
  <c r="E128" i="128"/>
  <c r="E145" i="128"/>
  <c r="E146" i="128"/>
  <c r="C126" i="128"/>
  <c r="D126" i="128" s="1"/>
  <c r="D128" i="128"/>
  <c r="D143" i="128"/>
  <c r="D146" i="128"/>
  <c r="E147" i="128" l="1"/>
  <c r="E126" i="128"/>
  <c r="C133" i="128" l="1"/>
  <c r="C125" i="128" s="1"/>
  <c r="C135" i="128"/>
  <c r="D134" i="128"/>
  <c r="D136" i="128"/>
  <c r="B133" i="128"/>
  <c r="E133" i="128" l="1"/>
  <c r="C127" i="128"/>
  <c r="E127" i="128" s="1"/>
  <c r="E135" i="128"/>
  <c r="D135" i="128"/>
  <c r="D133" i="128"/>
  <c r="B125" i="128"/>
  <c r="E125" i="128" s="1"/>
  <c r="C57" i="128"/>
  <c r="C56" i="128"/>
  <c r="D132" i="128"/>
  <c r="C132" i="128"/>
  <c r="B132" i="128"/>
  <c r="B164" i="128"/>
  <c r="B152" i="128"/>
  <c r="B52" i="128"/>
  <c r="C170" i="128"/>
  <c r="C82" i="128"/>
  <c r="C60" i="128"/>
  <c r="C58" i="128"/>
  <c r="C14" i="128"/>
  <c r="C152" i="128"/>
  <c r="D52" i="128"/>
  <c r="C52" i="128"/>
  <c r="D164" i="128"/>
  <c r="C164" i="128"/>
  <c r="D5" i="128"/>
  <c r="C5" i="128"/>
  <c r="E137" i="128" l="1"/>
  <c r="D127" i="128"/>
  <c r="D125" i="128"/>
  <c r="E129" i="128"/>
  <c r="C157" i="128"/>
  <c r="C171" i="128" l="1"/>
  <c r="S34" i="70"/>
  <c r="S27" i="70"/>
  <c r="S23" i="70"/>
  <c r="S19" i="70"/>
  <c r="S16" i="70"/>
  <c r="S13" i="70"/>
  <c r="S10" i="70"/>
  <c r="S7" i="70"/>
  <c r="C80" i="128"/>
  <c r="C12" i="128" l="1"/>
  <c r="C10" i="128"/>
  <c r="S22" i="70"/>
  <c r="S9" i="70"/>
  <c r="C8" i="128"/>
  <c r="S6" i="70"/>
  <c r="C11" i="128" l="1"/>
  <c r="C9" i="128"/>
  <c r="C7" i="128"/>
  <c r="C55" i="128"/>
  <c r="T129" i="70"/>
  <c r="S129" i="70"/>
  <c r="C65" i="128" l="1"/>
  <c r="P48" i="70" l="1"/>
  <c r="P170" i="70" l="1"/>
  <c r="M297" i="70" l="1"/>
  <c r="M296" i="70"/>
  <c r="L295" i="70"/>
  <c r="P295" i="70" s="1"/>
  <c r="M96" i="70"/>
  <c r="M59" i="70"/>
  <c r="M49" i="70"/>
  <c r="M48" i="70"/>
  <c r="L47" i="70"/>
  <c r="P47" i="70" s="1"/>
  <c r="P169" i="70" l="1"/>
  <c r="P171" i="70"/>
  <c r="C178" i="128" l="1"/>
  <c r="B178" i="128" l="1"/>
  <c r="D178" i="128" s="1"/>
  <c r="M171" i="70" l="1"/>
  <c r="M170" i="70"/>
  <c r="J297" i="70" l="1"/>
  <c r="J296" i="70"/>
  <c r="J171" i="70"/>
  <c r="J170" i="70"/>
  <c r="J96" i="70"/>
  <c r="J59" i="70"/>
  <c r="J49" i="70"/>
  <c r="J48" i="70"/>
  <c r="F8" i="70"/>
  <c r="I8" i="70" s="1"/>
  <c r="I295" i="70"/>
  <c r="M295" i="70" s="1"/>
  <c r="M169" i="70"/>
  <c r="M47" i="70"/>
  <c r="L8" i="70" l="1"/>
  <c r="O8" i="70" s="1"/>
  <c r="T8" i="70" s="1"/>
  <c r="J8" i="70"/>
  <c r="I7" i="70" l="1"/>
  <c r="L7" i="70" l="1"/>
  <c r="M8" i="70"/>
  <c r="M7" i="70" l="1"/>
  <c r="O7" i="70"/>
  <c r="B8" i="128" s="1"/>
  <c r="D8" i="128" s="1"/>
  <c r="P8" i="70"/>
  <c r="S295" i="70"/>
  <c r="S292" i="70"/>
  <c r="S283" i="70"/>
  <c r="S280" i="70"/>
  <c r="S246" i="70"/>
  <c r="S242" i="70"/>
  <c r="S207" i="70"/>
  <c r="S189" i="70"/>
  <c r="S151" i="70"/>
  <c r="S148" i="70"/>
  <c r="S140" i="70"/>
  <c r="S122" i="70"/>
  <c r="S121" i="70"/>
  <c r="C174" i="128"/>
  <c r="C173" i="128"/>
  <c r="C172" i="128"/>
  <c r="C169" i="128"/>
  <c r="C168" i="128"/>
  <c r="S108" i="70"/>
  <c r="S102" i="70"/>
  <c r="S98" i="70"/>
  <c r="S88" i="70"/>
  <c r="S87" i="70"/>
  <c r="S81" i="70"/>
  <c r="S80" i="70"/>
  <c r="S37" i="70"/>
  <c r="P7" i="70" l="1"/>
  <c r="T7" i="70"/>
  <c r="S91" i="70"/>
  <c r="C167" i="128"/>
  <c r="C175" i="128"/>
  <c r="C176" i="128"/>
  <c r="C177" i="128"/>
  <c r="C166" i="128"/>
  <c r="C63" i="128"/>
  <c r="C79" i="128"/>
  <c r="C78" i="128"/>
  <c r="C75" i="128"/>
  <c r="C74" i="128"/>
  <c r="C61" i="128"/>
  <c r="C21" i="128"/>
  <c r="C18" i="128"/>
  <c r="C13" i="128"/>
  <c r="S50" i="70"/>
  <c r="S154" i="70"/>
  <c r="S66" i="70"/>
  <c r="S111" i="70"/>
  <c r="S130" i="70"/>
  <c r="S144" i="70"/>
  <c r="S214" i="70"/>
  <c r="C73" i="128"/>
  <c r="S43" i="70" l="1"/>
  <c r="S42" i="70" s="1"/>
  <c r="S228" i="70"/>
  <c r="C165" i="128"/>
  <c r="C180" i="128" s="1"/>
  <c r="C76" i="128"/>
  <c r="C72" i="128"/>
  <c r="C71" i="128"/>
  <c r="C59" i="128"/>
  <c r="C54" i="128"/>
  <c r="C19" i="128"/>
  <c r="C20" i="128" s="1"/>
  <c r="C17" i="128"/>
  <c r="S172" i="70"/>
  <c r="S143" i="70"/>
  <c r="S206" i="70"/>
  <c r="C155" i="128" l="1"/>
  <c r="C16" i="128"/>
  <c r="C68" i="128"/>
  <c r="C67" i="128"/>
  <c r="C77" i="128"/>
  <c r="S150" i="70"/>
  <c r="J55" i="70"/>
  <c r="L55" i="70"/>
  <c r="O55" i="70" s="1"/>
  <c r="T56" i="70"/>
  <c r="S107" i="70" l="1"/>
  <c r="S124" i="70" s="1"/>
  <c r="P55" i="70"/>
  <c r="C62" i="128"/>
  <c r="C66" i="128" s="1"/>
  <c r="C15" i="128"/>
  <c r="C6" i="128" s="1"/>
  <c r="C153" i="128" s="1"/>
  <c r="C69" i="128"/>
  <c r="C81" i="128" s="1"/>
  <c r="M55" i="70"/>
  <c r="S298" i="70"/>
  <c r="J270" i="70"/>
  <c r="L270" i="70"/>
  <c r="O270" i="70" s="1"/>
  <c r="J56" i="70"/>
  <c r="L56" i="70"/>
  <c r="J258" i="70"/>
  <c r="L258" i="70"/>
  <c r="O258" i="70" s="1"/>
  <c r="P258" i="70" l="1"/>
  <c r="T258" i="70"/>
  <c r="P270" i="70"/>
  <c r="T270" i="70"/>
  <c r="C53" i="128"/>
  <c r="C156" i="128" s="1"/>
  <c r="C158" i="128" s="1"/>
  <c r="C25" i="128"/>
  <c r="S300" i="70"/>
  <c r="M56" i="70"/>
  <c r="O56" i="70"/>
  <c r="M258" i="70"/>
  <c r="M270" i="70"/>
  <c r="P56" i="70" l="1"/>
  <c r="T55" i="70"/>
  <c r="S301" i="70"/>
  <c r="C84" i="128"/>
  <c r="I281" i="70"/>
  <c r="I44" i="70"/>
  <c r="C160" i="128" l="1"/>
  <c r="L281" i="70"/>
  <c r="O281" i="70" s="1"/>
  <c r="T281" i="70" s="1"/>
  <c r="M38" i="70"/>
  <c r="J44" i="70"/>
  <c r="L44" i="70"/>
  <c r="O44" i="70" s="1"/>
  <c r="M281" i="70"/>
  <c r="J169" i="70"/>
  <c r="I158" i="70"/>
  <c r="J281" i="70"/>
  <c r="F287" i="70"/>
  <c r="G287" i="70" s="1"/>
  <c r="F286" i="70"/>
  <c r="P44" i="70" l="1"/>
  <c r="T44" i="70"/>
  <c r="M155" i="70"/>
  <c r="P38" i="70"/>
  <c r="P155" i="70"/>
  <c r="P281" i="70"/>
  <c r="M44" i="70"/>
  <c r="J158" i="70"/>
  <c r="L158" i="70"/>
  <c r="O158" i="70" s="1"/>
  <c r="J267" i="70"/>
  <c r="J38" i="70"/>
  <c r="I287" i="70"/>
  <c r="I282" i="70"/>
  <c r="L282" i="70" s="1"/>
  <c r="O282" i="70" s="1"/>
  <c r="T282" i="70" s="1"/>
  <c r="I286" i="70"/>
  <c r="J155" i="70"/>
  <c r="I288" i="70"/>
  <c r="F257" i="70"/>
  <c r="F259" i="70"/>
  <c r="I259" i="70" s="1"/>
  <c r="F260" i="70"/>
  <c r="I260" i="70" s="1"/>
  <c r="G258" i="70"/>
  <c r="F245" i="70"/>
  <c r="I245" i="70" s="1"/>
  <c r="I241" i="70"/>
  <c r="F224" i="70"/>
  <c r="I224" i="70" s="1"/>
  <c r="F223" i="70"/>
  <c r="F209" i="70"/>
  <c r="F188" i="70"/>
  <c r="I188" i="70" s="1"/>
  <c r="F189" i="70"/>
  <c r="I189" i="70" s="1"/>
  <c r="F190" i="70"/>
  <c r="I190" i="70" s="1"/>
  <c r="F181" i="70"/>
  <c r="F182" i="70"/>
  <c r="I182" i="70" s="1"/>
  <c r="F184" i="70"/>
  <c r="F185" i="70"/>
  <c r="F186" i="70"/>
  <c r="F180" i="70"/>
  <c r="F179" i="70"/>
  <c r="I179" i="70" s="1"/>
  <c r="F173" i="70"/>
  <c r="G171" i="70"/>
  <c r="F157" i="70"/>
  <c r="F152" i="70"/>
  <c r="I152" i="70" s="1"/>
  <c r="F146" i="70"/>
  <c r="L142" i="70"/>
  <c r="O142" i="70" s="1"/>
  <c r="F139" i="70"/>
  <c r="F133" i="70"/>
  <c r="F131" i="70"/>
  <c r="T142" i="70" l="1"/>
  <c r="B58" i="128"/>
  <c r="P158" i="70"/>
  <c r="T158" i="70"/>
  <c r="L179" i="70"/>
  <c r="L190" i="70"/>
  <c r="O190" i="70" s="1"/>
  <c r="L189" i="70"/>
  <c r="O189" i="70" s="1"/>
  <c r="G146" i="70"/>
  <c r="I146" i="70"/>
  <c r="I223" i="70"/>
  <c r="I131" i="70"/>
  <c r="I180" i="70"/>
  <c r="J180" i="70" s="1"/>
  <c r="P267" i="70"/>
  <c r="I257" i="70"/>
  <c r="F250" i="70"/>
  <c r="D58" i="128"/>
  <c r="P142" i="70"/>
  <c r="M158" i="70"/>
  <c r="M142" i="70"/>
  <c r="L152" i="70"/>
  <c r="J260" i="70"/>
  <c r="L260" i="70"/>
  <c r="J286" i="70"/>
  <c r="L286" i="70"/>
  <c r="O286" i="70" s="1"/>
  <c r="J190" i="70"/>
  <c r="M178" i="70"/>
  <c r="M251" i="70"/>
  <c r="J224" i="70"/>
  <c r="L224" i="70"/>
  <c r="O224" i="70" s="1"/>
  <c r="J188" i="70"/>
  <c r="L188" i="70"/>
  <c r="O188" i="70" s="1"/>
  <c r="J241" i="70"/>
  <c r="L241" i="70"/>
  <c r="O241" i="70" s="1"/>
  <c r="J189" i="70"/>
  <c r="J288" i="70"/>
  <c r="L288" i="70"/>
  <c r="O288" i="70" s="1"/>
  <c r="M282" i="70"/>
  <c r="L280" i="70"/>
  <c r="J287" i="70"/>
  <c r="L287" i="70"/>
  <c r="O287" i="70" s="1"/>
  <c r="J245" i="70"/>
  <c r="L245" i="70"/>
  <c r="O245" i="70" s="1"/>
  <c r="I185" i="70"/>
  <c r="I184" i="70"/>
  <c r="L184" i="70" s="1"/>
  <c r="O184" i="70" s="1"/>
  <c r="T184" i="70" s="1"/>
  <c r="T157" i="70"/>
  <c r="I157" i="70"/>
  <c r="I255" i="70"/>
  <c r="J142" i="70"/>
  <c r="I173" i="70"/>
  <c r="J282" i="70"/>
  <c r="I280" i="70"/>
  <c r="J152" i="70"/>
  <c r="I209" i="70"/>
  <c r="L259" i="70"/>
  <c r="G178" i="70"/>
  <c r="I256" i="70"/>
  <c r="I133" i="70"/>
  <c r="O235" i="70"/>
  <c r="T235" i="70" s="1"/>
  <c r="I261" i="70"/>
  <c r="I181" i="70"/>
  <c r="I139" i="70"/>
  <c r="I186" i="70"/>
  <c r="G256" i="70"/>
  <c r="G223" i="70"/>
  <c r="G255" i="70"/>
  <c r="G241" i="70"/>
  <c r="G260" i="70"/>
  <c r="G186" i="70"/>
  <c r="F177" i="70"/>
  <c r="G185" i="70"/>
  <c r="G257" i="70"/>
  <c r="G157" i="70"/>
  <c r="G245" i="70"/>
  <c r="G182" i="70"/>
  <c r="G184" i="70"/>
  <c r="G180" i="70"/>
  <c r="G190" i="70"/>
  <c r="G261" i="70"/>
  <c r="G224" i="70"/>
  <c r="G179" i="70"/>
  <c r="G189" i="70"/>
  <c r="G259" i="70"/>
  <c r="G188" i="70"/>
  <c r="T286" i="70" l="1"/>
  <c r="B80" i="128"/>
  <c r="P288" i="70"/>
  <c r="T288" i="70"/>
  <c r="P241" i="70"/>
  <c r="T241" i="70"/>
  <c r="P188" i="70"/>
  <c r="T188" i="70"/>
  <c r="P189" i="70"/>
  <c r="T189" i="70"/>
  <c r="P245" i="70"/>
  <c r="T245" i="70"/>
  <c r="P190" i="70"/>
  <c r="T190" i="70"/>
  <c r="P224" i="70"/>
  <c r="T224" i="70"/>
  <c r="P287" i="70"/>
  <c r="T287" i="70"/>
  <c r="L146" i="70"/>
  <c r="O146" i="70" s="1"/>
  <c r="I250" i="70"/>
  <c r="L180" i="70"/>
  <c r="O180" i="70" s="1"/>
  <c r="L139" i="70"/>
  <c r="O139" i="70" s="1"/>
  <c r="L256" i="70"/>
  <c r="O256" i="70" s="1"/>
  <c r="J257" i="70"/>
  <c r="P184" i="70"/>
  <c r="L131" i="70"/>
  <c r="O131" i="70" s="1"/>
  <c r="L223" i="70"/>
  <c r="J223" i="70"/>
  <c r="L257" i="70"/>
  <c r="O152" i="70"/>
  <c r="P251" i="70"/>
  <c r="P282" i="70"/>
  <c r="O280" i="70"/>
  <c r="B78" i="128" s="1"/>
  <c r="D78" i="128" s="1"/>
  <c r="P178" i="70"/>
  <c r="D80" i="128"/>
  <c r="P286" i="70"/>
  <c r="M260" i="70"/>
  <c r="O260" i="70"/>
  <c r="P260" i="70" s="1"/>
  <c r="O259" i="70"/>
  <c r="M287" i="70"/>
  <c r="M224" i="70"/>
  <c r="M241" i="70"/>
  <c r="M280" i="70"/>
  <c r="M288" i="70"/>
  <c r="M190" i="70"/>
  <c r="M188" i="70"/>
  <c r="M152" i="70"/>
  <c r="M189" i="70"/>
  <c r="M245" i="70"/>
  <c r="M286" i="70"/>
  <c r="M235" i="70"/>
  <c r="J185" i="70"/>
  <c r="L185" i="70"/>
  <c r="O185" i="70" s="1"/>
  <c r="T185" i="70" s="1"/>
  <c r="J182" i="70"/>
  <c r="L182" i="70"/>
  <c r="O182" i="70" s="1"/>
  <c r="J259" i="70"/>
  <c r="M259" i="70"/>
  <c r="J186" i="70"/>
  <c r="L186" i="70"/>
  <c r="O186" i="70" s="1"/>
  <c r="T186" i="70" s="1"/>
  <c r="J256" i="70"/>
  <c r="J157" i="70"/>
  <c r="L157" i="70"/>
  <c r="J133" i="70"/>
  <c r="L133" i="70"/>
  <c r="O133" i="70" s="1"/>
  <c r="J209" i="70"/>
  <c r="L209" i="70"/>
  <c r="O209" i="70" s="1"/>
  <c r="J181" i="70"/>
  <c r="L181" i="70"/>
  <c r="O181" i="70" s="1"/>
  <c r="J179" i="70"/>
  <c r="J184" i="70"/>
  <c r="M184" i="70"/>
  <c r="J139" i="70"/>
  <c r="J261" i="70"/>
  <c r="L261" i="70"/>
  <c r="O261" i="70" s="1"/>
  <c r="T261" i="70" s="1"/>
  <c r="J146" i="70"/>
  <c r="J255" i="70"/>
  <c r="L255" i="70"/>
  <c r="J173" i="70"/>
  <c r="L173" i="70"/>
  <c r="O173" i="70" s="1"/>
  <c r="J131" i="70"/>
  <c r="J235" i="70"/>
  <c r="J263" i="70"/>
  <c r="J178" i="70"/>
  <c r="I177" i="70"/>
  <c r="P139" i="70" l="1"/>
  <c r="T139" i="70"/>
  <c r="P180" i="70"/>
  <c r="T180" i="70"/>
  <c r="P146" i="70"/>
  <c r="T146" i="70"/>
  <c r="P256" i="70"/>
  <c r="T256" i="70"/>
  <c r="P181" i="70"/>
  <c r="T181" i="70"/>
  <c r="P209" i="70"/>
  <c r="T209" i="70"/>
  <c r="P173" i="70"/>
  <c r="T173" i="70"/>
  <c r="P133" i="70"/>
  <c r="T133" i="70"/>
  <c r="P259" i="70"/>
  <c r="T259" i="70"/>
  <c r="P280" i="70"/>
  <c r="T280" i="70"/>
  <c r="P182" i="70"/>
  <c r="T182" i="70"/>
  <c r="P152" i="70"/>
  <c r="T152" i="70"/>
  <c r="P131" i="70"/>
  <c r="T131" i="70"/>
  <c r="M131" i="70"/>
  <c r="L250" i="70"/>
  <c r="M180" i="70"/>
  <c r="M223" i="70"/>
  <c r="O223" i="70"/>
  <c r="O257" i="70"/>
  <c r="J250" i="70"/>
  <c r="J177" i="70"/>
  <c r="M257" i="70"/>
  <c r="M263" i="70"/>
  <c r="P261" i="70"/>
  <c r="P186" i="70"/>
  <c r="P185" i="70"/>
  <c r="O255" i="70"/>
  <c r="T255" i="70" s="1"/>
  <c r="P263" i="70"/>
  <c r="P235" i="70"/>
  <c r="O179" i="70"/>
  <c r="T179" i="70" s="1"/>
  <c r="M157" i="70"/>
  <c r="O157" i="70"/>
  <c r="P157" i="70" s="1"/>
  <c r="M186" i="70"/>
  <c r="M181" i="70"/>
  <c r="M261" i="70"/>
  <c r="M182" i="70"/>
  <c r="M133" i="70"/>
  <c r="M185" i="70"/>
  <c r="M256" i="70"/>
  <c r="M146" i="70"/>
  <c r="M209" i="70"/>
  <c r="M139" i="70"/>
  <c r="M173" i="70"/>
  <c r="M179" i="70"/>
  <c r="L177" i="70"/>
  <c r="M255" i="70"/>
  <c r="F62" i="70"/>
  <c r="F63" i="70"/>
  <c r="I63" i="70" s="1"/>
  <c r="L63" i="70" s="1"/>
  <c r="F123" i="70"/>
  <c r="G123" i="70" s="1"/>
  <c r="F122" i="70"/>
  <c r="F121" i="70"/>
  <c r="F120" i="70"/>
  <c r="I120" i="70" s="1"/>
  <c r="F119" i="70"/>
  <c r="I119" i="70" s="1"/>
  <c r="I118" i="70"/>
  <c r="F117" i="70"/>
  <c r="I117" i="70" s="1"/>
  <c r="F116" i="70"/>
  <c r="I116" i="70" s="1"/>
  <c r="I115" i="70"/>
  <c r="F114" i="70"/>
  <c r="I114" i="70" s="1"/>
  <c r="F113" i="70"/>
  <c r="F112" i="70"/>
  <c r="G96" i="70"/>
  <c r="G49" i="70"/>
  <c r="G48" i="70"/>
  <c r="F21" i="70"/>
  <c r="I21" i="70" s="1"/>
  <c r="F83" i="70"/>
  <c r="I83" i="70" s="1"/>
  <c r="F84" i="70"/>
  <c r="I84" i="70" s="1"/>
  <c r="F85" i="70"/>
  <c r="F86" i="70"/>
  <c r="I86" i="70" s="1"/>
  <c r="F87" i="70"/>
  <c r="I87" i="70" s="1"/>
  <c r="I65" i="70"/>
  <c r="L65" i="70" s="1"/>
  <c r="I52" i="70"/>
  <c r="P257" i="70" l="1"/>
  <c r="T257" i="70"/>
  <c r="P223" i="70"/>
  <c r="T223" i="70"/>
  <c r="O63" i="70"/>
  <c r="T63" i="70" s="1"/>
  <c r="L21" i="70"/>
  <c r="O21" i="70" s="1"/>
  <c r="O65" i="70"/>
  <c r="I62" i="70"/>
  <c r="P179" i="70"/>
  <c r="O177" i="70"/>
  <c r="B65" i="128" s="1"/>
  <c r="D65" i="128" s="1"/>
  <c r="P63" i="70"/>
  <c r="P255" i="70"/>
  <c r="O250" i="70"/>
  <c r="B76" i="128" s="1"/>
  <c r="D76" i="128" s="1"/>
  <c r="M177" i="70"/>
  <c r="M250" i="70"/>
  <c r="J52" i="70"/>
  <c r="L52" i="70"/>
  <c r="O52" i="70" s="1"/>
  <c r="J87" i="70"/>
  <c r="L87" i="70"/>
  <c r="J114" i="70"/>
  <c r="L114" i="70"/>
  <c r="J115" i="70"/>
  <c r="L115" i="70"/>
  <c r="J116" i="70"/>
  <c r="L116" i="70"/>
  <c r="J65" i="70"/>
  <c r="J84" i="70"/>
  <c r="L84" i="70"/>
  <c r="O84" i="70" s="1"/>
  <c r="J117" i="70"/>
  <c r="L117" i="70"/>
  <c r="J83" i="70"/>
  <c r="L83" i="70"/>
  <c r="O83" i="70" s="1"/>
  <c r="J63" i="70"/>
  <c r="M63" i="70"/>
  <c r="J118" i="70"/>
  <c r="L118" i="70"/>
  <c r="J119" i="70"/>
  <c r="L119" i="70"/>
  <c r="I112" i="70"/>
  <c r="F111" i="70"/>
  <c r="I85" i="70"/>
  <c r="J21" i="70"/>
  <c r="I121" i="70"/>
  <c r="I122" i="70"/>
  <c r="I123" i="70"/>
  <c r="I113" i="70"/>
  <c r="G85" i="70"/>
  <c r="G86" i="70"/>
  <c r="G122" i="70"/>
  <c r="G121" i="70"/>
  <c r="G113" i="70"/>
  <c r="G120" i="70"/>
  <c r="G114" i="70"/>
  <c r="G116" i="70"/>
  <c r="G118" i="70"/>
  <c r="G119" i="70"/>
  <c r="G117" i="70"/>
  <c r="G87" i="70"/>
  <c r="G52" i="70"/>
  <c r="G84" i="70"/>
  <c r="G115" i="70"/>
  <c r="G83" i="70"/>
  <c r="G65" i="70"/>
  <c r="G21" i="70"/>
  <c r="G112" i="70"/>
  <c r="G63" i="70"/>
  <c r="G8" i="70"/>
  <c r="G62" i="70"/>
  <c r="P83" i="70" l="1"/>
  <c r="T83" i="70"/>
  <c r="P65" i="70"/>
  <c r="T65" i="70"/>
  <c r="P21" i="70"/>
  <c r="T21" i="70"/>
  <c r="P177" i="70"/>
  <c r="T177" i="70"/>
  <c r="P52" i="70"/>
  <c r="P250" i="70"/>
  <c r="T250" i="70"/>
  <c r="P84" i="70"/>
  <c r="T84" i="70"/>
  <c r="M21" i="70"/>
  <c r="L112" i="70"/>
  <c r="O112" i="70" s="1"/>
  <c r="T112" i="70" s="1"/>
  <c r="M65" i="70"/>
  <c r="L62" i="70"/>
  <c r="O62" i="70" s="1"/>
  <c r="T62" i="70" s="1"/>
  <c r="O122" i="70"/>
  <c r="J62" i="70"/>
  <c r="B168" i="128"/>
  <c r="D168" i="128" s="1"/>
  <c r="O114" i="70"/>
  <c r="B169" i="128"/>
  <c r="D169" i="128" s="1"/>
  <c r="O115" i="70"/>
  <c r="B173" i="128"/>
  <c r="D173" i="128" s="1"/>
  <c r="O119" i="70"/>
  <c r="M87" i="70"/>
  <c r="O87" i="70"/>
  <c r="P87" i="70" s="1"/>
  <c r="B171" i="128"/>
  <c r="D171" i="128" s="1"/>
  <c r="O117" i="70"/>
  <c r="B170" i="128"/>
  <c r="D170" i="128" s="1"/>
  <c r="O116" i="70"/>
  <c r="B172" i="128"/>
  <c r="D172" i="128" s="1"/>
  <c r="O118" i="70"/>
  <c r="B176" i="128"/>
  <c r="D176" i="128" s="1"/>
  <c r="M84" i="70"/>
  <c r="J112" i="70"/>
  <c r="M116" i="70"/>
  <c r="M114" i="70"/>
  <c r="M52" i="70"/>
  <c r="M83" i="70"/>
  <c r="M117" i="70"/>
  <c r="M115" i="70"/>
  <c r="M119" i="70"/>
  <c r="M118" i="70"/>
  <c r="J120" i="70"/>
  <c r="L120" i="70"/>
  <c r="J123" i="70"/>
  <c r="L123" i="70"/>
  <c r="J86" i="70"/>
  <c r="L86" i="70"/>
  <c r="O86" i="70" s="1"/>
  <c r="M112" i="70"/>
  <c r="J85" i="70"/>
  <c r="L85" i="70"/>
  <c r="O85" i="70" s="1"/>
  <c r="J113" i="70"/>
  <c r="L113" i="70"/>
  <c r="J122" i="70"/>
  <c r="J121" i="70"/>
  <c r="L121" i="70"/>
  <c r="I111" i="70"/>
  <c r="G111" i="70"/>
  <c r="P112" i="70" l="1"/>
  <c r="P114" i="70"/>
  <c r="T114" i="70"/>
  <c r="P115" i="70"/>
  <c r="T115" i="70"/>
  <c r="P116" i="70"/>
  <c r="T116" i="70"/>
  <c r="P117" i="70"/>
  <c r="T117" i="70"/>
  <c r="P118" i="70"/>
  <c r="T118" i="70"/>
  <c r="P85" i="70"/>
  <c r="P122" i="70"/>
  <c r="T122" i="70"/>
  <c r="P86" i="70"/>
  <c r="T86" i="70"/>
  <c r="P119" i="70"/>
  <c r="T119" i="70"/>
  <c r="B166" i="128"/>
  <c r="D166" i="128" s="1"/>
  <c r="P62" i="70"/>
  <c r="M62" i="70"/>
  <c r="J111" i="70"/>
  <c r="B175" i="128"/>
  <c r="D175" i="128" s="1"/>
  <c r="O121" i="70"/>
  <c r="B177" i="128"/>
  <c r="D177" i="128" s="1"/>
  <c r="O123" i="70"/>
  <c r="B174" i="128"/>
  <c r="D174" i="128" s="1"/>
  <c r="O120" i="70"/>
  <c r="B167" i="128"/>
  <c r="D167" i="128" s="1"/>
  <c r="O113" i="70"/>
  <c r="T113" i="70" s="1"/>
  <c r="M113" i="70"/>
  <c r="M85" i="70"/>
  <c r="M86" i="70"/>
  <c r="M120" i="70"/>
  <c r="M121" i="70"/>
  <c r="M123" i="70"/>
  <c r="L111" i="70"/>
  <c r="P121" i="70" l="1"/>
  <c r="T121" i="70"/>
  <c r="P120" i="70"/>
  <c r="T120" i="70"/>
  <c r="P123" i="70"/>
  <c r="T123" i="70"/>
  <c r="B165" i="128"/>
  <c r="B180" i="128" s="1"/>
  <c r="O111" i="70"/>
  <c r="P113" i="70"/>
  <c r="M111" i="70"/>
  <c r="P111" i="70" l="1"/>
  <c r="T111" i="70"/>
  <c r="D165" i="128"/>
  <c r="B155" i="128"/>
  <c r="F196" i="70" l="1"/>
  <c r="I196" i="70" s="1"/>
  <c r="F227" i="70"/>
  <c r="I227" i="70" s="1"/>
  <c r="F226" i="70"/>
  <c r="I226" i="70" s="1"/>
  <c r="F151" i="70"/>
  <c r="I151" i="70" s="1"/>
  <c r="L151" i="70" l="1"/>
  <c r="O151" i="70" s="1"/>
  <c r="T151" i="70" s="1"/>
  <c r="L196" i="70"/>
  <c r="J226" i="70"/>
  <c r="L226" i="70"/>
  <c r="O226" i="70" s="1"/>
  <c r="J227" i="70"/>
  <c r="L227" i="70"/>
  <c r="O227" i="70" s="1"/>
  <c r="J196" i="70"/>
  <c r="J151" i="70"/>
  <c r="G226" i="70"/>
  <c r="G227" i="70"/>
  <c r="G196" i="70"/>
  <c r="G151" i="70"/>
  <c r="P227" i="70" l="1"/>
  <c r="T227" i="70"/>
  <c r="P226" i="70"/>
  <c r="T226" i="70"/>
  <c r="M151" i="70"/>
  <c r="O196" i="70"/>
  <c r="P151" i="70"/>
  <c r="M196" i="70"/>
  <c r="M226" i="70"/>
  <c r="M227" i="70"/>
  <c r="P196" i="70" l="1"/>
  <c r="T196" i="70"/>
  <c r="F47" i="70" l="1"/>
  <c r="J47" i="70" s="1"/>
  <c r="G47" i="70" l="1"/>
  <c r="L3" i="143" l="1"/>
  <c r="M3" i="143" l="1"/>
  <c r="N3" i="143"/>
  <c r="K4" i="143" l="1"/>
  <c r="K5" i="143" s="1"/>
  <c r="L208" i="70" l="1"/>
  <c r="O208" i="70" l="1"/>
  <c r="T208" i="70" s="1"/>
  <c r="I234" i="70"/>
  <c r="M208" i="70"/>
  <c r="M236" i="70" l="1"/>
  <c r="O236" i="70"/>
  <c r="T236" i="70" s="1"/>
  <c r="P208" i="70"/>
  <c r="J236" i="70"/>
  <c r="J208" i="70"/>
  <c r="P236" i="70" l="1"/>
  <c r="O234" i="70"/>
  <c r="B72" i="128" s="1"/>
  <c r="D72" i="128" s="1"/>
  <c r="M234" i="70"/>
  <c r="P234" i="70" l="1"/>
  <c r="T234" i="70"/>
  <c r="F7" i="70" l="1"/>
  <c r="J7" i="70" l="1"/>
  <c r="G7" i="70"/>
  <c r="F238" i="70" l="1"/>
  <c r="G238" i="70" s="1"/>
  <c r="I240" i="70" l="1"/>
  <c r="L240" i="70" s="1"/>
  <c r="J240" i="70" l="1"/>
  <c r="O240" i="70" l="1"/>
  <c r="L238" i="70"/>
  <c r="M240" i="70"/>
  <c r="P240" i="70" l="1"/>
  <c r="T240" i="70"/>
  <c r="F294" i="70" l="1"/>
  <c r="F290" i="70"/>
  <c r="F289" i="70"/>
  <c r="G286" i="70"/>
  <c r="F285" i="70"/>
  <c r="I285" i="70" s="1"/>
  <c r="F280" i="70"/>
  <c r="F269" i="70"/>
  <c r="G251" i="70"/>
  <c r="F249" i="70"/>
  <c r="F248" i="70"/>
  <c r="F244" i="70"/>
  <c r="I244" i="70" s="1"/>
  <c r="O243" i="70"/>
  <c r="T243" i="70" s="1"/>
  <c r="F229" i="70"/>
  <c r="F215" i="70"/>
  <c r="F213" i="70"/>
  <c r="F211" i="70"/>
  <c r="F210" i="70"/>
  <c r="F205" i="70"/>
  <c r="F204" i="70"/>
  <c r="F200" i="70"/>
  <c r="F199" i="70"/>
  <c r="I199" i="70" s="1"/>
  <c r="F198" i="70"/>
  <c r="F195" i="70"/>
  <c r="F194" i="70"/>
  <c r="F193" i="70"/>
  <c r="G177" i="70"/>
  <c r="F174" i="70"/>
  <c r="I174" i="70" s="1"/>
  <c r="F161" i="70"/>
  <c r="F160" i="70"/>
  <c r="F159" i="70"/>
  <c r="I159" i="70" s="1"/>
  <c r="L159" i="70" s="1"/>
  <c r="O159" i="70" s="1"/>
  <c r="T159" i="70" s="1"/>
  <c r="F156" i="70"/>
  <c r="F153" i="70"/>
  <c r="F145" i="70"/>
  <c r="F141" i="70"/>
  <c r="I141" i="70" s="1"/>
  <c r="G139" i="70"/>
  <c r="F138" i="70"/>
  <c r="I138" i="70" s="1"/>
  <c r="F137" i="70"/>
  <c r="F136" i="70"/>
  <c r="I136" i="70" s="1"/>
  <c r="F134" i="70"/>
  <c r="F132" i="70"/>
  <c r="I110" i="70"/>
  <c r="I109" i="70"/>
  <c r="I106" i="70"/>
  <c r="I105" i="70"/>
  <c r="F104" i="70"/>
  <c r="I104" i="70" s="1"/>
  <c r="F103" i="70"/>
  <c r="I103" i="70" s="1"/>
  <c r="F101" i="70"/>
  <c r="I101" i="70" s="1"/>
  <c r="F100" i="70"/>
  <c r="I100" i="70" s="1"/>
  <c r="F99" i="70"/>
  <c r="I99" i="70" s="1"/>
  <c r="F97" i="70"/>
  <c r="I97" i="70" s="1"/>
  <c r="L97" i="70" s="1"/>
  <c r="O97" i="70" s="1"/>
  <c r="F94" i="70"/>
  <c r="I94" i="70" s="1"/>
  <c r="F93" i="70"/>
  <c r="I93" i="70" s="1"/>
  <c r="F90" i="70"/>
  <c r="I90" i="70" s="1"/>
  <c r="F89" i="70"/>
  <c r="I89" i="70" s="1"/>
  <c r="F82" i="70"/>
  <c r="F81" i="70"/>
  <c r="I81" i="70" s="1"/>
  <c r="F80" i="70"/>
  <c r="I80" i="70" s="1"/>
  <c r="F79" i="70"/>
  <c r="I79" i="70" s="1"/>
  <c r="F78" i="70"/>
  <c r="I78" i="70" s="1"/>
  <c r="F77" i="70"/>
  <c r="I77" i="70" s="1"/>
  <c r="F76" i="70"/>
  <c r="I76" i="70" s="1"/>
  <c r="F69" i="70"/>
  <c r="I69" i="70" s="1"/>
  <c r="F68" i="70"/>
  <c r="I68" i="70" s="1"/>
  <c r="I67" i="70"/>
  <c r="F61" i="70"/>
  <c r="I61" i="70" s="1"/>
  <c r="L60" i="70"/>
  <c r="F58" i="70"/>
  <c r="I58" i="70" s="1"/>
  <c r="F57" i="70"/>
  <c r="I57" i="70" s="1"/>
  <c r="G56" i="70"/>
  <c r="G55" i="70"/>
  <c r="F54" i="70"/>
  <c r="I54" i="70" s="1"/>
  <c r="I53" i="70"/>
  <c r="F51" i="70"/>
  <c r="I51" i="70" s="1"/>
  <c r="F46" i="70"/>
  <c r="I46" i="70" s="1"/>
  <c r="F45" i="70"/>
  <c r="I45" i="70" s="1"/>
  <c r="G44" i="70"/>
  <c r="F41" i="70"/>
  <c r="I41" i="70" s="1"/>
  <c r="F40" i="70"/>
  <c r="I40" i="70" s="1"/>
  <c r="F39" i="70"/>
  <c r="I39" i="70" s="1"/>
  <c r="G38" i="70"/>
  <c r="F36" i="70"/>
  <c r="I36" i="70" s="1"/>
  <c r="F35" i="70"/>
  <c r="I35" i="70" s="1"/>
  <c r="F33" i="70"/>
  <c r="I33" i="70" s="1"/>
  <c r="F32" i="70"/>
  <c r="I32" i="70" s="1"/>
  <c r="F31" i="70"/>
  <c r="I31" i="70" s="1"/>
  <c r="F30" i="70"/>
  <c r="I30" i="70" s="1"/>
  <c r="F29" i="70"/>
  <c r="I29" i="70" s="1"/>
  <c r="F28" i="70"/>
  <c r="I28" i="70" s="1"/>
  <c r="F26" i="70"/>
  <c r="I26" i="70" s="1"/>
  <c r="F25" i="70"/>
  <c r="I25" i="70" s="1"/>
  <c r="F24" i="70"/>
  <c r="I24" i="70" s="1"/>
  <c r="F20" i="70"/>
  <c r="G297" i="70"/>
  <c r="G296" i="70"/>
  <c r="G282" i="70"/>
  <c r="G263" i="70"/>
  <c r="G240" i="70"/>
  <c r="G236" i="70"/>
  <c r="G235" i="70"/>
  <c r="G209" i="70"/>
  <c r="G208" i="70"/>
  <c r="G173" i="70"/>
  <c r="G169" i="70"/>
  <c r="G152" i="70"/>
  <c r="G133" i="70"/>
  <c r="G131" i="70"/>
  <c r="F18" i="70"/>
  <c r="I18" i="70" s="1"/>
  <c r="F17" i="70"/>
  <c r="I17" i="70" s="1"/>
  <c r="F15" i="70"/>
  <c r="I15" i="70" s="1"/>
  <c r="F14" i="70"/>
  <c r="I14" i="70" s="1"/>
  <c r="F12" i="70"/>
  <c r="I12" i="70" s="1"/>
  <c r="F11" i="70"/>
  <c r="I11" i="70" s="1"/>
  <c r="F295" i="70"/>
  <c r="J295" i="70" s="1"/>
  <c r="L105" i="70" l="1"/>
  <c r="O105" i="70" s="1"/>
  <c r="P105" i="70" s="1"/>
  <c r="L41" i="70"/>
  <c r="L244" i="70"/>
  <c r="L242" i="70" s="1"/>
  <c r="L24" i="70"/>
  <c r="O24" i="70" s="1"/>
  <c r="T24" i="70" s="1"/>
  <c r="L39" i="70"/>
  <c r="L15" i="70"/>
  <c r="O15" i="70" s="1"/>
  <c r="L89" i="70"/>
  <c r="O89" i="70" s="1"/>
  <c r="T89" i="70" s="1"/>
  <c r="L109" i="70"/>
  <c r="O109" i="70" s="1"/>
  <c r="T109" i="70" s="1"/>
  <c r="F262" i="70"/>
  <c r="I269" i="70"/>
  <c r="L17" i="70"/>
  <c r="O17" i="70" s="1"/>
  <c r="T17" i="70" s="1"/>
  <c r="L28" i="70"/>
  <c r="L93" i="70"/>
  <c r="O93" i="70" s="1"/>
  <c r="T93" i="70" s="1"/>
  <c r="L174" i="70"/>
  <c r="M174" i="70" s="1"/>
  <c r="L99" i="70"/>
  <c r="O99" i="70" s="1"/>
  <c r="T99" i="70" s="1"/>
  <c r="L51" i="70"/>
  <c r="M51" i="70" s="1"/>
  <c r="L11" i="70"/>
  <c r="O11" i="70" s="1"/>
  <c r="T11" i="70" s="1"/>
  <c r="L35" i="70"/>
  <c r="O35" i="70" s="1"/>
  <c r="T35" i="70" s="1"/>
  <c r="L103" i="70"/>
  <c r="O103" i="70" s="1"/>
  <c r="T103" i="70" s="1"/>
  <c r="I82" i="70"/>
  <c r="J82" i="70" s="1"/>
  <c r="I193" i="70"/>
  <c r="F192" i="70"/>
  <c r="F191" i="70" s="1"/>
  <c r="I145" i="70"/>
  <c r="L145" i="70" s="1"/>
  <c r="I153" i="70"/>
  <c r="I238" i="70"/>
  <c r="I156" i="70"/>
  <c r="L156" i="70" s="1"/>
  <c r="F154" i="70"/>
  <c r="P97" i="70"/>
  <c r="O95" i="70"/>
  <c r="O39" i="70"/>
  <c r="T39" i="70" s="1"/>
  <c r="O60" i="70"/>
  <c r="O28" i="70"/>
  <c r="T28" i="70" s="1"/>
  <c r="L222" i="70"/>
  <c r="L199" i="70"/>
  <c r="O199" i="70" s="1"/>
  <c r="T199" i="70" s="1"/>
  <c r="J12" i="70"/>
  <c r="L12" i="70"/>
  <c r="J31" i="70"/>
  <c r="L31" i="70"/>
  <c r="O31" i="70" s="1"/>
  <c r="J69" i="70"/>
  <c r="L69" i="70"/>
  <c r="M89" i="70"/>
  <c r="J32" i="70"/>
  <c r="L32" i="70"/>
  <c r="O32" i="70" s="1"/>
  <c r="J33" i="70"/>
  <c r="L33" i="70"/>
  <c r="O33" i="70" s="1"/>
  <c r="J54" i="70"/>
  <c r="L54" i="70"/>
  <c r="O54" i="70" s="1"/>
  <c r="J77" i="70"/>
  <c r="L77" i="70"/>
  <c r="O77" i="70" s="1"/>
  <c r="P77" i="70" s="1"/>
  <c r="M93" i="70"/>
  <c r="M218" i="70"/>
  <c r="J90" i="70"/>
  <c r="L90" i="70"/>
  <c r="M35" i="70"/>
  <c r="J78" i="70"/>
  <c r="L78" i="70"/>
  <c r="O78" i="70" s="1"/>
  <c r="P78" i="70" s="1"/>
  <c r="J94" i="70"/>
  <c r="L94" i="70"/>
  <c r="O94" i="70" s="1"/>
  <c r="J46" i="70"/>
  <c r="L46" i="70"/>
  <c r="O46" i="70" s="1"/>
  <c r="J14" i="70"/>
  <c r="L14" i="70"/>
  <c r="J53" i="70"/>
  <c r="L53" i="70"/>
  <c r="O53" i="70" s="1"/>
  <c r="J18" i="70"/>
  <c r="L18" i="70"/>
  <c r="O18" i="70" s="1"/>
  <c r="J36" i="70"/>
  <c r="L36" i="70"/>
  <c r="O36" i="70" s="1"/>
  <c r="J79" i="70"/>
  <c r="L79" i="70"/>
  <c r="O79" i="70" s="1"/>
  <c r="P79" i="70" s="1"/>
  <c r="L95" i="70"/>
  <c r="M97" i="70"/>
  <c r="J106" i="70"/>
  <c r="L106" i="70"/>
  <c r="J57" i="70"/>
  <c r="L57" i="70"/>
  <c r="O57" i="70" s="1"/>
  <c r="M39" i="70"/>
  <c r="J58" i="70"/>
  <c r="L58" i="70"/>
  <c r="O58" i="70" s="1"/>
  <c r="P58" i="70" s="1"/>
  <c r="J100" i="70"/>
  <c r="L100" i="70"/>
  <c r="O100" i="70" s="1"/>
  <c r="J110" i="70"/>
  <c r="L110" i="70"/>
  <c r="J25" i="70"/>
  <c r="L25" i="70"/>
  <c r="O25" i="70" s="1"/>
  <c r="J26" i="70"/>
  <c r="L26" i="70"/>
  <c r="O26" i="70" s="1"/>
  <c r="J40" i="70"/>
  <c r="L40" i="70"/>
  <c r="O40" i="70" s="1"/>
  <c r="J60" i="70"/>
  <c r="M60" i="70"/>
  <c r="J101" i="70"/>
  <c r="L101" i="70"/>
  <c r="O101" i="70" s="1"/>
  <c r="M28" i="70"/>
  <c r="J41" i="70"/>
  <c r="J61" i="70"/>
  <c r="L61" i="70"/>
  <c r="J80" i="70"/>
  <c r="L80" i="70"/>
  <c r="O80" i="70" s="1"/>
  <c r="P80" i="70" s="1"/>
  <c r="J68" i="70"/>
  <c r="L68" i="70"/>
  <c r="J76" i="70"/>
  <c r="L76" i="70"/>
  <c r="J29" i="70"/>
  <c r="L29" i="70"/>
  <c r="O29" i="70" s="1"/>
  <c r="J81" i="70"/>
  <c r="L81" i="70"/>
  <c r="O81" i="70" s="1"/>
  <c r="P81" i="70" s="1"/>
  <c r="J104" i="70"/>
  <c r="L104" i="70"/>
  <c r="O104" i="70" s="1"/>
  <c r="J141" i="70"/>
  <c r="L141" i="70"/>
  <c r="M239" i="70"/>
  <c r="J30" i="70"/>
  <c r="L30" i="70"/>
  <c r="J45" i="70"/>
  <c r="L45" i="70"/>
  <c r="O45" i="70" s="1"/>
  <c r="J67" i="70"/>
  <c r="L67" i="70"/>
  <c r="O67" i="70" s="1"/>
  <c r="T67" i="70" s="1"/>
  <c r="J105" i="70"/>
  <c r="M105" i="70"/>
  <c r="M243" i="70"/>
  <c r="J232" i="70"/>
  <c r="J93" i="70"/>
  <c r="I92" i="70"/>
  <c r="J11" i="70"/>
  <c r="I10" i="70"/>
  <c r="I27" i="70"/>
  <c r="L147" i="70"/>
  <c r="O147" i="70" s="1"/>
  <c r="B60" i="128" s="1"/>
  <c r="I213" i="70"/>
  <c r="L284" i="70"/>
  <c r="I216" i="70"/>
  <c r="I289" i="70"/>
  <c r="J51" i="70"/>
  <c r="I50" i="70"/>
  <c r="J89" i="70"/>
  <c r="I88" i="70"/>
  <c r="J109" i="70"/>
  <c r="I108" i="70"/>
  <c r="I149" i="70"/>
  <c r="I194" i="70"/>
  <c r="I215" i="70"/>
  <c r="L247" i="70"/>
  <c r="I132" i="70"/>
  <c r="I220" i="70"/>
  <c r="G20" i="70"/>
  <c r="I20" i="70"/>
  <c r="L20" i="70" s="1"/>
  <c r="O20" i="70" s="1"/>
  <c r="I95" i="70"/>
  <c r="J97" i="70"/>
  <c r="I135" i="70"/>
  <c r="I160" i="70"/>
  <c r="J199" i="70"/>
  <c r="I221" i="70"/>
  <c r="I293" i="70"/>
  <c r="I195" i="70"/>
  <c r="I290" i="70"/>
  <c r="J24" i="70"/>
  <c r="I23" i="70"/>
  <c r="J99" i="70"/>
  <c r="I98" i="70"/>
  <c r="L136" i="70"/>
  <c r="I161" i="70"/>
  <c r="I200" i="70"/>
  <c r="J222" i="70"/>
  <c r="L271" i="70"/>
  <c r="I294" i="70"/>
  <c r="I197" i="70"/>
  <c r="J39" i="70"/>
  <c r="I37" i="70"/>
  <c r="I137" i="70"/>
  <c r="J174" i="70"/>
  <c r="I229" i="70"/>
  <c r="I299" i="70"/>
  <c r="I13" i="70"/>
  <c r="J15" i="70"/>
  <c r="T249" i="70"/>
  <c r="I249" i="70"/>
  <c r="L138" i="70"/>
  <c r="O138" i="70" s="1"/>
  <c r="B57" i="128" s="1"/>
  <c r="I175" i="70"/>
  <c r="I204" i="70"/>
  <c r="O231" i="70"/>
  <c r="T231" i="70" s="1"/>
  <c r="I275" i="70"/>
  <c r="I248" i="70"/>
  <c r="J17" i="70"/>
  <c r="I16" i="70"/>
  <c r="I198" i="70"/>
  <c r="J28" i="70"/>
  <c r="J103" i="70"/>
  <c r="I102" i="70"/>
  <c r="I176" i="70"/>
  <c r="I205" i="70"/>
  <c r="J35" i="70"/>
  <c r="I34" i="70"/>
  <c r="I134" i="70"/>
  <c r="J234" i="70"/>
  <c r="I210" i="70"/>
  <c r="J239" i="70"/>
  <c r="I211" i="70"/>
  <c r="J243" i="70"/>
  <c r="J280" i="70"/>
  <c r="G106" i="70"/>
  <c r="G89" i="70"/>
  <c r="G109" i="70"/>
  <c r="G14" i="70"/>
  <c r="G32" i="70"/>
  <c r="G53" i="70"/>
  <c r="G76" i="70"/>
  <c r="G90" i="70"/>
  <c r="G110" i="70"/>
  <c r="G15" i="70"/>
  <c r="G33" i="70"/>
  <c r="G54" i="70"/>
  <c r="G77" i="70"/>
  <c r="G93" i="70"/>
  <c r="G11" i="70"/>
  <c r="G69" i="70"/>
  <c r="G17" i="70"/>
  <c r="G35" i="70"/>
  <c r="G78" i="70"/>
  <c r="G94" i="70"/>
  <c r="G31" i="70"/>
  <c r="G18" i="70"/>
  <c r="G36" i="70"/>
  <c r="G79" i="70"/>
  <c r="G97" i="70"/>
  <c r="G68" i="70"/>
  <c r="G24" i="70"/>
  <c r="G57" i="70"/>
  <c r="G99" i="70"/>
  <c r="G46" i="70"/>
  <c r="G12" i="70"/>
  <c r="G25" i="70"/>
  <c r="G39" i="70"/>
  <c r="G58" i="70"/>
  <c r="G100" i="70"/>
  <c r="F172" i="70"/>
  <c r="G26" i="70"/>
  <c r="G40" i="70"/>
  <c r="G60" i="70"/>
  <c r="G101" i="70"/>
  <c r="G82" i="70"/>
  <c r="G51" i="70"/>
  <c r="G28" i="70"/>
  <c r="G41" i="70"/>
  <c r="G61" i="70"/>
  <c r="G80" i="70"/>
  <c r="G103" i="70"/>
  <c r="G232" i="70"/>
  <c r="G29" i="70"/>
  <c r="G81" i="70"/>
  <c r="G104" i="70"/>
  <c r="G30" i="70"/>
  <c r="G45" i="70"/>
  <c r="G67" i="70"/>
  <c r="G105" i="70"/>
  <c r="F144" i="70"/>
  <c r="F242" i="70"/>
  <c r="F66" i="70"/>
  <c r="F102" i="70"/>
  <c r="F217" i="70"/>
  <c r="F207" i="70"/>
  <c r="G145" i="70"/>
  <c r="G144" i="70" s="1"/>
  <c r="G278" i="70"/>
  <c r="G149" i="70"/>
  <c r="G153" i="70"/>
  <c r="G231" i="70"/>
  <c r="G194" i="70"/>
  <c r="G281" i="70"/>
  <c r="G284" i="70"/>
  <c r="G141" i="70"/>
  <c r="G285" i="70"/>
  <c r="F283" i="70"/>
  <c r="G215" i="70"/>
  <c r="G239" i="70"/>
  <c r="G199" i="70"/>
  <c r="G299" i="70"/>
  <c r="G170" i="70"/>
  <c r="G269" i="70"/>
  <c r="G290" i="70"/>
  <c r="G293" i="70"/>
  <c r="F95" i="70"/>
  <c r="G273" i="70"/>
  <c r="G275" i="70"/>
  <c r="G204" i="70"/>
  <c r="G175" i="70"/>
  <c r="G247" i="70"/>
  <c r="G147" i="70"/>
  <c r="G176" i="70"/>
  <c r="G248" i="70"/>
  <c r="F246" i="70"/>
  <c r="G277" i="70"/>
  <c r="G249" i="70"/>
  <c r="G221" i="70"/>
  <c r="F13" i="70"/>
  <c r="G134" i="70"/>
  <c r="F88" i="70"/>
  <c r="G193" i="70"/>
  <c r="G229" i="70"/>
  <c r="G289" i="70"/>
  <c r="G243" i="70"/>
  <c r="G216" i="70"/>
  <c r="F214" i="70"/>
  <c r="G288" i="70"/>
  <c r="G198" i="70"/>
  <c r="G210" i="70"/>
  <c r="G213" i="70"/>
  <c r="G220" i="70"/>
  <c r="G222" i="70"/>
  <c r="G267" i="70"/>
  <c r="G201" i="70"/>
  <c r="G174" i="70"/>
  <c r="G218" i="70"/>
  <c r="F148" i="70"/>
  <c r="G142" i="70"/>
  <c r="F34" i="70"/>
  <c r="G244" i="70"/>
  <c r="G294" i="70"/>
  <c r="F16" i="70"/>
  <c r="F10" i="70"/>
  <c r="G197" i="70"/>
  <c r="G205" i="70"/>
  <c r="G211" i="70"/>
  <c r="G271" i="70"/>
  <c r="F92" i="70"/>
  <c r="F108" i="70"/>
  <c r="G181" i="70"/>
  <c r="G195" i="70"/>
  <c r="G200" i="70"/>
  <c r="G159" i="70"/>
  <c r="G137" i="70"/>
  <c r="G160" i="70"/>
  <c r="G161" i="70"/>
  <c r="G138" i="70"/>
  <c r="G156" i="70"/>
  <c r="G158" i="70"/>
  <c r="G132" i="70"/>
  <c r="G135" i="70"/>
  <c r="G136" i="70"/>
  <c r="F19" i="70"/>
  <c r="F98" i="70"/>
  <c r="F292" i="70"/>
  <c r="F23" i="70"/>
  <c r="G23" i="70" s="1"/>
  <c r="F50" i="70"/>
  <c r="F27" i="70"/>
  <c r="G270" i="70"/>
  <c r="G155" i="70"/>
  <c r="F130" i="70"/>
  <c r="F37" i="70"/>
  <c r="M103" i="70" l="1"/>
  <c r="T105" i="70"/>
  <c r="B22" i="128"/>
  <c r="D22" i="128" s="1"/>
  <c r="P57" i="70"/>
  <c r="T57" i="70"/>
  <c r="P53" i="70"/>
  <c r="T52" i="70"/>
  <c r="P26" i="70"/>
  <c r="T26" i="70"/>
  <c r="P104" i="70"/>
  <c r="T104" i="70"/>
  <c r="P15" i="70"/>
  <c r="T15" i="70"/>
  <c r="P25" i="70"/>
  <c r="T25" i="70"/>
  <c r="P31" i="70"/>
  <c r="T31" i="70"/>
  <c r="P46" i="70"/>
  <c r="T46" i="70"/>
  <c r="P54" i="70"/>
  <c r="T54" i="70"/>
  <c r="P138" i="70"/>
  <c r="T138" i="70"/>
  <c r="P29" i="70"/>
  <c r="T29" i="70"/>
  <c r="P94" i="70"/>
  <c r="T94" i="70"/>
  <c r="P147" i="70"/>
  <c r="T147" i="70"/>
  <c r="P45" i="70"/>
  <c r="T45" i="70"/>
  <c r="P101" i="70"/>
  <c r="T101" i="70"/>
  <c r="P100" i="70"/>
  <c r="T100" i="70"/>
  <c r="P33" i="70"/>
  <c r="T33" i="70"/>
  <c r="P36" i="70"/>
  <c r="T36" i="70"/>
  <c r="P32" i="70"/>
  <c r="T32" i="70"/>
  <c r="P18" i="70"/>
  <c r="T18" i="70"/>
  <c r="P40" i="70"/>
  <c r="T40" i="70"/>
  <c r="M109" i="70"/>
  <c r="P60" i="70"/>
  <c r="T60" i="70"/>
  <c r="O30" i="70"/>
  <c r="M17" i="70"/>
  <c r="O106" i="70"/>
  <c r="F206" i="70"/>
  <c r="L210" i="70"/>
  <c r="I207" i="70"/>
  <c r="M24" i="70"/>
  <c r="I144" i="70"/>
  <c r="I143" i="70" s="1"/>
  <c r="J145" i="70"/>
  <c r="M15" i="70"/>
  <c r="M11" i="70"/>
  <c r="L135" i="70"/>
  <c r="O135" i="70" s="1"/>
  <c r="M99" i="70"/>
  <c r="O98" i="70"/>
  <c r="I192" i="70"/>
  <c r="L193" i="70"/>
  <c r="O51" i="70"/>
  <c r="L194" i="70"/>
  <c r="O194" i="70" s="1"/>
  <c r="T194" i="70" s="1"/>
  <c r="O174" i="70"/>
  <c r="I172" i="70"/>
  <c r="L82" i="70"/>
  <c r="O82" i="70" s="1"/>
  <c r="G262" i="70"/>
  <c r="G192" i="70"/>
  <c r="G191" i="70" s="1"/>
  <c r="L132" i="70"/>
  <c r="O132" i="70" s="1"/>
  <c r="L216" i="70"/>
  <c r="O216" i="70" s="1"/>
  <c r="O156" i="70"/>
  <c r="L149" i="70"/>
  <c r="O149" i="70" s="1"/>
  <c r="T149" i="70" s="1"/>
  <c r="L153" i="70"/>
  <c r="M153" i="70" s="1"/>
  <c r="O145" i="70"/>
  <c r="T145" i="70" s="1"/>
  <c r="L293" i="70"/>
  <c r="O293" i="70" s="1"/>
  <c r="T293" i="70" s="1"/>
  <c r="J269" i="70"/>
  <c r="I230" i="70"/>
  <c r="J238" i="70"/>
  <c r="J156" i="70"/>
  <c r="O239" i="70"/>
  <c r="L269" i="70"/>
  <c r="O277" i="70"/>
  <c r="I276" i="70"/>
  <c r="F228" i="70"/>
  <c r="F6" i="70"/>
  <c r="M156" i="70"/>
  <c r="L229" i="70"/>
  <c r="O229" i="70" s="1"/>
  <c r="B70" i="128" s="1"/>
  <c r="P67" i="70"/>
  <c r="P95" i="70"/>
  <c r="M68" i="70"/>
  <c r="O68" i="70"/>
  <c r="L34" i="70"/>
  <c r="M34" i="70" s="1"/>
  <c r="P243" i="70"/>
  <c r="P35" i="70"/>
  <c r="O34" i="70"/>
  <c r="P109" i="70"/>
  <c r="L10" i="70"/>
  <c r="O12" i="70"/>
  <c r="M141" i="70"/>
  <c r="O141" i="70"/>
  <c r="P141" i="70" s="1"/>
  <c r="P39" i="70"/>
  <c r="O37" i="70"/>
  <c r="P17" i="70"/>
  <c r="O16" i="70"/>
  <c r="T16" i="70" s="1"/>
  <c r="P89" i="70"/>
  <c r="M76" i="70"/>
  <c r="O76" i="70"/>
  <c r="P76" i="70" s="1"/>
  <c r="O19" i="70"/>
  <c r="P20" i="70"/>
  <c r="M90" i="70"/>
  <c r="O90" i="70"/>
  <c r="P90" i="70" s="1"/>
  <c r="P232" i="70"/>
  <c r="O14" i="70"/>
  <c r="T14" i="70" s="1"/>
  <c r="P199" i="70"/>
  <c r="P218" i="70"/>
  <c r="M61" i="70"/>
  <c r="O61" i="70"/>
  <c r="P61" i="70" s="1"/>
  <c r="P103" i="70"/>
  <c r="O102" i="70"/>
  <c r="T102" i="70" s="1"/>
  <c r="P24" i="70"/>
  <c r="O23" i="70"/>
  <c r="T23" i="70" s="1"/>
  <c r="O210" i="70"/>
  <c r="O271" i="70"/>
  <c r="O41" i="70"/>
  <c r="B14" i="128" s="1"/>
  <c r="D14" i="128" s="1"/>
  <c r="O222" i="70"/>
  <c r="O247" i="70"/>
  <c r="T247" i="70" s="1"/>
  <c r="O284" i="70"/>
  <c r="T284" i="70" s="1"/>
  <c r="M69" i="70"/>
  <c r="O69" i="70"/>
  <c r="P28" i="70"/>
  <c r="O92" i="70"/>
  <c r="P93" i="70"/>
  <c r="O244" i="70"/>
  <c r="P11" i="70"/>
  <c r="O136" i="70"/>
  <c r="L108" i="70"/>
  <c r="M108" i="70" s="1"/>
  <c r="O110" i="70"/>
  <c r="D57" i="128"/>
  <c r="D60" i="128"/>
  <c r="M222" i="70"/>
  <c r="M106" i="70"/>
  <c r="M32" i="70"/>
  <c r="M40" i="70"/>
  <c r="M81" i="70"/>
  <c r="M58" i="70"/>
  <c r="M26" i="70"/>
  <c r="M46" i="70"/>
  <c r="M25" i="70"/>
  <c r="M94" i="70"/>
  <c r="L92" i="70"/>
  <c r="M101" i="70"/>
  <c r="M110" i="70"/>
  <c r="M36" i="70"/>
  <c r="M78" i="70"/>
  <c r="M77" i="70"/>
  <c r="M199" i="70"/>
  <c r="M104" i="70"/>
  <c r="M31" i="70"/>
  <c r="M30" i="70"/>
  <c r="M29" i="70"/>
  <c r="I242" i="70"/>
  <c r="M232" i="70"/>
  <c r="L88" i="70"/>
  <c r="M57" i="70"/>
  <c r="M18" i="70"/>
  <c r="M54" i="70"/>
  <c r="M45" i="70"/>
  <c r="M12" i="70"/>
  <c r="M41" i="70"/>
  <c r="L37" i="70"/>
  <c r="M79" i="70"/>
  <c r="M100" i="70"/>
  <c r="M67" i="70"/>
  <c r="M80" i="70"/>
  <c r="M53" i="70"/>
  <c r="L16" i="70"/>
  <c r="M33" i="70"/>
  <c r="J136" i="70"/>
  <c r="M136" i="70"/>
  <c r="J134" i="70"/>
  <c r="L134" i="70"/>
  <c r="M231" i="70"/>
  <c r="J195" i="70"/>
  <c r="L195" i="70"/>
  <c r="O195" i="70" s="1"/>
  <c r="J147" i="70"/>
  <c r="M147" i="70"/>
  <c r="J204" i="70"/>
  <c r="L204" i="70"/>
  <c r="O204" i="70" s="1"/>
  <c r="T204" i="70" s="1"/>
  <c r="J161" i="70"/>
  <c r="L161" i="70"/>
  <c r="J215" i="70"/>
  <c r="L215" i="70"/>
  <c r="J289" i="70"/>
  <c r="L289" i="70"/>
  <c r="O289" i="70" s="1"/>
  <c r="L23" i="70"/>
  <c r="J273" i="70"/>
  <c r="L273" i="70"/>
  <c r="O273" i="70" s="1"/>
  <c r="J221" i="70"/>
  <c r="L221" i="70"/>
  <c r="O221" i="70" s="1"/>
  <c r="J220" i="70"/>
  <c r="L220" i="70"/>
  <c r="M284" i="70"/>
  <c r="M14" i="70"/>
  <c r="L13" i="70"/>
  <c r="M210" i="70"/>
  <c r="J138" i="70"/>
  <c r="M138" i="70"/>
  <c r="J278" i="70"/>
  <c r="L278" i="70"/>
  <c r="O278" i="70" s="1"/>
  <c r="T278" i="70" s="1"/>
  <c r="J299" i="70"/>
  <c r="L299" i="70"/>
  <c r="J271" i="70"/>
  <c r="J244" i="70"/>
  <c r="L102" i="70"/>
  <c r="L50" i="70"/>
  <c r="J194" i="70"/>
  <c r="J205" i="70"/>
  <c r="L205" i="70"/>
  <c r="O205" i="70" s="1"/>
  <c r="J248" i="70"/>
  <c r="L248" i="70"/>
  <c r="O248" i="70" s="1"/>
  <c r="J159" i="70"/>
  <c r="J201" i="70"/>
  <c r="L98" i="70"/>
  <c r="M95" i="70"/>
  <c r="J197" i="70"/>
  <c r="L197" i="70"/>
  <c r="O197" i="70" s="1"/>
  <c r="J198" i="70"/>
  <c r="L198" i="70"/>
  <c r="O198" i="70" s="1"/>
  <c r="P198" i="70" s="1"/>
  <c r="J290" i="70"/>
  <c r="L290" i="70"/>
  <c r="O290" i="70" s="1"/>
  <c r="J160" i="70"/>
  <c r="L160" i="70"/>
  <c r="O160" i="70" s="1"/>
  <c r="J285" i="70"/>
  <c r="L285" i="70"/>
  <c r="O285" i="70" s="1"/>
  <c r="J213" i="70"/>
  <c r="L213" i="70"/>
  <c r="J294" i="70"/>
  <c r="L294" i="70"/>
  <c r="O294" i="70" s="1"/>
  <c r="P294" i="70" s="1"/>
  <c r="J211" i="70"/>
  <c r="L211" i="70"/>
  <c r="O211" i="70" s="1"/>
  <c r="J176" i="70"/>
  <c r="L176" i="70"/>
  <c r="O176" i="70" s="1"/>
  <c r="J275" i="70"/>
  <c r="L275" i="70"/>
  <c r="O275" i="70" s="1"/>
  <c r="J249" i="70"/>
  <c r="L249" i="70"/>
  <c r="M20" i="70"/>
  <c r="L19" i="70"/>
  <c r="J175" i="70"/>
  <c r="L175" i="70"/>
  <c r="J137" i="70"/>
  <c r="L137" i="70"/>
  <c r="O137" i="70" s="1"/>
  <c r="J200" i="70"/>
  <c r="L200" i="70"/>
  <c r="O200" i="70" s="1"/>
  <c r="T200" i="70" s="1"/>
  <c r="J135" i="70"/>
  <c r="M247" i="70"/>
  <c r="F143" i="70"/>
  <c r="J27" i="70"/>
  <c r="J13" i="70"/>
  <c r="J88" i="70"/>
  <c r="J218" i="70"/>
  <c r="I217" i="70"/>
  <c r="J37" i="70"/>
  <c r="J193" i="70"/>
  <c r="J293" i="70"/>
  <c r="I292" i="70"/>
  <c r="J153" i="70"/>
  <c r="I66" i="70"/>
  <c r="J277" i="70"/>
  <c r="J16" i="70"/>
  <c r="J229" i="70"/>
  <c r="J98" i="70"/>
  <c r="J95" i="70"/>
  <c r="J50" i="70"/>
  <c r="I43" i="70"/>
  <c r="J20" i="70"/>
  <c r="I19" i="70"/>
  <c r="I214" i="70"/>
  <c r="J216" i="70"/>
  <c r="J23" i="70"/>
  <c r="I22" i="70"/>
  <c r="J210" i="70"/>
  <c r="I148" i="70"/>
  <c r="J149" i="70"/>
  <c r="J284" i="70"/>
  <c r="I283" i="70"/>
  <c r="J10" i="70"/>
  <c r="I9" i="70"/>
  <c r="J247" i="70"/>
  <c r="I246" i="70"/>
  <c r="J144" i="70"/>
  <c r="J132" i="70"/>
  <c r="I130" i="70"/>
  <c r="J108" i="70"/>
  <c r="J92" i="70"/>
  <c r="I91" i="70"/>
  <c r="J34" i="70"/>
  <c r="J102" i="70"/>
  <c r="J231" i="70"/>
  <c r="I154" i="70"/>
  <c r="G19" i="70"/>
  <c r="G102" i="70"/>
  <c r="F150" i="70"/>
  <c r="G108" i="70"/>
  <c r="G66" i="70"/>
  <c r="G27" i="70"/>
  <c r="F43" i="70"/>
  <c r="G50" i="70"/>
  <c r="G154" i="70"/>
  <c r="F91" i="70"/>
  <c r="G217" i="70"/>
  <c r="G207" i="70"/>
  <c r="F9" i="70"/>
  <c r="F22" i="70"/>
  <c r="L66" i="70" l="1"/>
  <c r="T176" i="70"/>
  <c r="B64" i="128"/>
  <c r="T137" i="70"/>
  <c r="B56" i="128"/>
  <c r="D56" i="128" s="1"/>
  <c r="T92" i="70"/>
  <c r="T19" i="70"/>
  <c r="B10" i="128"/>
  <c r="D10" i="128" s="1"/>
  <c r="T34" i="70"/>
  <c r="B12" i="128"/>
  <c r="D12" i="128" s="1"/>
  <c r="T277" i="70"/>
  <c r="O276" i="70"/>
  <c r="T37" i="70"/>
  <c r="B13" i="128"/>
  <c r="D13" i="128" s="1"/>
  <c r="T98" i="70"/>
  <c r="B21" i="128"/>
  <c r="D21" i="128" s="1"/>
  <c r="P106" i="70"/>
  <c r="T106" i="70"/>
  <c r="P69" i="70"/>
  <c r="T69" i="70"/>
  <c r="P156" i="70"/>
  <c r="T156" i="70"/>
  <c r="P216" i="70"/>
  <c r="T216" i="70"/>
  <c r="P285" i="70"/>
  <c r="T285" i="70"/>
  <c r="P221" i="70"/>
  <c r="T221" i="70"/>
  <c r="O238" i="70"/>
  <c r="P238" i="70" s="1"/>
  <c r="T239" i="70"/>
  <c r="P132" i="70"/>
  <c r="T132" i="70"/>
  <c r="P30" i="70"/>
  <c r="T30" i="70"/>
  <c r="P68" i="70"/>
  <c r="T68" i="70"/>
  <c r="P110" i="70"/>
  <c r="T110" i="70"/>
  <c r="P222" i="70"/>
  <c r="T222" i="70"/>
  <c r="P275" i="70"/>
  <c r="T275" i="70"/>
  <c r="P273" i="70"/>
  <c r="T273" i="70"/>
  <c r="P195" i="70"/>
  <c r="T195" i="70"/>
  <c r="P41" i="70"/>
  <c r="T41" i="70"/>
  <c r="P82" i="70"/>
  <c r="T82" i="70"/>
  <c r="P135" i="70"/>
  <c r="T135" i="70"/>
  <c r="P290" i="70"/>
  <c r="T290" i="70"/>
  <c r="P205" i="70"/>
  <c r="T205" i="70"/>
  <c r="P136" i="70"/>
  <c r="T136" i="70"/>
  <c r="P229" i="70"/>
  <c r="T229" i="70"/>
  <c r="P211" i="70"/>
  <c r="T211" i="70"/>
  <c r="P244" i="70"/>
  <c r="T244" i="70"/>
  <c r="P12" i="70"/>
  <c r="T12" i="70"/>
  <c r="P174" i="70"/>
  <c r="T174" i="70"/>
  <c r="P248" i="70"/>
  <c r="T248" i="70"/>
  <c r="P160" i="70"/>
  <c r="T160" i="70"/>
  <c r="P289" i="70"/>
  <c r="T289" i="70"/>
  <c r="P271" i="70"/>
  <c r="T271" i="70"/>
  <c r="P197" i="70"/>
  <c r="T197" i="70"/>
  <c r="P51" i="70"/>
  <c r="T51" i="70"/>
  <c r="O193" i="70"/>
  <c r="O192" i="70" s="1"/>
  <c r="I206" i="70"/>
  <c r="O50" i="70"/>
  <c r="T50" i="70" s="1"/>
  <c r="O213" i="70"/>
  <c r="J207" i="70"/>
  <c r="L207" i="70"/>
  <c r="P99" i="70"/>
  <c r="J172" i="70"/>
  <c r="M293" i="70"/>
  <c r="M132" i="70"/>
  <c r="L148" i="70"/>
  <c r="M148" i="70" s="1"/>
  <c r="M82" i="70"/>
  <c r="M149" i="70"/>
  <c r="M193" i="70"/>
  <c r="L172" i="70"/>
  <c r="M216" i="70"/>
  <c r="O161" i="70"/>
  <c r="O230" i="70"/>
  <c r="P204" i="70"/>
  <c r="P278" i="70"/>
  <c r="L276" i="70"/>
  <c r="L262" i="70" s="1"/>
  <c r="L192" i="70"/>
  <c r="L191" i="70" s="1"/>
  <c r="O153" i="70"/>
  <c r="B63" i="128" s="1"/>
  <c r="D63" i="128" s="1"/>
  <c r="O144" i="70"/>
  <c r="P145" i="70"/>
  <c r="J230" i="70"/>
  <c r="J283" i="70"/>
  <c r="J217" i="70"/>
  <c r="J214" i="70"/>
  <c r="I191" i="70"/>
  <c r="J148" i="70"/>
  <c r="I262" i="70"/>
  <c r="I228" i="70" s="1"/>
  <c r="L144" i="70"/>
  <c r="L143" i="70" s="1"/>
  <c r="M145" i="70"/>
  <c r="J66" i="70"/>
  <c r="J292" i="70"/>
  <c r="J242" i="70"/>
  <c r="J154" i="70"/>
  <c r="J246" i="70"/>
  <c r="J19" i="70"/>
  <c r="P239" i="70"/>
  <c r="O269" i="70"/>
  <c r="J276" i="70"/>
  <c r="M238" i="70"/>
  <c r="M269" i="70"/>
  <c r="M277" i="70"/>
  <c r="D70" i="128"/>
  <c r="M229" i="70"/>
  <c r="O10" i="70"/>
  <c r="P34" i="70"/>
  <c r="P200" i="70"/>
  <c r="P201" i="70"/>
  <c r="M10" i="70"/>
  <c r="M249" i="70"/>
  <c r="O249" i="70"/>
  <c r="P249" i="70" s="1"/>
  <c r="O27" i="70"/>
  <c r="P23" i="70"/>
  <c r="P137" i="70"/>
  <c r="D64" i="128"/>
  <c r="P176" i="70"/>
  <c r="P293" i="70"/>
  <c r="O292" i="70"/>
  <c r="T292" i="70" s="1"/>
  <c r="P98" i="70"/>
  <c r="P19" i="70"/>
  <c r="P102" i="70"/>
  <c r="O175" i="70"/>
  <c r="O283" i="70"/>
  <c r="P284" i="70"/>
  <c r="O242" i="70"/>
  <c r="O88" i="70"/>
  <c r="B18" i="128" s="1"/>
  <c r="D18" i="128" s="1"/>
  <c r="O299" i="70"/>
  <c r="B82" i="128" s="1"/>
  <c r="D82" i="128" s="1"/>
  <c r="P247" i="70"/>
  <c r="P210" i="70"/>
  <c r="O215" i="70"/>
  <c r="T215" i="70" s="1"/>
  <c r="O134" i="70"/>
  <c r="T134" i="70" s="1"/>
  <c r="O91" i="70"/>
  <c r="P92" i="70"/>
  <c r="O13" i="70"/>
  <c r="P14" i="70"/>
  <c r="P16" i="70"/>
  <c r="P277" i="70"/>
  <c r="P149" i="70"/>
  <c r="O148" i="70"/>
  <c r="O66" i="70"/>
  <c r="B17" i="128" s="1"/>
  <c r="D17" i="128" s="1"/>
  <c r="P231" i="70"/>
  <c r="O220" i="70"/>
  <c r="T220" i="70" s="1"/>
  <c r="P37" i="70"/>
  <c r="O108" i="70"/>
  <c r="M92" i="70"/>
  <c r="M102" i="70"/>
  <c r="M134" i="70"/>
  <c r="M200" i="70"/>
  <c r="M160" i="70"/>
  <c r="M221" i="70"/>
  <c r="M176" i="70"/>
  <c r="M290" i="70"/>
  <c r="M248" i="70"/>
  <c r="M213" i="70"/>
  <c r="M98" i="70"/>
  <c r="M135" i="70"/>
  <c r="M201" i="70"/>
  <c r="M275" i="70"/>
  <c r="L130" i="70"/>
  <c r="M161" i="70"/>
  <c r="M88" i="70"/>
  <c r="M137" i="70"/>
  <c r="M273" i="70"/>
  <c r="M204" i="70"/>
  <c r="M289" i="70"/>
  <c r="M211" i="70"/>
  <c r="M198" i="70"/>
  <c r="M205" i="70"/>
  <c r="M13" i="70"/>
  <c r="M16" i="70"/>
  <c r="M197" i="70"/>
  <c r="M278" i="70"/>
  <c r="M285" i="70"/>
  <c r="M294" i="70"/>
  <c r="L91" i="70"/>
  <c r="M37" i="70"/>
  <c r="M299" i="70"/>
  <c r="L283" i="70"/>
  <c r="M195" i="70"/>
  <c r="J143" i="70"/>
  <c r="M159" i="70"/>
  <c r="L154" i="70"/>
  <c r="M244" i="70"/>
  <c r="M271" i="70"/>
  <c r="L246" i="70"/>
  <c r="M66" i="70"/>
  <c r="M230" i="70"/>
  <c r="L6" i="70"/>
  <c r="M220" i="70"/>
  <c r="L217" i="70"/>
  <c r="M215" i="70"/>
  <c r="L214" i="70"/>
  <c r="M175" i="70"/>
  <c r="M23" i="70"/>
  <c r="M194" i="70"/>
  <c r="L292" i="70"/>
  <c r="L9" i="70"/>
  <c r="M19" i="70"/>
  <c r="M50" i="70"/>
  <c r="L43" i="70"/>
  <c r="L27" i="70"/>
  <c r="I6" i="70"/>
  <c r="I150" i="70"/>
  <c r="J22" i="70"/>
  <c r="J192" i="70"/>
  <c r="J43" i="70"/>
  <c r="I42" i="70"/>
  <c r="J9" i="70"/>
  <c r="J91" i="70"/>
  <c r="J130" i="70"/>
  <c r="G43" i="70"/>
  <c r="F42" i="70"/>
  <c r="P50" i="70" l="1"/>
  <c r="O262" i="70"/>
  <c r="B77" i="128" s="1"/>
  <c r="D77" i="128" s="1"/>
  <c r="O43" i="70"/>
  <c r="B16" i="128" s="1"/>
  <c r="D16" i="128" s="1"/>
  <c r="T91" i="70"/>
  <c r="B19" i="128"/>
  <c r="B20" i="128" s="1"/>
  <c r="D20" i="128" s="1"/>
  <c r="T148" i="70"/>
  <c r="B61" i="128"/>
  <c r="D61" i="128" s="1"/>
  <c r="T238" i="70"/>
  <c r="B73" i="128"/>
  <c r="D73" i="128" s="1"/>
  <c r="T230" i="70"/>
  <c r="B71" i="128"/>
  <c r="D71" i="128" s="1"/>
  <c r="T43" i="70"/>
  <c r="B55" i="128"/>
  <c r="D55" i="128" s="1"/>
  <c r="T242" i="70"/>
  <c r="B74" i="128"/>
  <c r="T144" i="70"/>
  <c r="B59" i="128"/>
  <c r="T283" i="70"/>
  <c r="B79" i="128"/>
  <c r="D79" i="128" s="1"/>
  <c r="P108" i="70"/>
  <c r="T108" i="70"/>
  <c r="P13" i="70"/>
  <c r="T13" i="70"/>
  <c r="O22" i="70"/>
  <c r="T27" i="70"/>
  <c r="P153" i="70"/>
  <c r="T153" i="70"/>
  <c r="O172" i="70"/>
  <c r="T172" i="70" s="1"/>
  <c r="T175" i="70"/>
  <c r="O207" i="70"/>
  <c r="T207" i="70" s="1"/>
  <c r="T213" i="70"/>
  <c r="P269" i="70"/>
  <c r="T269" i="70"/>
  <c r="P66" i="70"/>
  <c r="T66" i="70"/>
  <c r="P193" i="70"/>
  <c r="T193" i="70"/>
  <c r="P299" i="70"/>
  <c r="T299" i="70"/>
  <c r="P10" i="70"/>
  <c r="T10" i="70"/>
  <c r="P161" i="70"/>
  <c r="T161" i="70"/>
  <c r="O191" i="70"/>
  <c r="T192" i="70"/>
  <c r="P88" i="70"/>
  <c r="T88" i="70"/>
  <c r="L206" i="70"/>
  <c r="J206" i="70"/>
  <c r="P213" i="70"/>
  <c r="P144" i="70"/>
  <c r="L150" i="70"/>
  <c r="P148" i="70"/>
  <c r="L228" i="70"/>
  <c r="O143" i="70"/>
  <c r="J191" i="70"/>
  <c r="J150" i="70"/>
  <c r="I107" i="70"/>
  <c r="D59" i="128"/>
  <c r="M144" i="70"/>
  <c r="J6" i="70"/>
  <c r="B157" i="128"/>
  <c r="O246" i="70"/>
  <c r="B75" i="128" s="1"/>
  <c r="D75" i="128" s="1"/>
  <c r="P175" i="70"/>
  <c r="P194" i="70"/>
  <c r="O42" i="70"/>
  <c r="P43" i="70"/>
  <c r="P220" i="70"/>
  <c r="O217" i="70"/>
  <c r="P292" i="70"/>
  <c r="O214" i="70"/>
  <c r="P215" i="70"/>
  <c r="P230" i="70"/>
  <c r="P159" i="70"/>
  <c r="O154" i="70"/>
  <c r="T154" i="70" s="1"/>
  <c r="O6" i="70"/>
  <c r="B7" i="128" s="1"/>
  <c r="D7" i="128" s="1"/>
  <c r="P91" i="70"/>
  <c r="P242" i="70"/>
  <c r="O9" i="70"/>
  <c r="B9" i="128" s="1"/>
  <c r="D9" i="128" s="1"/>
  <c r="P27" i="70"/>
  <c r="P134" i="70"/>
  <c r="O130" i="70"/>
  <c r="P283" i="70"/>
  <c r="D74" i="128"/>
  <c r="M217" i="70"/>
  <c r="M292" i="70"/>
  <c r="M143" i="70"/>
  <c r="M283" i="70"/>
  <c r="M246" i="70"/>
  <c r="M9" i="70"/>
  <c r="M172" i="70"/>
  <c r="M91" i="70"/>
  <c r="M6" i="70"/>
  <c r="M276" i="70"/>
  <c r="M27" i="70"/>
  <c r="M130" i="70"/>
  <c r="M214" i="70"/>
  <c r="M207" i="70"/>
  <c r="M154" i="70"/>
  <c r="M192" i="70"/>
  <c r="M43" i="70"/>
  <c r="L42" i="70"/>
  <c r="M242" i="70"/>
  <c r="L22" i="70"/>
  <c r="J42" i="70"/>
  <c r="J262" i="70"/>
  <c r="J228" i="70"/>
  <c r="F107" i="70"/>
  <c r="P172" i="70" l="1"/>
  <c r="D19" i="128"/>
  <c r="T42" i="70"/>
  <c r="B15" i="128"/>
  <c r="T22" i="70"/>
  <c r="B11" i="128"/>
  <c r="T191" i="70"/>
  <c r="B67" i="128"/>
  <c r="D67" i="128" s="1"/>
  <c r="T130" i="70"/>
  <c r="B54" i="128"/>
  <c r="D54" i="128" s="1"/>
  <c r="P214" i="70"/>
  <c r="T214" i="70"/>
  <c r="P217" i="70"/>
  <c r="T217" i="70"/>
  <c r="P9" i="70"/>
  <c r="T9" i="70"/>
  <c r="P6" i="70"/>
  <c r="T6" i="70"/>
  <c r="P143" i="70"/>
  <c r="T143" i="70"/>
  <c r="P207" i="70"/>
  <c r="P246" i="70"/>
  <c r="T246" i="70"/>
  <c r="P22" i="70"/>
  <c r="T262" i="70"/>
  <c r="T276" i="70"/>
  <c r="O206" i="70"/>
  <c r="P206" i="70" s="1"/>
  <c r="P276" i="70"/>
  <c r="I124" i="70"/>
  <c r="F124" i="70"/>
  <c r="P42" i="70"/>
  <c r="O107" i="70"/>
  <c r="P154" i="70"/>
  <c r="O150" i="70"/>
  <c r="P262" i="70"/>
  <c r="P130" i="70"/>
  <c r="P192" i="70"/>
  <c r="P191" i="70"/>
  <c r="D15" i="128"/>
  <c r="M42" i="70"/>
  <c r="M262" i="70"/>
  <c r="M191" i="70"/>
  <c r="M150" i="70"/>
  <c r="M206" i="70"/>
  <c r="M22" i="70"/>
  <c r="L107" i="70"/>
  <c r="J107" i="70"/>
  <c r="T150" i="70" l="1"/>
  <c r="B62" i="128"/>
  <c r="T206" i="70"/>
  <c r="B68" i="128"/>
  <c r="D68" i="128" s="1"/>
  <c r="O228" i="70"/>
  <c r="T107" i="70"/>
  <c r="P150" i="70"/>
  <c r="J124" i="70"/>
  <c r="B6" i="128"/>
  <c r="O124" i="70"/>
  <c r="T124" i="70" s="1"/>
  <c r="P107" i="70"/>
  <c r="D11" i="128"/>
  <c r="M228" i="70"/>
  <c r="L124" i="70"/>
  <c r="M107" i="70"/>
  <c r="T228" i="70" l="1"/>
  <c r="B69" i="128"/>
  <c r="B53" i="128" s="1"/>
  <c r="B66" i="128"/>
  <c r="D66" i="128" s="1"/>
  <c r="D62" i="128"/>
  <c r="P228" i="70"/>
  <c r="P124" i="70"/>
  <c r="B153" i="128"/>
  <c r="D6" i="128"/>
  <c r="M124" i="70"/>
  <c r="D69" i="128" l="1"/>
  <c r="B81" i="128"/>
  <c r="D81" i="128" s="1"/>
  <c r="B156" i="128"/>
  <c r="B158" i="128" s="1"/>
  <c r="D53" i="128"/>
  <c r="G172" i="70" l="1"/>
  <c r="G242" i="70"/>
  <c r="G292" i="70"/>
  <c r="G280" i="70"/>
  <c r="G250" i="70"/>
  <c r="G246" i="70"/>
  <c r="G228" i="70" l="1"/>
  <c r="G283" i="70"/>
  <c r="G234" i="70"/>
  <c r="G37" i="70" l="1"/>
  <c r="G88" i="70"/>
  <c r="G95" i="70"/>
  <c r="G34" i="70"/>
  <c r="G22" i="70" l="1"/>
  <c r="G148" i="70" l="1"/>
  <c r="G295" i="70" l="1"/>
  <c r="G42" i="70" l="1"/>
  <c r="G92" i="70" l="1"/>
  <c r="G98" i="70" l="1"/>
  <c r="G91" i="70" l="1"/>
  <c r="G10" i="70" l="1"/>
  <c r="G214" i="70" l="1"/>
  <c r="G206" i="70" s="1"/>
  <c r="G230" i="70" l="1"/>
  <c r="F140" i="70" l="1"/>
  <c r="I140" i="70" l="1"/>
  <c r="F298" i="70"/>
  <c r="F300" i="70" s="1"/>
  <c r="F301" i="70" s="1"/>
  <c r="G140" i="70"/>
  <c r="G143" i="70"/>
  <c r="L140" i="70" l="1"/>
  <c r="I298" i="70"/>
  <c r="J140" i="70"/>
  <c r="O140" i="70" l="1"/>
  <c r="P140" i="70" s="1"/>
  <c r="L298" i="70"/>
  <c r="L300" i="70" s="1"/>
  <c r="L301" i="70" s="1"/>
  <c r="I300" i="70"/>
  <c r="J300" i="70" s="1"/>
  <c r="J298" i="70"/>
  <c r="M140" i="70"/>
  <c r="G150" i="70"/>
  <c r="O298" i="70" l="1"/>
  <c r="I301" i="70"/>
  <c r="M300" i="70"/>
  <c r="M298" i="70"/>
  <c r="B160" i="128"/>
  <c r="O300" i="70" l="1"/>
  <c r="P300" i="70" s="1"/>
  <c r="T298" i="70"/>
  <c r="P298" i="70"/>
  <c r="O301" i="70"/>
  <c r="T301" i="70" s="1"/>
  <c r="J301" i="70"/>
  <c r="M301" i="70"/>
  <c r="T300" i="70" l="1"/>
  <c r="B84" i="128"/>
  <c r="P301" i="70"/>
  <c r="G130" i="70"/>
  <c r="G298" i="70" s="1"/>
  <c r="G16" i="70" l="1"/>
  <c r="G13" i="70" l="1"/>
  <c r="G9" i="70"/>
  <c r="G6" i="70"/>
  <c r="G107" i="70" l="1"/>
  <c r="G124" i="70"/>
  <c r="G300" i="70" l="1"/>
  <c r="G301" i="70" l="1"/>
  <c r="L4" i="143" l="1"/>
  <c r="L5" i="143" l="1"/>
  <c r="N4" i="143"/>
  <c r="M4" i="143"/>
  <c r="M5" i="143" s="1"/>
  <c r="L8" i="143" l="1"/>
  <c r="L11" i="143" s="1"/>
  <c r="N5" i="143"/>
  <c r="K80" i="143" l="1"/>
  <c r="K29" i="143" s="1"/>
  <c r="I80" i="143"/>
  <c r="L13" i="143" l="1"/>
  <c r="I29" i="143"/>
  <c r="I160" i="143"/>
  <c r="I163" i="143" s="1"/>
  <c r="K163" i="143"/>
  <c r="K30" i="143" s="1"/>
  <c r="K35" i="143" l="1"/>
  <c r="L14" i="143"/>
  <c r="L15" i="143" s="1"/>
  <c r="I30" i="143"/>
  <c r="I35" i="143" s="1"/>
  <c r="L19" i="143" l="1"/>
  <c r="L25" i="1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Baiba Kanča</author>
    <author>Sarmīte Mūze</author>
    <author>tc={712FF9CB-9A1B-4EC0-9195-561C5058F9CD}</author>
  </authors>
  <commentList>
    <comment ref="F42" authorId="0" shapeId="0" xr:uid="{74B36B5A-F8E1-4D09-817E-9977FD515D32}">
      <text>
        <r>
          <rPr>
            <b/>
            <sz val="9"/>
            <color indexed="81"/>
            <rFont val="Tahoma"/>
            <family val="2"/>
            <charset val="186"/>
          </rPr>
          <t>Baiba Kanča:</t>
        </r>
        <r>
          <rPr>
            <sz val="9"/>
            <color indexed="81"/>
            <rFont val="Tahoma"/>
            <family val="2"/>
            <charset val="186"/>
          </rPr>
          <t xml:space="preserve">
Izveidot jaunu nodaļu!</t>
        </r>
      </text>
    </comment>
    <comment ref="H42" authorId="1" shapeId="0" xr:uid="{479171C6-02FC-462A-806C-FD73C1BE2E9D}">
      <text>
        <r>
          <rPr>
            <b/>
            <sz val="9"/>
            <color indexed="81"/>
            <rFont val="Tahoma"/>
            <family val="2"/>
            <charset val="186"/>
          </rPr>
          <t>Sarmīte Mūze:</t>
        </r>
        <r>
          <rPr>
            <sz val="9"/>
            <color indexed="81"/>
            <rFont val="Tahoma"/>
            <family val="2"/>
            <charset val="186"/>
          </rPr>
          <t xml:space="preserve">
Trūkst būvuzraudzība</t>
        </r>
      </text>
    </comment>
    <comment ref="I45" authorId="1" shapeId="0" xr:uid="{8EB205B1-D5BC-456F-9E58-C564F7B3CE31}">
      <text>
        <r>
          <rPr>
            <b/>
            <sz val="9"/>
            <color indexed="81"/>
            <rFont val="Tahoma"/>
            <family val="2"/>
            <charset val="186"/>
          </rPr>
          <t>Sarmīte Mūze:</t>
        </r>
        <r>
          <rPr>
            <sz val="9"/>
            <color indexed="81"/>
            <rFont val="Tahoma"/>
            <family val="2"/>
            <charset val="186"/>
          </rPr>
          <t xml:space="preserve">
Jāsaprot summa!</t>
        </r>
      </text>
    </comment>
    <comment ref="I46" authorId="1" shapeId="0" xr:uid="{D9755E93-1997-46B5-90BE-5203F2119A11}">
      <text>
        <r>
          <rPr>
            <b/>
            <sz val="9"/>
            <color indexed="81"/>
            <rFont val="Tahoma"/>
            <family val="2"/>
            <charset val="186"/>
          </rPr>
          <t>Sarmīte Mūze:</t>
        </r>
        <r>
          <rPr>
            <sz val="9"/>
            <color indexed="81"/>
            <rFont val="Tahoma"/>
            <family val="2"/>
            <charset val="186"/>
          </rPr>
          <t xml:space="preserve">
Jāsaprot summ!</t>
        </r>
      </text>
    </comment>
    <comment ref="H70" authorId="1" shapeId="0" xr:uid="{7B09C05F-7B7E-43EB-8B36-A374B9AAD72A}">
      <text>
        <r>
          <rPr>
            <b/>
            <sz val="9"/>
            <color indexed="81"/>
            <rFont val="Tahoma"/>
            <family val="2"/>
            <charset val="186"/>
          </rPr>
          <t>Sarmīte Mūze:</t>
        </r>
        <r>
          <rPr>
            <sz val="9"/>
            <color indexed="81"/>
            <rFont val="Tahoma"/>
            <family val="2"/>
            <charset val="186"/>
          </rPr>
          <t xml:space="preserve">
KA</t>
        </r>
      </text>
    </comment>
    <comment ref="K104" authorId="1" shapeId="0" xr:uid="{F8B6F64E-8992-442D-98BA-5C5827049D55}">
      <text>
        <r>
          <rPr>
            <b/>
            <sz val="9"/>
            <color indexed="81"/>
            <rFont val="Tahoma"/>
            <family val="2"/>
            <charset val="186"/>
          </rPr>
          <t>Sarmīte Mūze:</t>
        </r>
        <r>
          <rPr>
            <sz val="9"/>
            <color indexed="81"/>
            <rFont val="Tahoma"/>
            <family val="2"/>
            <charset val="186"/>
          </rPr>
          <t xml:space="preserve">
Pārcelt uz 2025.
Zemsvītras</t>
        </r>
      </text>
    </comment>
    <comment ref="K105" authorId="1" shapeId="0" xr:uid="{2401BC0C-5A71-4ABB-9246-06E7B4CE3618}">
      <text>
        <r>
          <rPr>
            <b/>
            <sz val="9"/>
            <color indexed="81"/>
            <rFont val="Tahoma"/>
            <family val="2"/>
            <charset val="186"/>
          </rPr>
          <t>Sarmīte Mūze:</t>
        </r>
        <r>
          <rPr>
            <sz val="9"/>
            <color indexed="81"/>
            <rFont val="Tahoma"/>
            <family val="2"/>
            <charset val="186"/>
          </rPr>
          <t xml:space="preserve">
Zemsvītras</t>
        </r>
      </text>
    </comment>
    <comment ref="K178" authorId="1" shapeId="0" xr:uid="{03CFDE97-F6ED-46FB-9DF7-C1EC9D5BC8BD}">
      <text>
        <r>
          <rPr>
            <b/>
            <sz val="9"/>
            <color indexed="81"/>
            <rFont val="Tahoma"/>
            <family val="2"/>
            <charset val="186"/>
          </rPr>
          <t>Sarmīte Mūze:</t>
        </r>
        <r>
          <rPr>
            <sz val="9"/>
            <color indexed="81"/>
            <rFont val="Tahoma"/>
            <family val="2"/>
            <charset val="186"/>
          </rPr>
          <t xml:space="preserve">
Zemsvītras</t>
        </r>
      </text>
    </comment>
    <comment ref="K200" authorId="1" shapeId="0" xr:uid="{2842D05D-8840-4ACF-93B9-6E9219FB0E83}">
      <text>
        <r>
          <rPr>
            <b/>
            <sz val="9"/>
            <color indexed="81"/>
            <rFont val="Tahoma"/>
            <family val="2"/>
            <charset val="186"/>
          </rPr>
          <t>Sarmīte Mūze:</t>
        </r>
        <r>
          <rPr>
            <sz val="9"/>
            <color indexed="81"/>
            <rFont val="Tahoma"/>
            <family val="2"/>
            <charset val="186"/>
          </rPr>
          <t xml:space="preserve">
Pēc epasta, ielikts arī zem svītras</t>
        </r>
      </text>
    </comment>
    <comment ref="K225" authorId="1" shapeId="0" xr:uid="{DD458308-2D50-4FC6-80F9-79341ACD44DC}">
      <text>
        <r>
          <rPr>
            <b/>
            <sz val="9"/>
            <color indexed="81"/>
            <rFont val="Tahoma"/>
            <family val="2"/>
            <charset val="186"/>
          </rPr>
          <t>Sarmīte Mūze:</t>
        </r>
        <r>
          <rPr>
            <sz val="9"/>
            <color indexed="81"/>
            <rFont val="Tahoma"/>
            <family val="2"/>
            <charset val="186"/>
          </rPr>
          <t xml:space="preserve">
Pēc epasta, ielikts arī zem svītras</t>
        </r>
      </text>
    </comment>
    <comment ref="K239" authorId="1" shapeId="0" xr:uid="{5714D4B5-AB68-4823-83F5-3748545F4996}">
      <text>
        <r>
          <rPr>
            <b/>
            <sz val="9"/>
            <color indexed="81"/>
            <rFont val="Tahoma"/>
            <family val="2"/>
            <charset val="186"/>
          </rPr>
          <t>Sarmīte Mūze:</t>
        </r>
        <r>
          <rPr>
            <sz val="9"/>
            <color indexed="81"/>
            <rFont val="Tahoma"/>
            <family val="2"/>
            <charset val="186"/>
          </rPr>
          <t xml:space="preserve">
Pēc epasta, ielikts arī zem svītras</t>
        </r>
      </text>
    </comment>
    <comment ref="K256" authorId="1" shapeId="0" xr:uid="{60BF0408-FF1F-42A7-AAB8-96FC164AE6A9}">
      <text>
        <r>
          <rPr>
            <b/>
            <sz val="9"/>
            <color indexed="81"/>
            <rFont val="Tahoma"/>
            <family val="2"/>
            <charset val="186"/>
          </rPr>
          <t>Sarmīte Mūze:</t>
        </r>
        <r>
          <rPr>
            <sz val="9"/>
            <color indexed="81"/>
            <rFont val="Tahoma"/>
            <family val="2"/>
            <charset val="186"/>
          </rPr>
          <t xml:space="preserve">
Zemsvītras</t>
        </r>
      </text>
    </comment>
    <comment ref="K281" authorId="1" shapeId="0" xr:uid="{45D15AF9-E027-49D7-BCD9-C4B06F658616}">
      <text>
        <r>
          <rPr>
            <b/>
            <sz val="9"/>
            <color indexed="81"/>
            <rFont val="Tahoma"/>
            <family val="2"/>
            <charset val="186"/>
          </rPr>
          <t>Sarmīte Mūze:</t>
        </r>
        <r>
          <rPr>
            <sz val="9"/>
            <color indexed="81"/>
            <rFont val="Tahoma"/>
            <family val="2"/>
            <charset val="186"/>
          </rPr>
          <t xml:space="preserve">
Zemsvītras
</t>
        </r>
      </text>
    </comment>
    <comment ref="K288" authorId="1" shapeId="0" xr:uid="{F302259F-1BF5-40FB-9C25-1196E1DC8A1B}">
      <text>
        <r>
          <rPr>
            <b/>
            <sz val="9"/>
            <color indexed="81"/>
            <rFont val="Tahoma"/>
            <family val="2"/>
            <charset val="186"/>
          </rPr>
          <t>Sarmīte Mūze:</t>
        </r>
        <r>
          <rPr>
            <sz val="9"/>
            <color indexed="81"/>
            <rFont val="Tahoma"/>
            <family val="2"/>
            <charset val="186"/>
          </rPr>
          <t xml:space="preserve">
1. Zemsvītras</t>
        </r>
      </text>
    </comment>
    <comment ref="K304" authorId="2" shapeId="0" xr:uid="{712FF9CB-9A1B-4EC0-9195-561C5058F9CD}">
      <text>
        <t>[Threaded comment]
Your version of Excel allows you to read this threaded comment; however, any edits to it will get removed if the file is opened in a newer version of Excel. Learn more: https://go.microsoft.com/fwlink/?linkid=870924
Comment:
    2. Zemsvītras</t>
      </text>
    </comment>
    <comment ref="I306" authorId="0" shapeId="0" xr:uid="{990E31AE-F5CF-48FE-9363-8F9035B487EE}">
      <text>
        <r>
          <rPr>
            <b/>
            <sz val="9"/>
            <color indexed="81"/>
            <rFont val="Tahoma"/>
            <family val="2"/>
            <charset val="186"/>
          </rPr>
          <t>Baiba Kanča:</t>
        </r>
        <r>
          <rPr>
            <sz val="9"/>
            <color indexed="81"/>
            <rFont val="Tahoma"/>
            <family val="2"/>
            <charset val="186"/>
          </rPr>
          <t xml:space="preserve">
atkārtojas</t>
        </r>
      </text>
    </comment>
    <comment ref="K317" authorId="1" shapeId="0" xr:uid="{15E7FCEB-F317-4B05-8477-4F6DBA5E6576}">
      <text>
        <r>
          <rPr>
            <b/>
            <sz val="9"/>
            <color indexed="81"/>
            <rFont val="Tahoma"/>
            <family val="2"/>
            <charset val="186"/>
          </rPr>
          <t>Sarmīte Mūze:</t>
        </r>
        <r>
          <rPr>
            <sz val="9"/>
            <color indexed="81"/>
            <rFont val="Tahoma"/>
            <family val="2"/>
            <charset val="186"/>
          </rPr>
          <t xml:space="preserve">
Zemsvītras</t>
        </r>
      </text>
    </comment>
    <comment ref="K320" authorId="1" shapeId="0" xr:uid="{A905A0FE-A948-4BBC-93A5-B700CB6CDD6F}">
      <text>
        <r>
          <rPr>
            <b/>
            <sz val="9"/>
            <color indexed="81"/>
            <rFont val="Tahoma"/>
            <family val="2"/>
            <charset val="186"/>
          </rPr>
          <t>Sarmīte Mūze:</t>
        </r>
        <r>
          <rPr>
            <sz val="9"/>
            <color indexed="81"/>
            <rFont val="Tahoma"/>
            <family val="2"/>
            <charset val="186"/>
          </rPr>
          <t xml:space="preserve">
2024. avanss un vēl 1s maksājums</t>
        </r>
      </text>
    </comment>
    <comment ref="H328" authorId="1" shapeId="0" xr:uid="{6D070F0F-521E-453C-9AE2-F268566F05B8}">
      <text>
        <r>
          <rPr>
            <b/>
            <sz val="9"/>
            <color indexed="81"/>
            <rFont val="Tahoma"/>
            <family val="2"/>
            <charset val="186"/>
          </rPr>
          <t>Sarmīte Mūze:</t>
        </r>
        <r>
          <rPr>
            <sz val="9"/>
            <color indexed="81"/>
            <rFont val="Tahoma"/>
            <family val="2"/>
            <charset val="186"/>
          </rPr>
          <t xml:space="preserve">
Ir jau pie CKS pārvaldes</t>
        </r>
      </text>
    </comment>
    <comment ref="K331" authorId="1" shapeId="0" xr:uid="{06168D3F-D0DB-4DAB-9A4C-AB869926C1A0}">
      <text>
        <r>
          <rPr>
            <b/>
            <sz val="9"/>
            <color indexed="81"/>
            <rFont val="Tahoma"/>
            <family val="2"/>
            <charset val="186"/>
          </rPr>
          <t>Sarmīte Mūze:</t>
        </r>
        <r>
          <rPr>
            <sz val="9"/>
            <color indexed="81"/>
            <rFont val="Tahoma"/>
            <family val="2"/>
            <charset val="186"/>
          </rPr>
          <t xml:space="preserve">
2. Zemsvītras</t>
        </r>
      </text>
    </comment>
    <comment ref="K333" authorId="1" shapeId="0" xr:uid="{537319B7-AD4D-4680-8162-477B2F9CB1C9}">
      <text>
        <r>
          <rPr>
            <b/>
            <sz val="9"/>
            <color indexed="81"/>
            <rFont val="Tahoma"/>
            <family val="2"/>
            <charset val="186"/>
          </rPr>
          <t>Sarmīte Mūze:</t>
        </r>
        <r>
          <rPr>
            <sz val="9"/>
            <color indexed="81"/>
            <rFont val="Tahoma"/>
            <family val="2"/>
            <charset val="186"/>
          </rPr>
          <t xml:space="preserve">
6. Zemsvītras</t>
        </r>
      </text>
    </comment>
    <comment ref="K334" authorId="1" shapeId="0" xr:uid="{393F7056-F362-40BE-BDD1-A77B8684D776}">
      <text>
        <r>
          <rPr>
            <b/>
            <sz val="9"/>
            <color indexed="81"/>
            <rFont val="Tahoma"/>
            <family val="2"/>
            <charset val="186"/>
          </rPr>
          <t>Sarmīte Mūze:</t>
        </r>
        <r>
          <rPr>
            <sz val="9"/>
            <color indexed="81"/>
            <rFont val="Tahoma"/>
            <family val="2"/>
            <charset val="186"/>
          </rPr>
          <t xml:space="preserve">
7. Zemsvītras</t>
        </r>
      </text>
    </comment>
    <comment ref="K336" authorId="1" shapeId="0" xr:uid="{A571B009-9FAE-42E9-B8E5-2025B4061499}">
      <text>
        <r>
          <rPr>
            <b/>
            <sz val="9"/>
            <color indexed="81"/>
            <rFont val="Tahoma"/>
            <family val="2"/>
            <charset val="186"/>
          </rPr>
          <t>Sarmīte Mūze:</t>
        </r>
        <r>
          <rPr>
            <sz val="9"/>
            <color indexed="81"/>
            <rFont val="Tahoma"/>
            <family val="2"/>
            <charset val="186"/>
          </rPr>
          <t xml:space="preserve">
8. Zemsvītras</t>
        </r>
      </text>
    </comment>
    <comment ref="K364" authorId="1" shapeId="0" xr:uid="{F6BFACD9-85ED-4D64-B211-2C091E1FA4DB}">
      <text>
        <r>
          <rPr>
            <b/>
            <sz val="9"/>
            <color indexed="81"/>
            <rFont val="Tahoma"/>
            <family val="2"/>
            <charset val="186"/>
          </rPr>
          <t>Sarmīte Mūze:</t>
        </r>
        <r>
          <rPr>
            <sz val="9"/>
            <color indexed="81"/>
            <rFont val="Tahoma"/>
            <family val="2"/>
            <charset val="186"/>
          </rPr>
          <t xml:space="preserve">
Pārcelt uz 2025.
Zemsvītras</t>
        </r>
      </text>
    </comment>
    <comment ref="K366" authorId="1" shapeId="0" xr:uid="{30C685E0-F0A3-4FE7-B3C1-842B4B988A62}">
      <text>
        <r>
          <rPr>
            <b/>
            <sz val="9"/>
            <color indexed="81"/>
            <rFont val="Tahoma"/>
            <family val="2"/>
            <charset val="186"/>
          </rPr>
          <t>Sarmīte Mūze:</t>
        </r>
        <r>
          <rPr>
            <sz val="9"/>
            <color indexed="81"/>
            <rFont val="Tahoma"/>
            <family val="2"/>
            <charset val="186"/>
          </rPr>
          <t xml:space="preserve">
Pēc epasta, ielikts arī zem svītras</t>
        </r>
      </text>
    </comment>
    <comment ref="K367" authorId="1" shapeId="0" xr:uid="{D879E5CA-511C-447B-B388-7F42F1E4C1B5}">
      <text>
        <r>
          <rPr>
            <b/>
            <sz val="9"/>
            <color indexed="81"/>
            <rFont val="Tahoma"/>
            <family val="2"/>
            <charset val="186"/>
          </rPr>
          <t>Sarmīte Mūze:</t>
        </r>
        <r>
          <rPr>
            <sz val="9"/>
            <color indexed="81"/>
            <rFont val="Tahoma"/>
            <family val="2"/>
            <charset val="186"/>
          </rPr>
          <t xml:space="preserve">
Pēc epasta, ielikts arī zem svītras</t>
        </r>
      </text>
    </comment>
    <comment ref="K368" authorId="1" shapeId="0" xr:uid="{61E877C5-210B-4683-940E-F8C41A43344A}">
      <text>
        <r>
          <rPr>
            <b/>
            <sz val="9"/>
            <color indexed="81"/>
            <rFont val="Tahoma"/>
            <family val="2"/>
            <charset val="186"/>
          </rPr>
          <t>Sarmīte Mūze:</t>
        </r>
        <r>
          <rPr>
            <sz val="9"/>
            <color indexed="81"/>
            <rFont val="Tahoma"/>
            <family val="2"/>
            <charset val="186"/>
          </rPr>
          <t xml:space="preserve">
Pēc epasta, ielikts arī zem svītras</t>
        </r>
      </text>
    </comment>
    <comment ref="K369" authorId="1" shapeId="0" xr:uid="{23958406-9A1A-4CC5-88B1-EC719FE1253D}">
      <text>
        <r>
          <rPr>
            <b/>
            <sz val="9"/>
            <color indexed="81"/>
            <rFont val="Tahoma"/>
            <family val="2"/>
            <charset val="186"/>
          </rPr>
          <t>Sarmīte Mūze:</t>
        </r>
        <r>
          <rPr>
            <sz val="9"/>
            <color indexed="81"/>
            <rFont val="Tahoma"/>
            <family val="2"/>
            <charset val="186"/>
          </rPr>
          <t xml:space="preserve">
Zemsvītras</t>
        </r>
      </text>
    </comment>
    <comment ref="K370" authorId="1" shapeId="0" xr:uid="{C5C0356E-981A-4C10-B001-5F619DBAFB18}">
      <text>
        <r>
          <rPr>
            <b/>
            <sz val="9"/>
            <color indexed="81"/>
            <rFont val="Tahoma"/>
            <family val="2"/>
            <charset val="186"/>
          </rPr>
          <t>Sarmīte Mūze:</t>
        </r>
        <r>
          <rPr>
            <sz val="9"/>
            <color indexed="81"/>
            <rFont val="Tahoma"/>
            <family val="2"/>
            <charset val="186"/>
          </rPr>
          <t xml:space="preserve">
Zemsvītras
</t>
        </r>
      </text>
    </comment>
    <comment ref="K371" authorId="1" shapeId="0" xr:uid="{522C0D1A-C9B7-4296-9F11-011052656107}">
      <text>
        <r>
          <rPr>
            <b/>
            <sz val="9"/>
            <color indexed="81"/>
            <rFont val="Tahoma"/>
            <family val="2"/>
            <charset val="186"/>
          </rPr>
          <t>Sarmīte Mūze:</t>
        </r>
        <r>
          <rPr>
            <sz val="9"/>
            <color indexed="81"/>
            <rFont val="Tahoma"/>
            <family val="2"/>
            <charset val="186"/>
          </rPr>
          <t xml:space="preserve">
Zemsvītras</t>
        </r>
      </text>
    </comment>
    <comment ref="K372" authorId="1" shapeId="0" xr:uid="{06E329AF-E1E8-492E-A665-DC3352E6D3ED}">
      <text>
        <r>
          <rPr>
            <b/>
            <sz val="9"/>
            <color indexed="81"/>
            <rFont val="Tahoma"/>
            <family val="2"/>
            <charset val="186"/>
          </rPr>
          <t>Sarmīte Mūze:</t>
        </r>
        <r>
          <rPr>
            <sz val="9"/>
            <color indexed="81"/>
            <rFont val="Tahoma"/>
            <family val="2"/>
            <charset val="186"/>
          </rPr>
          <t xml:space="preserve">
Zemsvītras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O41" authorId="0" shapeId="0" xr:uid="{A154B5FC-0A67-49B4-B209-92BEE210F131}">
      <text>
        <r>
          <rPr>
            <b/>
            <sz val="9"/>
            <color indexed="81"/>
            <rFont val="Tahoma"/>
            <family val="2"/>
            <charset val="186"/>
          </rPr>
          <t>Sarmīte Mūze:</t>
        </r>
        <r>
          <rPr>
            <sz val="9"/>
            <color indexed="81"/>
            <rFont val="Tahoma"/>
            <family val="2"/>
            <charset val="186"/>
          </rPr>
          <t xml:space="preserve">
76'000 mežaudze vai koki; 46'000+73'000 Kadaga.</t>
        </r>
      </text>
    </comment>
    <comment ref="S180" authorId="0" shapeId="0" xr:uid="{2C21173C-396F-4A12-AE83-A97C3AC28E29}">
      <text>
        <r>
          <rPr>
            <b/>
            <sz val="9"/>
            <color indexed="81"/>
            <rFont val="Tahoma"/>
            <family val="2"/>
            <charset val="186"/>
          </rPr>
          <t>Sarmīte Mūze:</t>
        </r>
        <r>
          <rPr>
            <sz val="9"/>
            <color indexed="81"/>
            <rFont val="Tahoma"/>
            <family val="2"/>
            <charset val="186"/>
          </rPr>
          <t xml:space="preserve">
0643; 0645; 0648 izpilde-CKS dotācija 7230- samaksātais no Domes</t>
        </r>
      </text>
    </comment>
    <comment ref="E290" authorId="0" shapeId="0" xr:uid="{00000000-0006-0000-0A00-00000E000000}">
      <text>
        <r>
          <rPr>
            <b/>
            <sz val="9"/>
            <color indexed="81"/>
            <rFont val="Tahoma"/>
            <family val="2"/>
            <charset val="186"/>
          </rPr>
          <t>Sarmīte Mūze:</t>
        </r>
        <r>
          <rPr>
            <sz val="9"/>
            <color indexed="81"/>
            <rFont val="Tahoma"/>
            <family val="2"/>
            <charset val="186"/>
          </rPr>
          <t xml:space="preserve">
Šis ir jāizņem no 0930 un jāliek 0982 algā.
</t>
        </r>
      </text>
    </comment>
    <comment ref="F290" authorId="0" shapeId="0" xr:uid="{00000000-0006-0000-0A00-00000F000000}">
      <text>
        <r>
          <rPr>
            <b/>
            <sz val="9"/>
            <color indexed="81"/>
            <rFont val="Tahoma"/>
            <family val="2"/>
            <charset val="186"/>
          </rPr>
          <t>Sarmīte Mūze:</t>
        </r>
        <r>
          <rPr>
            <sz val="9"/>
            <color indexed="81"/>
            <rFont val="Tahoma"/>
            <family val="2"/>
            <charset val="186"/>
          </rPr>
          <t xml:space="preserve">
Šis ir jāizņem no 0930 un jāliek 0982 algā.
</t>
        </r>
      </text>
    </comment>
    <comment ref="I290" authorId="0" shapeId="0" xr:uid="{70FF6BFE-CBFA-4806-8E64-555052F8CA0B}">
      <text>
        <r>
          <rPr>
            <b/>
            <sz val="9"/>
            <color indexed="81"/>
            <rFont val="Tahoma"/>
            <family val="2"/>
            <charset val="186"/>
          </rPr>
          <t>Sarmīte Mūze:</t>
        </r>
        <r>
          <rPr>
            <sz val="9"/>
            <color indexed="81"/>
            <rFont val="Tahoma"/>
            <family val="2"/>
            <charset val="186"/>
          </rPr>
          <t xml:space="preserve">
Šis ir jāizņem no 0930 un jāliek 0982 algā.
</t>
        </r>
      </text>
    </comment>
    <comment ref="L290" authorId="0" shapeId="0" xr:uid="{282F8E9F-1C9C-4EC9-BFF4-5C2D885728CE}">
      <text>
        <r>
          <rPr>
            <b/>
            <sz val="9"/>
            <color indexed="81"/>
            <rFont val="Tahoma"/>
            <family val="2"/>
            <charset val="186"/>
          </rPr>
          <t>Sarmīte Mūze:</t>
        </r>
        <r>
          <rPr>
            <sz val="9"/>
            <color indexed="81"/>
            <rFont val="Tahoma"/>
            <family val="2"/>
            <charset val="186"/>
          </rPr>
          <t xml:space="preserve">
Šis ir jāizņem no 0930 un jāliek 0982 algā.
</t>
        </r>
      </text>
    </comment>
    <comment ref="O290" authorId="0" shapeId="0" xr:uid="{81293606-0E41-434F-9E0A-344195318263}">
      <text>
        <r>
          <rPr>
            <b/>
            <sz val="9"/>
            <color indexed="81"/>
            <rFont val="Tahoma"/>
            <family val="2"/>
            <charset val="186"/>
          </rPr>
          <t>Sarmīte Mūze:</t>
        </r>
        <r>
          <rPr>
            <sz val="9"/>
            <color indexed="81"/>
            <rFont val="Tahoma"/>
            <family val="2"/>
            <charset val="186"/>
          </rPr>
          <t xml:space="preserve">
Šis ir jāizņem no 0930 un jāliek 0982 algā.
</t>
        </r>
      </text>
    </comment>
    <comment ref="S290" authorId="0" shapeId="0" xr:uid="{C85701EE-2529-4883-A9C5-D8BEB1F32322}">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sharedStrings.xml><?xml version="1.0" encoding="utf-8"?>
<sst xmlns="http://schemas.openxmlformats.org/spreadsheetml/2006/main" count="2699" uniqueCount="1408">
  <si>
    <t xml:space="preserve">Ieņēmumu daļa </t>
  </si>
  <si>
    <t xml:space="preserve">N.p.k. </t>
  </si>
  <si>
    <t>Sadaļa</t>
  </si>
  <si>
    <t>Komentāri</t>
  </si>
  <si>
    <t>Komentāri par izpildi</t>
  </si>
  <si>
    <t>Nodokļu ieņēmumi</t>
  </si>
  <si>
    <t>1.1.1.0.</t>
  </si>
  <si>
    <t>1.</t>
  </si>
  <si>
    <t>Iedzīvotāju ienākuma nodoklis</t>
  </si>
  <si>
    <t>PB</t>
  </si>
  <si>
    <t>1.1.</t>
  </si>
  <si>
    <t>01.1.1.2.</t>
  </si>
  <si>
    <t>1.2.</t>
  </si>
  <si>
    <t>pārskata gada</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</si>
  <si>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</si>
  <si>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</si>
  <si>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</si>
  <si>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</si>
  <si>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</si>
  <si>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</si>
  <si>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</si>
  <si>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</si>
  <si>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</si>
  <si>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</si>
  <si>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</si>
  <si>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</si>
  <si>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</si>
  <si>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</si>
  <si>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</si>
  <si>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</si>
  <si>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</si>
  <si>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</si>
  <si>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</si>
  <si>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</si>
  <si>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</si>
  <si>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</si>
  <si>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</si>
  <si>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</si>
  <si>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Azartspēļu nodoklis</t>
  </si>
  <si>
    <t>9.0.0.0.</t>
  </si>
  <si>
    <t>6.</t>
  </si>
  <si>
    <t>Valsts (pašvaldību) un kancelejas nodevas</t>
  </si>
  <si>
    <t>9.4.0.0.</t>
  </si>
  <si>
    <t>6.1.</t>
  </si>
  <si>
    <t>valsts nodevas</t>
  </si>
  <si>
    <t>09.4.2.0.</t>
  </si>
  <si>
    <t>6.1.1.</t>
  </si>
  <si>
    <t>t.sk.: - par apliecinājumiem un citu funkciju pildīšanu bāriņtiesā</t>
  </si>
  <si>
    <t>09.4.5.0.</t>
  </si>
  <si>
    <t>6.1.2.</t>
  </si>
  <si>
    <t>09.4.9.0.</t>
  </si>
  <si>
    <t>6.1.3.</t>
  </si>
  <si>
    <t>9.5.0.0.</t>
  </si>
  <si>
    <t>6.2.</t>
  </si>
  <si>
    <t>pašvaldību nodevas</t>
  </si>
  <si>
    <t>09.5.1.1.</t>
  </si>
  <si>
    <t>6.2.1.</t>
  </si>
  <si>
    <t>09.5.1.4.</t>
  </si>
  <si>
    <t>6.2.2.</t>
  </si>
  <si>
    <t>6.2.3.</t>
  </si>
  <si>
    <t>09.5.1.7.</t>
  </si>
  <si>
    <t>6.2.4.</t>
  </si>
  <si>
    <t>09.5.2.1.</t>
  </si>
  <si>
    <t>6.2.5.</t>
  </si>
  <si>
    <t>09.5.2.9.</t>
  </si>
  <si>
    <t>6.2.6.</t>
  </si>
  <si>
    <t>10.0.0.0.</t>
  </si>
  <si>
    <t>7.</t>
  </si>
  <si>
    <t>Naudas sodi un sankcijas</t>
  </si>
  <si>
    <t>10.1.4.0.</t>
  </si>
  <si>
    <t>7.1.</t>
  </si>
  <si>
    <t>10.1.5.0.</t>
  </si>
  <si>
    <t>7.2.</t>
  </si>
  <si>
    <t>Naudas sodi, ko uzliek par pārkāpumiem ceļu satiksmē</t>
  </si>
  <si>
    <t>12.0.0.0.</t>
  </si>
  <si>
    <t>8.</t>
  </si>
  <si>
    <t>Pārējie nenodokļu ieņēmumi</t>
  </si>
  <si>
    <t>8.1.</t>
  </si>
  <si>
    <t>citi nenodokļu ieņēmumi</t>
  </si>
  <si>
    <t>8.2.</t>
  </si>
  <si>
    <t>8.3.</t>
  </si>
  <si>
    <t>9.</t>
  </si>
  <si>
    <t>Ieņēmumi no pašvaldības īpašuma pārdošana</t>
  </si>
  <si>
    <t>9.1.</t>
  </si>
  <si>
    <t>9.2.</t>
  </si>
  <si>
    <t>10.</t>
  </si>
  <si>
    <t>Valsts budžeta transferti</t>
  </si>
  <si>
    <t>mērķdotācija</t>
  </si>
  <si>
    <t>18.6.2.3.</t>
  </si>
  <si>
    <t>10.1.</t>
  </si>
  <si>
    <t>dotācija mākslas skolas algām</t>
  </si>
  <si>
    <t>18.6.2.4.</t>
  </si>
  <si>
    <t>10.2.</t>
  </si>
  <si>
    <t>dotācija sporta skolai</t>
  </si>
  <si>
    <t>dotācija skolēnu ēdināšanai</t>
  </si>
  <si>
    <t>18.6.2.5.</t>
  </si>
  <si>
    <t>18.6.2.0.</t>
  </si>
  <si>
    <t>dotācijas pedagogu algām (vsk., PII)</t>
  </si>
  <si>
    <t>18.6.2.2.</t>
  </si>
  <si>
    <t>t.sk.: - piecgadīgo bērnu apmācība</t>
  </si>
  <si>
    <t>18.6.2.1.</t>
  </si>
  <si>
    <t>18.6.2.9.</t>
  </si>
  <si>
    <t>18.6.3.1.</t>
  </si>
  <si>
    <t>18.6.2.7.</t>
  </si>
  <si>
    <t>dotācija asistenta pakalpojumu nodrošināšanai</t>
  </si>
  <si>
    <t>pārējās dotācijas</t>
  </si>
  <si>
    <t>18.6.3.6.</t>
  </si>
  <si>
    <t>11.</t>
  </si>
  <si>
    <t>Pašvaldību budžeta transferti</t>
  </si>
  <si>
    <t>19.2.1.0.</t>
  </si>
  <si>
    <t>11.1.</t>
  </si>
  <si>
    <t>no citām pašvaldībām izglītības funkciju nodrošināšanai</t>
  </si>
  <si>
    <t>11.2.</t>
  </si>
  <si>
    <t>12.</t>
  </si>
  <si>
    <t>Budžeta iestāžu ieņēmumi</t>
  </si>
  <si>
    <t>21.3.5.0.</t>
  </si>
  <si>
    <t>12.1.</t>
  </si>
  <si>
    <t>12.1.1.</t>
  </si>
  <si>
    <t>21.3.5.2.</t>
  </si>
  <si>
    <t>12.1.2.</t>
  </si>
  <si>
    <t>21.3.5.9.</t>
  </si>
  <si>
    <t>21.3.8.0.</t>
  </si>
  <si>
    <t>12.2.</t>
  </si>
  <si>
    <t>ieņēmumi par nomu un īri</t>
  </si>
  <si>
    <t>21.3.8.1.</t>
  </si>
  <si>
    <t>12.2.1.</t>
  </si>
  <si>
    <t>21.3.8.4.</t>
  </si>
  <si>
    <t>12.2.2.</t>
  </si>
  <si>
    <t>21.3.9.0.</t>
  </si>
  <si>
    <t>12.3.</t>
  </si>
  <si>
    <t>budžeta iestāžu maksas pakalpojumi</t>
  </si>
  <si>
    <t>12.4.</t>
  </si>
  <si>
    <t>KOPĀ IEŅĒMUMI:</t>
  </si>
  <si>
    <t>13.</t>
  </si>
  <si>
    <t>Naudas līdzekļu atlikums gada sākumā</t>
  </si>
  <si>
    <t>13.1.</t>
  </si>
  <si>
    <t>Naudas atlikums iezīmētiem mērķiem</t>
  </si>
  <si>
    <t>13.2.</t>
  </si>
  <si>
    <t>Naudas atlikums pašvaldības līdzekļi</t>
  </si>
  <si>
    <t xml:space="preserve">14. </t>
  </si>
  <si>
    <t>Valsts Kases kredīti</t>
  </si>
  <si>
    <t>PAVISAM KOPĀ IEŅĒMUMI:</t>
  </si>
  <si>
    <t xml:space="preserve">Izdevumu daļa </t>
  </si>
  <si>
    <t>Vispārējie valdības dienesti</t>
  </si>
  <si>
    <t>pārvalde</t>
  </si>
  <si>
    <t>deputāti</t>
  </si>
  <si>
    <t>1.3.</t>
  </si>
  <si>
    <t>administratīvā komisija</t>
  </si>
  <si>
    <t>1.4.</t>
  </si>
  <si>
    <t>iepirkumu komisija</t>
  </si>
  <si>
    <t>1.5.</t>
  </si>
  <si>
    <t>vēlēšanu komisija</t>
  </si>
  <si>
    <t>1.6.</t>
  </si>
  <si>
    <t>1.7.</t>
  </si>
  <si>
    <t>1.8.</t>
  </si>
  <si>
    <t>aizņēmumu procentu maksājumi</t>
  </si>
  <si>
    <t>Iemaksas PFIF</t>
  </si>
  <si>
    <t>Pārējie vispārēja rakstura transferti</t>
  </si>
  <si>
    <t>Izdevumi neparedzētiem gadījumiem</t>
  </si>
  <si>
    <t>Sabiedriskā kārtība un drošība</t>
  </si>
  <si>
    <t>Sabiedriskās attiecības, laikraksts</t>
  </si>
  <si>
    <t>Pašvaldības teritoriju un mājokļu apsaimniekošana</t>
  </si>
  <si>
    <t>5.1.</t>
  </si>
  <si>
    <t>Būvvalde</t>
  </si>
  <si>
    <t>nodaļa</t>
  </si>
  <si>
    <t>Objektu un teritorijas apsaimniekošana un uzturēšana</t>
  </si>
  <si>
    <t>Atpūta, kultūra un reliģija</t>
  </si>
  <si>
    <t>Kultūras centrs</t>
  </si>
  <si>
    <t>6.3.</t>
  </si>
  <si>
    <t>Sporta daļa</t>
  </si>
  <si>
    <t>6.4.</t>
  </si>
  <si>
    <t>Evaņģēliski luteriskās draudzes</t>
  </si>
  <si>
    <t>6.5.</t>
  </si>
  <si>
    <t>Sociālā aizsardzība</t>
  </si>
  <si>
    <t>Sociālais dienests</t>
  </si>
  <si>
    <t>Stipendiāti / bezdarbnieki</t>
  </si>
  <si>
    <t>7.3.</t>
  </si>
  <si>
    <t>Bāriņtiesa</t>
  </si>
  <si>
    <t>Izglītība</t>
  </si>
  <si>
    <t>7210 (0940; 0970)</t>
  </si>
  <si>
    <t>Norēķini ar pašvaldību budžetiem par izglītības iestāžu pakalpojumiem</t>
  </si>
  <si>
    <t>Ādažu Pirmsskolas izglītības iestāde</t>
  </si>
  <si>
    <t>8.2.1.</t>
  </si>
  <si>
    <t>pedagogu algas (mērķdotācija)</t>
  </si>
  <si>
    <t>8.2.2.</t>
  </si>
  <si>
    <t>pārējās izmaksas</t>
  </si>
  <si>
    <t>Kadagas PII</t>
  </si>
  <si>
    <t>8.3.1.</t>
  </si>
  <si>
    <t>8.3.2.</t>
  </si>
  <si>
    <t>8.4.</t>
  </si>
  <si>
    <t>Privātās izglītības iestādes</t>
  </si>
  <si>
    <t>ĀBVS</t>
  </si>
  <si>
    <t>8.5.</t>
  </si>
  <si>
    <t>Ādažu vidusskola</t>
  </si>
  <si>
    <t>8.6.</t>
  </si>
  <si>
    <t>8.7.</t>
  </si>
  <si>
    <t>Sporta skola</t>
  </si>
  <si>
    <t>8.8.</t>
  </si>
  <si>
    <t>Ieguldījumi uzņēmumu pamatkapitālā</t>
  </si>
  <si>
    <t>SIA "Ādažu ūdens"</t>
  </si>
  <si>
    <t>SIA "Garkalnes ūdens"</t>
  </si>
  <si>
    <t>KOPĀ IZDEVUMI:</t>
  </si>
  <si>
    <t>Kredītu pamatsummas atmaksa</t>
  </si>
  <si>
    <t>PAVISAM KOPĀ IZDEVUMI:</t>
  </si>
  <si>
    <t>-</t>
  </si>
  <si>
    <t>Naudas līdzekļu atlikums uz gada beigām</t>
  </si>
  <si>
    <t>Kopā:</t>
  </si>
  <si>
    <t>Pašvaldības policija</t>
  </si>
  <si>
    <t>Valsts un pašvaldību budžeta dotācija biedrībām un nodibinājumiem</t>
  </si>
  <si>
    <t xml:space="preserve">Tērpi amatiermākslas kolektīviem </t>
  </si>
  <si>
    <t xml:space="preserve">Ādažu vidusskola </t>
  </si>
  <si>
    <t>Konkurss Par sakoptāko īpašumu (balvu fonds 250+150+100 + reprezentācija)RP</t>
  </si>
  <si>
    <t>0110</t>
  </si>
  <si>
    <t>0111</t>
  </si>
  <si>
    <t>0120</t>
  </si>
  <si>
    <t>0130</t>
  </si>
  <si>
    <t>0140</t>
  </si>
  <si>
    <t>0150</t>
  </si>
  <si>
    <t>0490</t>
  </si>
  <si>
    <t>0340</t>
  </si>
  <si>
    <t>0610</t>
  </si>
  <si>
    <t>0630</t>
  </si>
  <si>
    <t>0812</t>
  </si>
  <si>
    <t>0830</t>
  </si>
  <si>
    <t>0880</t>
  </si>
  <si>
    <t>0910</t>
  </si>
  <si>
    <t>0940</t>
  </si>
  <si>
    <t>0950</t>
  </si>
  <si>
    <t>0960</t>
  </si>
  <si>
    <t>0965</t>
  </si>
  <si>
    <t>0970</t>
  </si>
  <si>
    <t>Ieņēmumi</t>
  </si>
  <si>
    <t>Mērķdotācija</t>
  </si>
  <si>
    <t>Pašvaldības finansējums</t>
  </si>
  <si>
    <t>Pabalsti</t>
  </si>
  <si>
    <t>7.1.1.</t>
  </si>
  <si>
    <t>Asistentu pakalpojumi</t>
  </si>
  <si>
    <t>7.1.2.</t>
  </si>
  <si>
    <t>Domes finansējums</t>
  </si>
  <si>
    <t>NVA finansējums</t>
  </si>
  <si>
    <t>0930</t>
  </si>
  <si>
    <t>Izglītības un jauniešu lietu pārvalde</t>
  </si>
  <si>
    <t>Izdevumi</t>
  </si>
  <si>
    <t>pārējās komisijas</t>
  </si>
  <si>
    <t>projekts Erasmus+</t>
  </si>
  <si>
    <t>pedagogu algas, grāmatas (mērķdotācija)</t>
  </si>
  <si>
    <t>13.1.0.0.</t>
  </si>
  <si>
    <t>SAM 9.2.4.2. projekts "Pasākumi vietējās sabiedrības veselības veicināšanai Ādažu novadā"</t>
  </si>
  <si>
    <t>Multihalle</t>
  </si>
  <si>
    <t>0981</t>
  </si>
  <si>
    <t>līgumsodi un procentu maksājumi par saistību neizpildi</t>
  </si>
  <si>
    <t>12.3.9.5.</t>
  </si>
  <si>
    <t>19.2.2.0.</t>
  </si>
  <si>
    <t>citi ieņēmumi no citām pašvaldībam</t>
  </si>
  <si>
    <t>ES struktūrfondu līdzekļi un aktivitāšu līdzfinansējumi</t>
  </si>
  <si>
    <t>Valsts budžeta transferti un projektu finansējums</t>
  </si>
  <si>
    <t>VISA projekts "Atbalsts izglītojamo individuālo kompetenču attīstībai"</t>
  </si>
  <si>
    <t>Projektēšana</t>
  </si>
  <si>
    <t>SAM 9311 Deinstitucionalizācija - Dienas centrs</t>
  </si>
  <si>
    <t xml:space="preserve">Zivju fonds  „Zivju resursu aizsardzības pasākumi Ādažu novada ūdenstipnēs”  </t>
  </si>
  <si>
    <t>0956</t>
  </si>
  <si>
    <t>7.4.</t>
  </si>
  <si>
    <t>dotācija sociālajiem darbiniekiem, kuri strādā ar ģimenēm un bērniem</t>
  </si>
  <si>
    <t>Atsauce uz plānošanas dokumentiem</t>
  </si>
  <si>
    <t>Id.Nr. Investīciju plānā</t>
  </si>
  <si>
    <t>18.6.3.4</t>
  </si>
  <si>
    <t xml:space="preserve">18.6.3.13. </t>
  </si>
  <si>
    <t xml:space="preserve">18.6.3.14.  </t>
  </si>
  <si>
    <t>Amatiermākslas kolektīvu organizētie pasākumi</t>
  </si>
  <si>
    <t>sākumskolas uzturēšanas izmaksas</t>
  </si>
  <si>
    <t xml:space="preserve">Komentāri </t>
  </si>
  <si>
    <t>projekts "Skolas soma"</t>
  </si>
  <si>
    <t>dotācija māksliniecisko kolektīvu vadītāju atalgojumam</t>
  </si>
  <si>
    <t>18.6.2.6.1.</t>
  </si>
  <si>
    <t xml:space="preserve"> </t>
  </si>
  <si>
    <t>Pārējās privātās vidējās izglītības iestādes</t>
  </si>
  <si>
    <t>ēdināšana (mērķdotācija)</t>
  </si>
  <si>
    <t>sākumskolas ēdināšana (mērķdotācija)</t>
  </si>
  <si>
    <t>18.6.2.10.; 18.6.2.11</t>
  </si>
  <si>
    <t>0911</t>
  </si>
  <si>
    <t>0921</t>
  </si>
  <si>
    <t>valsts dotācija ceļu uzturēšanai</t>
  </si>
  <si>
    <t>18.6.2.9.;</t>
  </si>
  <si>
    <t>0951</t>
  </si>
  <si>
    <t>0952</t>
  </si>
  <si>
    <t xml:space="preserve">PII </t>
  </si>
  <si>
    <t>-  uzturēšana</t>
  </si>
  <si>
    <t>t.sk.: - par civilstāvokļa aktu reģistrēšanu, grozīšanu un papildināšanu</t>
  </si>
  <si>
    <t>t.sk.: - pārējās valsts nodevas, kuras ieskaita pašvaldību budžetā</t>
  </si>
  <si>
    <t>t.sk.: - nodeva par domes izstrādāto oficiālo dokumentu saņemšanu</t>
  </si>
  <si>
    <t>t.sk.: - nodeva par tirdzniecību publiskās vietās</t>
  </si>
  <si>
    <t>t.sk.: - nodeva par reklāmas, afišu un sludinājumu izvietošanu publiskās vietās</t>
  </si>
  <si>
    <t>t.sk.: - nodeva par būvatļaujas saņemšanu</t>
  </si>
  <si>
    <t>t.sk.: - pārējās nodevas</t>
  </si>
  <si>
    <t>t.sk.: - skolotāju algām</t>
  </si>
  <si>
    <t>t.sk.: - interešu izglītība</t>
  </si>
  <si>
    <t>t.sk.: - nodeva par izklaidējoša rakstura pasākumu sarīkošanu publiskās vietās</t>
  </si>
  <si>
    <t>12.4.1.</t>
  </si>
  <si>
    <t>12.4.2.</t>
  </si>
  <si>
    <t>12.4.3.</t>
  </si>
  <si>
    <t>12.5.</t>
  </si>
  <si>
    <t>1.9.</t>
  </si>
  <si>
    <t>Autoceļu fonds</t>
  </si>
  <si>
    <t>CKS</t>
  </si>
  <si>
    <t>Pašvaldības aģentūra "Carnikavas Komunālserviss"</t>
  </si>
  <si>
    <t>Projekts "Sabiedrība ar dvēseli"</t>
  </si>
  <si>
    <t>Pirmsskolas izglītības iestāde "Riekstiņš"</t>
  </si>
  <si>
    <t>Carnikavas pamatskola</t>
  </si>
  <si>
    <t>Sociālā centra "Kadiķis" uzturēšana</t>
  </si>
  <si>
    <t>Carnikava</t>
  </si>
  <si>
    <t>Nr.p.k.</t>
  </si>
  <si>
    <t>Kultūra</t>
  </si>
  <si>
    <t>Pirmsskolas izglītības iestādes "Piejūra"</t>
  </si>
  <si>
    <t>7.1.3.</t>
  </si>
  <si>
    <t>Aizņēmums</t>
  </si>
  <si>
    <t>PII Riekstiņš</t>
  </si>
  <si>
    <t>Projekts "Skolas soma" Ādaži</t>
  </si>
  <si>
    <t>ESF projekts Karjeras atbalsts vispārējās un profesionālās izglītības iestādēs ©</t>
  </si>
  <si>
    <t>ES Padomes projekts LIFE COHABIT ©</t>
  </si>
  <si>
    <t>ESF projekts Atbalsts priekšlaicīgas mācību pārtraukšanas samazināšanai ©</t>
  </si>
  <si>
    <t>SAM 5.5.1. Kultūras objektu būvniecība ©</t>
  </si>
  <si>
    <t>pārrobežu EST-LAT projekts "Militārais mantojums</t>
  </si>
  <si>
    <t>pārrobežu projektu ieņēmumi ©</t>
  </si>
  <si>
    <t>12.3.1.</t>
  </si>
  <si>
    <t>12.3.2.</t>
  </si>
  <si>
    <t>ieņēmumi par telpu nomu</t>
  </si>
  <si>
    <t>ieņēmumi par zemes nomu</t>
  </si>
  <si>
    <t>12.3.3.</t>
  </si>
  <si>
    <t>pārējie ieņēmumi par nomu ©</t>
  </si>
  <si>
    <t>ieņēmumi no dzīvokļu un komunālajiem pakalpojumiem ©</t>
  </si>
  <si>
    <t>ieņēmumi no zvejas tiesību nomas</t>
  </si>
  <si>
    <t>Informācijas tehnoloģiju nodaļa, vispārējas nozīmes dienestu darbība un pakalpojumi - datortīkla uzturēšana ©</t>
  </si>
  <si>
    <t>Pārrobežu EST-LAT projekts "Militārais mantojums ©</t>
  </si>
  <si>
    <t>Tautas nams "Ozolaine" ©</t>
  </si>
  <si>
    <t>SAM 5.5.1. Kultūras objektu būvniecība (maksājumi projekta partneriem) ©</t>
  </si>
  <si>
    <t>ES projekts Eiropa pilsoņiem (diskriminētām personām) ©</t>
  </si>
  <si>
    <t>Ādažu pašvaldības apvienotais budžets</t>
  </si>
  <si>
    <t>Ādaži</t>
  </si>
  <si>
    <t>ERASMUS + projekti</t>
  </si>
  <si>
    <t>0952.1</t>
  </si>
  <si>
    <t>0954</t>
  </si>
  <si>
    <t>0957</t>
  </si>
  <si>
    <t>09824</t>
  </si>
  <si>
    <t>VISA projekts "Atbalsts izglītojamo individuālo kompetenču attīstībai" Carnikava</t>
  </si>
  <si>
    <t>C</t>
  </si>
  <si>
    <t>09011</t>
  </si>
  <si>
    <t>0901; 650_0901</t>
  </si>
  <si>
    <t>0902; 650_0902</t>
  </si>
  <si>
    <t>09021</t>
  </si>
  <si>
    <t>0982</t>
  </si>
  <si>
    <t>09821</t>
  </si>
  <si>
    <t>09822</t>
  </si>
  <si>
    <t>0982; 0650_0982</t>
  </si>
  <si>
    <t>0901</t>
  </si>
  <si>
    <t>0932</t>
  </si>
  <si>
    <t>0931</t>
  </si>
  <si>
    <t>Informācijas tehnoloģiju nodaļa</t>
  </si>
  <si>
    <t>7.5.</t>
  </si>
  <si>
    <t>VISA projekts "Atbalsts izglītojamo individuālo kompetenču attīstībai" Ādaži</t>
  </si>
  <si>
    <t>Cits finansējums</t>
  </si>
  <si>
    <t>Kopsumma</t>
  </si>
  <si>
    <t>0831</t>
  </si>
  <si>
    <t>0170</t>
  </si>
  <si>
    <t>0670</t>
  </si>
  <si>
    <t>0902</t>
  </si>
  <si>
    <t>Projekts "Skolas soma" Carnikava</t>
  </si>
  <si>
    <t>Teritorijas plānošanas nodaļa</t>
  </si>
  <si>
    <t>Attīstības un projektu nodaļa</t>
  </si>
  <si>
    <t>P/A "Carnikavas komunālserviss" teritorijas un īpašumu apsaimniekošana</t>
  </si>
  <si>
    <t xml:space="preserve">Ādažu kultūras centrs </t>
  </si>
  <si>
    <t xml:space="preserve">Ādažu bibliotēka </t>
  </si>
  <si>
    <t xml:space="preserve">Carnikavas bibliotēka </t>
  </si>
  <si>
    <t xml:space="preserve">Sociālās funkcijas nodrošināšana </t>
  </si>
  <si>
    <t>”Mobilitātes punkta infrastruktūras izveidošana Rīgas metropoles areālā – “Carnikava””</t>
  </si>
  <si>
    <t>Maģistrālā  veloceļa izbūve Rīga-Carnikava</t>
  </si>
  <si>
    <t>Bāzes ieņēmumi</t>
  </si>
  <si>
    <t>Bāzes izdevumi</t>
  </si>
  <si>
    <t>Ā12.1.2.3.</t>
  </si>
  <si>
    <t>C12.1.2.1.</t>
  </si>
  <si>
    <t xml:space="preserve">Ā15.1.2.1. un C15.1.2.1. </t>
  </si>
  <si>
    <t xml:space="preserve">Ā15.1.2.4. </t>
  </si>
  <si>
    <t>Carnikavas Nēģu svētki</t>
  </si>
  <si>
    <t xml:space="preserve">Mākslas darbu izstādes </t>
  </si>
  <si>
    <t>mācību vides labiekārtošana</t>
  </si>
  <si>
    <t>Nodokļi un maksājumi par tiesībām lietot atsevišķas preces</t>
  </si>
  <si>
    <t>Ekonomiskā darbība</t>
  </si>
  <si>
    <t>Dabas resursu nodokļa izlietojums</t>
  </si>
  <si>
    <t>Vides aizsardzība</t>
  </si>
  <si>
    <t>6.4.1.</t>
  </si>
  <si>
    <t>6.4.2.</t>
  </si>
  <si>
    <t>6.4.6.</t>
  </si>
  <si>
    <t>6.4.7.</t>
  </si>
  <si>
    <t>6.4.8.</t>
  </si>
  <si>
    <t>6.4.9.</t>
  </si>
  <si>
    <t>7.6.</t>
  </si>
  <si>
    <t>7.8.</t>
  </si>
  <si>
    <t>7.9.</t>
  </si>
  <si>
    <t>8.1.1.</t>
  </si>
  <si>
    <t>8.1.2.</t>
  </si>
  <si>
    <t>8.1.3.</t>
  </si>
  <si>
    <t>8.1.5.</t>
  </si>
  <si>
    <t>8.1.6.</t>
  </si>
  <si>
    <t>8.3.3.</t>
  </si>
  <si>
    <t>9.2.1.</t>
  </si>
  <si>
    <t>9.2.2.</t>
  </si>
  <si>
    <t>9.3.</t>
  </si>
  <si>
    <t>9.3.1.</t>
  </si>
  <si>
    <t>9.3.2.</t>
  </si>
  <si>
    <t>9.4.</t>
  </si>
  <si>
    <t>9.4.1.</t>
  </si>
  <si>
    <t>9.4.2.</t>
  </si>
  <si>
    <t>9.5.</t>
  </si>
  <si>
    <t>9.5.1.</t>
  </si>
  <si>
    <t>9.5.2.</t>
  </si>
  <si>
    <t>9.6.</t>
  </si>
  <si>
    <t>9.6.1.</t>
  </si>
  <si>
    <t>9.6.2.</t>
  </si>
  <si>
    <t>9.6.3.</t>
  </si>
  <si>
    <t>9.7.</t>
  </si>
  <si>
    <t>9.7.1.</t>
  </si>
  <si>
    <t>9.7.2.</t>
  </si>
  <si>
    <t>9.7.3.</t>
  </si>
  <si>
    <t>9.7.4.</t>
  </si>
  <si>
    <t>9.7.5.</t>
  </si>
  <si>
    <t>9.7.6.</t>
  </si>
  <si>
    <t>9.9.</t>
  </si>
  <si>
    <t>9.9.1.</t>
  </si>
  <si>
    <t>9.9.2.</t>
  </si>
  <si>
    <t>9.9.3.</t>
  </si>
  <si>
    <t>9.9.4.</t>
  </si>
  <si>
    <t>9.9.5.</t>
  </si>
  <si>
    <t>9.9.6.</t>
  </si>
  <si>
    <t>9.9.7.</t>
  </si>
  <si>
    <t>9.9.8.</t>
  </si>
  <si>
    <t>9.10.</t>
  </si>
  <si>
    <t>9.10.1.</t>
  </si>
  <si>
    <t>9.10.2.</t>
  </si>
  <si>
    <t>9.11.</t>
  </si>
  <si>
    <t>9.11.1.</t>
  </si>
  <si>
    <t>9.11.2.</t>
  </si>
  <si>
    <t>9.12.</t>
  </si>
  <si>
    <t>9.13.</t>
  </si>
  <si>
    <t>9.14.</t>
  </si>
  <si>
    <t>9.15.</t>
  </si>
  <si>
    <t>9.16.</t>
  </si>
  <si>
    <t>9.17.</t>
  </si>
  <si>
    <t>Sabiedrisko attiecību nodaļa</t>
  </si>
  <si>
    <t>0841.3</t>
  </si>
  <si>
    <t>0841.2</t>
  </si>
  <si>
    <t>1014.1</t>
  </si>
  <si>
    <t>0510</t>
  </si>
  <si>
    <t>0420</t>
  </si>
  <si>
    <t>0633.1</t>
  </si>
  <si>
    <t>0633.2</t>
  </si>
  <si>
    <t>0841.1</t>
  </si>
  <si>
    <t>1013.1</t>
  </si>
  <si>
    <t>1., 2., 3., 4., 5.1.</t>
  </si>
  <si>
    <t>1., 2., 3., 4.</t>
  </si>
  <si>
    <t>Nekustamā īpašuma nodokļu ieņēmumi</t>
  </si>
  <si>
    <t>Dabas resursu nodoklis</t>
  </si>
  <si>
    <t>5.5.3.1.</t>
  </si>
  <si>
    <t>5.4.1.0.</t>
  </si>
  <si>
    <t>10.1.1.</t>
  </si>
  <si>
    <t>10.1.2.</t>
  </si>
  <si>
    <t>10.1.3.</t>
  </si>
  <si>
    <t>10.1.4.</t>
  </si>
  <si>
    <t>10.1.5.</t>
  </si>
  <si>
    <t xml:space="preserve">  10.1.5.1.</t>
  </si>
  <si>
    <t xml:space="preserve">  10.1.5.2.</t>
  </si>
  <si>
    <t xml:space="preserve">  10.1.5.3.</t>
  </si>
  <si>
    <t>10.1.6.</t>
  </si>
  <si>
    <t>10.1.7.</t>
  </si>
  <si>
    <t>10.1.8.</t>
  </si>
  <si>
    <t>10.1.9.</t>
  </si>
  <si>
    <t>10.1.10.</t>
  </si>
  <si>
    <t>10.1.11.</t>
  </si>
  <si>
    <t>10.2.1.</t>
  </si>
  <si>
    <t>10.2.2.</t>
  </si>
  <si>
    <t>10.2.3.</t>
  </si>
  <si>
    <t>10.2.4.</t>
  </si>
  <si>
    <t>10.2.5.</t>
  </si>
  <si>
    <t>10.2.6.</t>
  </si>
  <si>
    <t>10.2.8.</t>
  </si>
  <si>
    <t>10.2.10.</t>
  </si>
  <si>
    <t>10.2.11.</t>
  </si>
  <si>
    <t>18.6.4.0.</t>
  </si>
  <si>
    <t>IIN budžeta dotācija</t>
  </si>
  <si>
    <t>10.3.</t>
  </si>
  <si>
    <t>0620</t>
  </si>
  <si>
    <t>0633.4</t>
  </si>
  <si>
    <t>0634</t>
  </si>
  <si>
    <t>0844.1</t>
  </si>
  <si>
    <t>0844.2</t>
  </si>
  <si>
    <t>0420 (18.6.2.9.)</t>
  </si>
  <si>
    <t>F40321210</t>
  </si>
  <si>
    <t>0933</t>
  </si>
  <si>
    <t>09651</t>
  </si>
  <si>
    <t>0920</t>
  </si>
  <si>
    <t>09825</t>
  </si>
  <si>
    <t>0660</t>
  </si>
  <si>
    <t>Ādažu vēstis</t>
  </si>
  <si>
    <t>4.1.1.</t>
  </si>
  <si>
    <t>4.1.2.</t>
  </si>
  <si>
    <t>Iedzīvotāju iniciatīvas un konkursi.</t>
  </si>
  <si>
    <t>10.2.13.</t>
  </si>
  <si>
    <t>10.2.14.</t>
  </si>
  <si>
    <t>10.2.15.</t>
  </si>
  <si>
    <t>0630.2</t>
  </si>
  <si>
    <t>0630.1</t>
  </si>
  <si>
    <t>9.7.7.</t>
  </si>
  <si>
    <t>Carnikavas stadiona rekonstrukcija</t>
  </si>
  <si>
    <t>09823</t>
  </si>
  <si>
    <t>Dotācijas Ukrainas pilsoņu atbalstam</t>
  </si>
  <si>
    <t xml:space="preserve">  10.1.4.1.</t>
  </si>
  <si>
    <t xml:space="preserve">  10.1.4.2.</t>
  </si>
  <si>
    <t>t.sk.: - dotācija mācību grāmatām</t>
  </si>
  <si>
    <t>dotācija mācību līdzekļiem</t>
  </si>
  <si>
    <t>t.sk.: - dotācija digitālajiem mācību līdzekļiem</t>
  </si>
  <si>
    <t>10.2.16.</t>
  </si>
  <si>
    <t>21.3.8.9.</t>
  </si>
  <si>
    <t>Tradicionālo gadskārtu un valsts svētku pasākumu organizēšanas izdevumi (Lieldienas, Saulgrieži, 4.maijs, 18.novembris, Ziemassvētki)</t>
  </si>
  <si>
    <t>Muzikālie vasaras pikniki</t>
  </si>
  <si>
    <t>Āra trenažieru uzstādīšana pie Ādažu stadiona</t>
  </si>
  <si>
    <t>0841.4</t>
  </si>
  <si>
    <t>Mēbeles. Gan skolēnu mēbeļu komplekti, gan aprīkojums un mēbelēs klasēm</t>
  </si>
  <si>
    <t>Ādaži, Gaujas iela 33A Lielā aktu zāle datu pārraides tīkla severu skapja un tīkla vadu ierīkošanai (~ EUR 8000), optikas savienojumi zālē un uz galveno serveru telpu.</t>
  </si>
  <si>
    <t>Iepirkums  Ādažu novada teritorijas plānojuma ainavu plānam</t>
  </si>
  <si>
    <t>7.10.</t>
  </si>
  <si>
    <t>Rotaļu un aktīvās atpūtas laukums Dailu skvērā</t>
  </si>
  <si>
    <t>Tvaika nosūcēji virs plītīm dizaina un tehnoloģiju mācību virtuvē</t>
  </si>
  <si>
    <t>Piekļuves sistēmas automatizācija - kodi vārtiem un ieejas durvīm</t>
  </si>
  <si>
    <t>Jaunas rotaļiekārtas laikumiņos (1.,2.,9. un 12. grupām)</t>
  </si>
  <si>
    <t>Rezerve skolēnu līdzfinansējumam dalībai konkursos, balstoties uz kritērijiem</t>
  </si>
  <si>
    <t>04.740.31 INTERREG projekts "DESTI-SMART" tūrisma nodrošināšana, cilvēku skaitītāju apkope, tūrisma ceļu apkope</t>
  </si>
  <si>
    <t>Pieejamie līdzekļi investīcijām</t>
  </si>
  <si>
    <t>Struktūrvienības nosaukums</t>
  </si>
  <si>
    <t>Izvērtējamā projekta nosaukums</t>
  </si>
  <si>
    <t>Sabiedrība ar dvēseli</t>
  </si>
  <si>
    <t>Ādažu novada domes nolikums “Iniciatīvas projektu finansēšanas kārtība Ādažu novada pašvaldībā” (katru gadu tiek izstrādāts no jauna).</t>
  </si>
  <si>
    <t xml:space="preserve">0633.1 </t>
  </si>
  <si>
    <t xml:space="preserve"> ”Mobilitātes punkta infrastruktūras izveidošana Rīgas metropoles areālā – “Carnikava””</t>
  </si>
  <si>
    <t xml:space="preserve"> Maģistrālā  veloceļa izbūve Rīga-Carnikava</t>
  </si>
  <si>
    <t>Plūdu projekts</t>
  </si>
  <si>
    <t>Finansējuma avots</t>
  </si>
  <si>
    <t>SAM 9.2.4.2. projekts "Pasākumi vietējās sabiedrības veselības veicināšanai Ādažu novada pašvaldības Ādažu pagastā"</t>
  </si>
  <si>
    <t>1013.2</t>
  </si>
  <si>
    <t>SAM 9.2.4.2. projekts "Pasākumi vietējās sabiedrības veselības veicināšanai Ādažu novada pašvaldības Carnikavas pagastā"</t>
  </si>
  <si>
    <t xml:space="preserve">Latvijas vides aizsardzības fonda finansējums "Piekrastes apsaimniekošanas praktisko aktivitāšu realizēšanai" </t>
  </si>
  <si>
    <t xml:space="preserve"> Sporta daļa</t>
  </si>
  <si>
    <t>LR kompleksie sporta pasākumi - Basketbola komandas dalība Ramirent Nacionālajā Basketbola līgā</t>
  </si>
  <si>
    <t>LR kompleksie sporta pasākumi - Florbola komandas dalība Elvi Virslīgā</t>
  </si>
  <si>
    <t>Ādažu vidusskolas ēkas B korpusa un savienojuma daļas starp korpusiem (C un B) fasādes atjaunošana</t>
  </si>
  <si>
    <t>Autoratlīdzības līgumu apmaksa māksliniekiem</t>
  </si>
  <si>
    <t>Tradicionālo un novada svētku rīkošana</t>
  </si>
  <si>
    <t>Muzejs - Carnikavas novadpētniecības centrs</t>
  </si>
  <si>
    <t>DRN</t>
  </si>
  <si>
    <t>Atbalsts Garkalnes un Baltezera baznīcām</t>
  </si>
  <si>
    <t>Atbalsts jaunatnes politikas īstenošanai vietējā līmenī - Projekts"Mobilais darbs ar jaunatni Ādažu novadā"</t>
  </si>
  <si>
    <t>Optiskās datu pārraides nodrošināšana Ādažu vidusskolā Gaujas ielā 30. Ierīkošanas izmaksas un abonēšana mēnesī  (TET piedāvājums 18150 EUR un  297 EUR) (LMT piedāvājums no 14520 līdz  18150 EUR un  300 EUR)</t>
  </si>
  <si>
    <t>Ādažu vidusskola ERASMUS</t>
  </si>
  <si>
    <t>Carnikavas pamatskola ERASMUS+</t>
  </si>
  <si>
    <t>Pavisam kopā:</t>
  </si>
  <si>
    <t>Struktv. kods</t>
  </si>
  <si>
    <t>PII Strautiņš</t>
  </si>
  <si>
    <t>Ādažu novada mākslu skola</t>
  </si>
  <si>
    <t>Pieejamie līdzekļi</t>
  </si>
  <si>
    <t>Skolēnu apbalvošana par augstiem mācību sasniegumiem (balvu fonds), tāme Nr. 14</t>
  </si>
  <si>
    <t>Ķiršu ielas III kārta no Saules ielas līdz Attekas ielai 0.17km</t>
  </si>
  <si>
    <t>Dadzīšu ielas projekts</t>
  </si>
  <si>
    <t xml:space="preserve">Novada sporta pasākumi </t>
  </si>
  <si>
    <t>CKS Pārvalde</t>
  </si>
  <si>
    <t>Ceļu ielu infrastruktūras attīstības programma</t>
  </si>
  <si>
    <t>Projekts "Eiropas pilsētu iniciatīva"</t>
  </si>
  <si>
    <t>Dotācijas "Energoresursu atbalsts"</t>
  </si>
  <si>
    <t>10</t>
  </si>
  <si>
    <t>Valsts finansējums projektu konkursā "Atbalsts jaunatnes politikas īstenošanai vietējā līmenī"  projekts "Mobilais darbs ar jaunatni Ādažu novadā"</t>
  </si>
  <si>
    <t>TEP “Atjaunojamo energoresursu izmantošana Ādažu novadā” (EUCF)</t>
  </si>
  <si>
    <t>Pārējās investīcijas:</t>
  </si>
  <si>
    <t>SAM 5.1.1. Pretplūdu pasākumi Ādažu centra polderī, Ādažu novadā</t>
  </si>
  <si>
    <t>Projekts pabeigts</t>
  </si>
  <si>
    <t>0632.5</t>
  </si>
  <si>
    <t>14.1.</t>
  </si>
  <si>
    <t>14.2.</t>
  </si>
  <si>
    <t>14.3.</t>
  </si>
  <si>
    <t>14.4.</t>
  </si>
  <si>
    <t>14.5.</t>
  </si>
  <si>
    <t>14.6.</t>
  </si>
  <si>
    <t>Plūdu risku projekts</t>
  </si>
  <si>
    <t>Dotācija nodarbinātības pasākumiem</t>
  </si>
  <si>
    <t>SAM 9311 Deinstitucionalizācija - Dienas centrs - specializētās darbnīcas</t>
  </si>
  <si>
    <t>Dienas centrs - pakalpojumi (Ā)</t>
  </si>
  <si>
    <t>10.2.9.</t>
  </si>
  <si>
    <t>10.2.12.</t>
  </si>
  <si>
    <t>10.2.17.</t>
  </si>
  <si>
    <t>10.2.18.</t>
  </si>
  <si>
    <t>10.2.19.</t>
  </si>
  <si>
    <t>ESF projekts Atbalsts priekšlaicīgas mācību pārtraukšanas samazināšanai © (Pumpurs)</t>
  </si>
  <si>
    <t>DI centra uzturēšanas izdevumi</t>
  </si>
  <si>
    <t>DI centra pakalpojumi (projekts)</t>
  </si>
  <si>
    <t>Ādažu novada  Mākslu skola</t>
  </si>
  <si>
    <t>DI projekts- specializētās darbnīcas</t>
  </si>
  <si>
    <t>0633.5</t>
  </si>
  <si>
    <t>Ģimenes ārsta prakses izveide_Garā iela 20 (ERAF, SAM 9.3.2. 4.kārta)</t>
  </si>
  <si>
    <t>Uzsāktie un atbalstītie projekti</t>
  </si>
  <si>
    <t>Obligātās/gadskārtējās investīcijas</t>
  </si>
  <si>
    <t>Uzsāktie un atbalstītie projekti pavisam kopā:</t>
  </si>
  <si>
    <t>Obligātās/gadskārtējās investīcijas kopā:</t>
  </si>
  <si>
    <t>ieņēmumi no vecāku maksām (PII)</t>
  </si>
  <si>
    <t>ieņēmumi no vecāku maksām (ĀMMS; BJSS)</t>
  </si>
  <si>
    <t>21.3.9.3.</t>
  </si>
  <si>
    <t>ieņēmumi no biļešu realizācijas</t>
  </si>
  <si>
    <t>Pašvaldības iesaiste publiski svarīgos pasākumos, projektos Ādažu novadā - Līdzfinansējums</t>
  </si>
  <si>
    <t>maksa par izglītības pakalpojumiem</t>
  </si>
  <si>
    <t>pārējie ieņēmumi/stāvvietu ieņēmumi</t>
  </si>
  <si>
    <t>09.5.1.2.</t>
  </si>
  <si>
    <t>KA</t>
  </si>
  <si>
    <t>PII Piejūra</t>
  </si>
  <si>
    <t>9.4.3.</t>
  </si>
  <si>
    <t>uzturēšanas izmaksas (CKS)</t>
  </si>
  <si>
    <t>9.5.3.</t>
  </si>
  <si>
    <t>CKS_apsaimniek</t>
  </si>
  <si>
    <t>Muzejs un Carnikavas novadpētniecības centrs</t>
  </si>
  <si>
    <t>0843</t>
  </si>
  <si>
    <t>1014.3</t>
  </si>
  <si>
    <t xml:space="preserve">Pabalsts EUR 50,00 mēnesī ēdināšanai par trešo* bērnu (1,5-7 gadiem). </t>
  </si>
  <si>
    <t>Neatbalstītās investīcijas</t>
  </si>
  <si>
    <t>6.4.3.</t>
  </si>
  <si>
    <t>6.4.4.</t>
  </si>
  <si>
    <t>6.4.5.</t>
  </si>
  <si>
    <t>6.4.10.</t>
  </si>
  <si>
    <t xml:space="preserve">Nekustamā īpašumas nodaļa </t>
  </si>
  <si>
    <t>10.2.20.</t>
  </si>
  <si>
    <t>14.10.</t>
  </si>
  <si>
    <t>14.11.</t>
  </si>
  <si>
    <t>14.12.</t>
  </si>
  <si>
    <t>EKII projekts</t>
  </si>
  <si>
    <t>Katlu mājas pārbūve Carnikavā, Tulpju iela 5</t>
  </si>
  <si>
    <t>Draudzības iela posmā no Saules ielai līdz Podnieku ielai ar ietvi 0.35km</t>
  </si>
  <si>
    <t>9.8.</t>
  </si>
  <si>
    <t>Dotācija CKS teritorijas uzturēšanai</t>
  </si>
  <si>
    <t>Dotācija CKS ceļu uzturēšanai</t>
  </si>
  <si>
    <t>Teritorijas uzturēšana (Dome)</t>
  </si>
  <si>
    <t>GAUJAS SVĒTKI (Atsevišķa tāme). Prioritāte. Rīcības plānā 11.1.1.2.</t>
  </si>
  <si>
    <t>DI</t>
  </si>
  <si>
    <t>10.1.12.</t>
  </si>
  <si>
    <t>10.1.13.</t>
  </si>
  <si>
    <t>10.1.14.</t>
  </si>
  <si>
    <t>Izmaiņa 23.03.2023. - 26.01.2023.</t>
  </si>
  <si>
    <t>Saskaņā ar projekta NP</t>
  </si>
  <si>
    <t>Tiek ieskaitīts reizi ceturksnī.</t>
  </si>
  <si>
    <t>Realizē CKS</t>
  </si>
  <si>
    <t>6.5.1.</t>
  </si>
  <si>
    <t>6.5.2.</t>
  </si>
  <si>
    <t>6.5.3.</t>
  </si>
  <si>
    <t>6.5.4.</t>
  </si>
  <si>
    <t>6.5.5.</t>
  </si>
  <si>
    <t>6.5.5.1</t>
  </si>
  <si>
    <t>6.5.5.2.</t>
  </si>
  <si>
    <t>6.5.5.3.</t>
  </si>
  <si>
    <t>6.5.6.</t>
  </si>
  <si>
    <t>6.5.7.</t>
  </si>
  <si>
    <t>6.5.8.</t>
  </si>
  <si>
    <t>6.5.9.</t>
  </si>
  <si>
    <t>6.5.10.</t>
  </si>
  <si>
    <t>6.5.11.</t>
  </si>
  <si>
    <t>6.5.12.</t>
  </si>
  <si>
    <t>6.5.13.</t>
  </si>
  <si>
    <t>6.5.14.</t>
  </si>
  <si>
    <t>Par projekta gaitu ziņo izpilddirektors.</t>
  </si>
  <si>
    <t>Par projekta gaitu ziņo CKS.</t>
  </si>
  <si>
    <t>Lielākās izmaksas maijā - Gaujas svētki, pasākumi siltajā sezonā.</t>
  </si>
  <si>
    <t>Lielākās izmaksas - Nēģu svētki, pasākumi siltajā sezonā.</t>
  </si>
  <si>
    <t>Pedagogiem atvaļinājumi vasarā.</t>
  </si>
  <si>
    <t>Precizēta projekta NP</t>
  </si>
  <si>
    <t>Arhitektu plenērs izglītības kvartālam Carnikavā</t>
  </si>
  <si>
    <t>Jauniešu iniciatīvu projekti, tāme Nr. 8 (8x500EUR=4000EUR)</t>
  </si>
  <si>
    <t>08412</t>
  </si>
  <si>
    <t>18.6.3.20.</t>
  </si>
  <si>
    <t>Periods:</t>
  </si>
  <si>
    <t>IEŅĒMUMI</t>
  </si>
  <si>
    <t>IEŅĒMUMI kopā</t>
  </si>
  <si>
    <t>1. Nodokļu ieņēmumi</t>
  </si>
  <si>
    <t>1.1. Iedzīvotāju ienākuma nodoklis</t>
  </si>
  <si>
    <t>1.2. Nekustamā īpašuma nodokļu ieņēmumi</t>
  </si>
  <si>
    <t>1.3. Dabas resursu nodoklis</t>
  </si>
  <si>
    <t>2. Valsts (pašvaldību) un kancelejas nodevas</t>
  </si>
  <si>
    <t>3. Naudas sodi un sankcijas</t>
  </si>
  <si>
    <t>4. Pārējie nenodokļu ieņēmumi</t>
  </si>
  <si>
    <t>5. Ieņēmumi no pašvaldības īpašuma pārdošanas</t>
  </si>
  <si>
    <t>6. Valsts budžeta transferti un projektu finansējums</t>
  </si>
  <si>
    <t>6.1. Valsts budžeta transferti</t>
  </si>
  <si>
    <t>7. Pašvaldību budžeta transferti</t>
  </si>
  <si>
    <t>8. Budžeta iestāžu ieņēmumi</t>
  </si>
  <si>
    <t>AIZŅĒMUMI</t>
  </si>
  <si>
    <t>AIZŅĒMUMI kopā</t>
  </si>
  <si>
    <t>1. ”Mobilitātes punkta infrastruktūras izveidošana Rīgas metropoles areālā – “Carnikava””</t>
  </si>
  <si>
    <t>2. Maģistrālā  veloceļa izbūve Rīga-Carnikava</t>
  </si>
  <si>
    <t>3. "Auto stāvlaukuma Lilastē paplašināšana, atpūtas vietu, labiekārtojuma, labierīcību, kempinga iespēju projektēšana un izbūve" ©</t>
  </si>
  <si>
    <t>4. SAM 5.1.1. Pretplūdu pasākumi Ādažu centra polderī, Ādažu novadā</t>
  </si>
  <si>
    <t>5. Apgaismojuma izbūve uz Salas aizsargdamja D-2 posmā, Carnikavas pagastā</t>
  </si>
  <si>
    <t>6. Carnikavas stadiona rekonstrukcija</t>
  </si>
  <si>
    <t>7. Ādažu vidusskolas ēkas B korpusa un savienojuma daļas starp korpusiem (C un B) fasādes atjaunošana</t>
  </si>
  <si>
    <t>8. Kalngales NAI pārbūve</t>
  </si>
  <si>
    <t>9. EKII projekts</t>
  </si>
  <si>
    <t>10. Katlu mājas pārbūve Carnikavā, Tulpju iela 5</t>
  </si>
  <si>
    <t>11. Ķiršu ielas III kārta no Saules ielas līdz Attekas ielai 0.17km</t>
  </si>
  <si>
    <t>12. Draudzības iela posmā no Saules ielai līdz Podnieku ielai ar ietvi 0.35km</t>
  </si>
  <si>
    <t>13. Liepu aleja</t>
  </si>
  <si>
    <t>IZDEVUMI</t>
  </si>
  <si>
    <t>IZDEVUMI kopā</t>
  </si>
  <si>
    <t>1. Vispārējie valdības dienesti</t>
  </si>
  <si>
    <t>2. Sabiedriskā kārtība un drošība (bāze)</t>
  </si>
  <si>
    <t>3. Sabiedriskās attiecības, laikraksts</t>
  </si>
  <si>
    <t>4. Autoceļu fonds</t>
  </si>
  <si>
    <t>5. Vides aizsardzība (DRN izlietojums)</t>
  </si>
  <si>
    <t>6. Pašv. teritoriju un mājokļu apsaimniekošana</t>
  </si>
  <si>
    <t>7. Atpūta, kultūra un reliģija</t>
  </si>
  <si>
    <t>8. Sociālā aizsardzība</t>
  </si>
  <si>
    <t>9. Izglītība</t>
  </si>
  <si>
    <t>10. Kredītu pamatsummas atmaksa</t>
  </si>
  <si>
    <t>Rēķins par visu gadu gada sākumā, var nomaksāt 4os maksājumos.</t>
  </si>
  <si>
    <t>Pēc faktiskās izpildes.</t>
  </si>
  <si>
    <t>Šīs apkures sezonas kompensācijas beigušās.</t>
  </si>
  <si>
    <t>Par projektiem ziņo IDR</t>
  </si>
  <si>
    <t>Ziņo CKS</t>
  </si>
  <si>
    <t>Atlikums uz 30.06.2023</t>
  </si>
  <si>
    <t>Lielākās plāna pozīcijas bērnu radošās nometnes vasarā.</t>
  </si>
  <si>
    <t>1.1. Pārvalde, deputāti, komisijas</t>
  </si>
  <si>
    <t>1.2. Aizņēmumu procentu maksājumi</t>
  </si>
  <si>
    <t>1.3. Iemaksas PFIF</t>
  </si>
  <si>
    <t>6.2. CKS komunālie pakalpojumi</t>
  </si>
  <si>
    <t>6.3. Teritorijas uzturēšana</t>
  </si>
  <si>
    <t>6.4. Projekti</t>
  </si>
  <si>
    <t>Apkure (2221; 2321)</t>
  </si>
  <si>
    <t>Ūdens (2222)</t>
  </si>
  <si>
    <t>Elektrība (2223)</t>
  </si>
  <si>
    <t>Degviela (2322)</t>
  </si>
  <si>
    <t>KOMUNĀLIE MAKSĀJUMI, DEGVIELA</t>
  </si>
  <si>
    <t>Nosaukums, EKK</t>
  </si>
  <si>
    <t>Budžeta plāns ar grozījumiem</t>
  </si>
  <si>
    <t>Izpilde 2023.g. 1.pusgads (EUR)</t>
  </si>
  <si>
    <t>Izpilde 2023.g. 1.pusgads (%)</t>
  </si>
  <si>
    <t>Apkure (2221;2321)</t>
  </si>
  <si>
    <t>Ūdens, kanalizācija (2222)</t>
  </si>
  <si>
    <t>Ādažu pašvaldība</t>
  </si>
  <si>
    <t xml:space="preserve">(neskaitot iedzīvotājiem sniegtos komunālos pakalpojumus) </t>
  </si>
  <si>
    <t>6.2. ES struktūrfondu līdzekļi un aktivitāšu līdzfin.</t>
  </si>
  <si>
    <t xml:space="preserve">Carnikavas komunālserviss </t>
  </si>
  <si>
    <t>Rezerve/ iztrūkums EUR</t>
  </si>
  <si>
    <t>1. Izpilde tuvu plānotajam.</t>
  </si>
  <si>
    <t>8.2. Ieņēmumi par nomu un īri</t>
  </si>
  <si>
    <t>1.2. NĪN rēķins par visu gadu gada sākumā, var nomaksāt 4 maksājumos.</t>
  </si>
  <si>
    <t>6.1. APN, NĪN, TPN, Būvvalde</t>
  </si>
  <si>
    <t>6.2. Ziņo CKS.  Šī pozīcija atspoguļojas gan ieņēmumos, gan izdevumos.</t>
  </si>
  <si>
    <t>6.4.  Atbilstoši projektu NP. Par projektu gaitu sīkāk ziņos izpilddirektors.</t>
  </si>
  <si>
    <t>9.6. Privātās izglītības iestādes</t>
  </si>
  <si>
    <t>9.7. Carnikavas pamatskola</t>
  </si>
  <si>
    <t>9.8. Ādažu vidusskola</t>
  </si>
  <si>
    <t>9.9. Ādažu novada  Mākslu skola</t>
  </si>
  <si>
    <t>9.10. Sporta skola</t>
  </si>
  <si>
    <t xml:space="preserve">9.11. Izglītības un jauniešu lietu pārvalde </t>
  </si>
  <si>
    <t>9.12. Projekti</t>
  </si>
  <si>
    <t>9.2. Ādažu PII "Strautiņš"</t>
  </si>
  <si>
    <t>9.3. Kadagas PII "Mežavēji"</t>
  </si>
  <si>
    <t>9.4. Carnikavas PII "Riekstiņš"</t>
  </si>
  <si>
    <t>9.5. Siguļu PII "Piejūra"</t>
  </si>
  <si>
    <t>9.1. Norēķini ar pašvaldībām par izglītības iestāžu pakalp.</t>
  </si>
  <si>
    <t>Ādažu novada pašvaldības iestāžu un CKS konsolidētie komunālie izdevumi</t>
  </si>
  <si>
    <t>5. Pašvaldības DRN maksājums. Parasti tiek novirzīts kapitālieguldījumiem nevis uzturēšanas izdevumiem.</t>
  </si>
  <si>
    <t>Līdzfinansējums skolēnu dalībai konkursos</t>
  </si>
  <si>
    <t>Izglītības un jaunatnes nodaļa</t>
  </si>
  <si>
    <t>Iepirkums  Ādažu novada teritorijas plānojuma transporta  plānam. SIA "Grupa93" EUR 41'900+PVN=50'699</t>
  </si>
  <si>
    <t>0633.6</t>
  </si>
  <si>
    <t>Ātruma mērišanas iekārta</t>
  </si>
  <si>
    <t>Saskaņā ar investīcijas plānu Ā16.1.1.3.1. un izmaiņām normat.aktos</t>
  </si>
  <si>
    <t>Saskaņā ar federāciju izcenojumiem par dalības maksām</t>
  </si>
  <si>
    <t>Papildus jāuzstāda 2 videonovērošanas kameras futbola laukumam</t>
  </si>
  <si>
    <t>Papildus apgaismojuma stabs ar prožektoru futbola laukumam.</t>
  </si>
  <si>
    <t>Carnikavas skeitparks</t>
  </si>
  <si>
    <t>Saskaņā ar 2023.gada 6.septembra domes lēmumu NR.340</t>
  </si>
  <si>
    <t>Saskaņā ar 2023.gada 28.septembra domes lēmumu NR.385</t>
  </si>
  <si>
    <t>Rotaļiekārtu  un seguma maiņa Taurenīšu, Lapsēnu, Skudriņu, Vāverēnu grupu laukumiņa</t>
  </si>
  <si>
    <t>Nepieciešama laukumiņa seguma maiņa (no smilts uz lietu gumiju), un rotaļiekārtu maiņa, jo iepriekšējās ir kalpojušas no 2010.gada un ir nolietojušās)</t>
  </si>
  <si>
    <t>Rotaļiekārtu  un seguma maiņa Ežu, Zaķēnu, Pelēnu un Gliemežu grupu laikumā</t>
  </si>
  <si>
    <t>Apgaismes tehnika aktu zālei</t>
  </si>
  <si>
    <t>Mēbeļu un aprīkojuma iegāde</t>
  </si>
  <si>
    <t>Mēbeļu un aprīkojuma iegāde - 2024.gadā Garā iela 20 plānots un domes sēdē runāts par telpu sadalījumu un izveidot vairāk kabinetu, lai varētu nodrošināt vienlīdzīgu izglītības programmmu piedāvājumu Ādažos un Carnikavā. Carnikavā ir par 9 izglītības programmām mazāk kā Ādažos. Tai skaitā dejas nodaļas klases izveide - plaukti, skapji, deju grīda, spoguļi.</t>
  </si>
  <si>
    <t>ĀNMS ir 85 darbinieki un 83 datori. No kuriem seši šobrīd ir norakstāmi. Mākslu skolā ir novecojusi datortehnika un ir nepieciešama tās atjaunošana, jo uzlabot principā esošo datortehniku nevar. 2022. gadā veicām 35 datoru uzlabošu, kas pēc IT nodaļas speciālistu teiktā nodrošinās šo datoru darbību aptuveni 2 gadus. Jau saskaramies, ka kāds no šiem datoriem atsakās strādāt. Ņemot vērā tehnoloģiju straujo attīstību, esošajiem datoriem, kuri ir vecāki par 2018.gadu (tie ir 27 datori) nav iespējams veikt operētājsistēmu un programmatūras atjaunināšanu uz jaunākajām versijām, lai nodrošinātu optimālu darbību un drošību, kā arī ir grūti pieejamas rezerves daļas vai neadekvāti dārgas remonta izmaksas. Šī iemesla dēļ obligāti nepieciešams pakāpeniski atjaunot datortehniku uzlabojot to ar modernām, mācību procesam un drošībai atbilstošu tehniku</t>
  </si>
  <si>
    <t>Novecojušās datortehnikas pakāpeniska nomaiņa pret jaunu</t>
  </si>
  <si>
    <t>Lieldienu sarīkojumi (31.03.)</t>
  </si>
  <si>
    <t>Latvijas Neatkarības atjaunošanas diena "Baltā galdauta svētki" (04.05.)</t>
  </si>
  <si>
    <t>LĪGO svētki Ādažos (23.06.)</t>
  </si>
  <si>
    <t>Kino/ koncerts Līgo laukumā vai Gaujas parkā</t>
  </si>
  <si>
    <t xml:space="preserve">Latvijas Valsts svētku sarīkojumi (programmas, svinīgais sarīkojums Kultūras centrā 17.11.) </t>
  </si>
  <si>
    <t>Ādažu Ziemassvētku egles iedegšana (01.12.)</t>
  </si>
  <si>
    <t>TAD SPRIGULĪTIS 55 gadu jubileja, VDK SPRIGULIS 15 gadu jubilejas pasākums ar goda viesu piedalīšanos</t>
  </si>
  <si>
    <t>Teātra dienas pasākums. Amatierteātris KONTAKTS</t>
  </si>
  <si>
    <t>SDK DĒKA 10 gadu jubileja</t>
  </si>
  <si>
    <t>VDK SĀNSOLĪTIS koncerts</t>
  </si>
  <si>
    <t xml:space="preserve">Senioru vokālo ansanbļu pasākums " Dziesmu putenis" </t>
  </si>
  <si>
    <t>G.Freidenfelda Vīru ansablis koncerts</t>
  </si>
  <si>
    <t>Projektu līdzfinansējums iedzīvotājiem</t>
  </si>
  <si>
    <t>SDK SPRIGULIS  (12 vīru vestes)</t>
  </si>
  <si>
    <t>VPDK SPRIGULIS Ādažu novada tautas tērpu detaļu izgatavošana (14 vīru vestes, 8 sievu blūzes)</t>
  </si>
  <si>
    <t xml:space="preserve">Kora JUMIS 25 vīru krekli </t>
  </si>
  <si>
    <t>SDK DĒKA tautas tērpu šūšana (8 vīru jakas, 8 sieviešu brunči, 1 mētelis), tika šūšana, jo aufums ir iegādāts</t>
  </si>
  <si>
    <t>VDK SĀNSOLĪTIS tautas tērpu izgatavošana Latgales (12 vīru vestes)</t>
  </si>
  <si>
    <t>Tērpu komplekta izgatavošana ir uzsākta, kā arī ir pieaudzis dalībnieku skaits un audzis mākslinieciskais līmenis, kolektīvam 55 jubilejas gads</t>
  </si>
  <si>
    <t>ĀKC skatuves gaismu sistēmu nomaiņa uz energoefektīvu aprīkojumu</t>
  </si>
  <si>
    <t>VKKF līdzfinansējums jaunās ekspozīcijas izveidē (plānots iesniegt 2024. gada ziemā).</t>
  </si>
  <si>
    <t xml:space="preserve">Vraka nojumes remonts  </t>
  </si>
  <si>
    <t>Izstāžu atjaunošana ĀMVG (planšetes, vitrīnas, interaktīvie risinājumi).</t>
  </si>
  <si>
    <t>Ledusskapis (kāzu un pasākumu nodrošināšanai)</t>
  </si>
  <si>
    <t>Trauku mazgāšanas mašīna (vienlaicīgi jāmazgā līdz pat 50 trauku komplektiem).</t>
  </si>
  <si>
    <t xml:space="preserve">Koka konteinera (āra glābāšanas sistēmas) apšūšana, materiāli (koks) </t>
  </si>
  <si>
    <t>Blusu kroga jumta remonts</t>
  </si>
  <si>
    <t>Blusu kroga mēbeļu atjaunošana</t>
  </si>
  <si>
    <t xml:space="preserve">Metāla konteineris materiālu un invenrāra glābāšanai (ar krājuma telpu katastrofāli nepietiek vietas, krājuma vienību skaits ar katru gadu aug) </t>
  </si>
  <si>
    <t xml:space="preserve">Zvejas kutera nojumes būve </t>
  </si>
  <si>
    <t xml:space="preserve">Atpūtas vietas labiekārtošana (līdzīgi kā atpūtas ielā, lai cilvēki neizmanto atpūtai nojumi, viens koka nojumes cena ir 2000) </t>
  </si>
  <si>
    <t>U4.3.2: Attīstīt tūrismu Ādažu novadā. C4.3.2.4. Tūrisma infrastruktūras attīstība</t>
  </si>
  <si>
    <t>Teritorijas un tūrisma maršrūtu labiekārtošana</t>
  </si>
  <si>
    <t>U4.3.2: Attīstīt tūrismu Ādažu novadā. C4.3.2.4. Tūrisma infrastruktūras attīstība. C8.3.2.2. Informatīvu stendu izvietošana dabas parkā “Piejūra”</t>
  </si>
  <si>
    <t>Projekta Rīgas Plānošanas reģiona īstenotajā INTERREG VI-A Igaunijas-Latvijas 2021.-2027 programmas projektā "Pārgājienu taku pieejamība" pašvaldības līdzfinansējums.</t>
  </si>
  <si>
    <t xml:space="preserve">Ikgadējais remonts (ko nesedz komunālservisa budžets) </t>
  </si>
  <si>
    <t>Tūrisms</t>
  </si>
  <si>
    <t>Zvejnieksvētku zaļumballe</t>
  </si>
  <si>
    <t>Amatierteātra Nagla pirmizrāde</t>
  </si>
  <si>
    <t>VPDK Arnika -Tautas deju festivāls "Jādejo, lai būtu prieks"</t>
  </si>
  <si>
    <t>TLMS Auseklītis un Sidarbota izstāde</t>
  </si>
  <si>
    <t>JDK Abi divi -Ādažu novada bērnu deju kolektīvu skate</t>
  </si>
  <si>
    <t>Kora Undīne - Koru kari</t>
  </si>
  <si>
    <t>Dāmu deju kopas "Gaujmalietes"  20 gadu jubilejas pasākums</t>
  </si>
  <si>
    <t>Tēlotājmākslas studijas SIDRABOTA  - gruntēšanas meistarklase</t>
  </si>
  <si>
    <t xml:space="preserve">Tautas nama Lielās zāles grīdas seguma remonts </t>
  </si>
  <si>
    <t>Prioritāte, jo esošais parketa segums ir kritiskā stāvoklī. Tam nepieciešama atjaunošana - slīpešana, pulēšana, eļļošana, kā arī skatuves podestu pakāpienu atjaunošana</t>
  </si>
  <si>
    <t xml:space="preserve">Jaunas skaņu tehnikas  iegāde kultūras pasākumu nodrošināšanai. </t>
  </si>
  <si>
    <t>Prioritāte, jo esošā skaņas tehnika vairs nevar nodrošināt kvalitatīvu pasākumu apskanošanu, jo tā ir nolietojusies gan morāli, gan fiziski, ņemot vērā, ka iegādāta 2010.gadā. Tā tikusi aizdota arī citu iestāžu pasākumu nodrošināšanai, piemēram abu bērnudārzu, pamatskolas, Kalngales biedrības pasākumu rīkošanai.</t>
  </si>
  <si>
    <t>Sieviešu kora Undīne koncerttērpu papildināšana jaunajiem dalībniekiem 5 linu kleitas</t>
  </si>
  <si>
    <t>2023. gada 28. septembrī Lēmums Nr. 381 Par multimodālās agrīnās intervences programmu STOP 4-7, 4. punkts</t>
  </si>
  <si>
    <t>Bērnu un jauniešu radošās darbnīcas un nometnes, tāme Nr. 32</t>
  </si>
  <si>
    <t xml:space="preserve">ĀNP/1-3-1-2/23/11 - Izglītības, kultūras, sporta un sociālā komitejas 06.09.2023. sēdes protokols. </t>
  </si>
  <si>
    <t>Novada pedagogu ikgadējā konference augustā
Tāme Nr. 13</t>
  </si>
  <si>
    <t>Šogad iztrūka finansējuma, rotājumiem, darbinieki nesa savus ziedus un traukus, arī pakalpojumi tika nodrošināti ar individuālo tehniku</t>
  </si>
  <si>
    <t>Pieaugušo un mūžizglītības kursi (novada iedzīvotājiem ar dalībnieku līdzfinansējumu) Tāme Nr.12</t>
  </si>
  <si>
    <t>Pasākumi digitālās kompetences pilnveidei Tāme Nr.16</t>
  </si>
  <si>
    <t>Programma STOP 4-7 Tāme Nr.17</t>
  </si>
  <si>
    <t>2023. gada 13. septembrī Lēmums Nr. 343 “Par projekta “Digitālās plaisas mazināšana sociāli neaizsargātajām grupām un izglītības iestādēs” īstenošanu (protokols Nr. 23 § 3).</t>
  </si>
  <si>
    <t>Skatīs FK. 18.10.2023.</t>
  </si>
  <si>
    <t>24.05.2023.nolikums Nr.11 “Iniciatīvu projektu finansēšanas kārtība Ādažu novada pašvaldībā”. 
Nolikumā 8.punkts paredz līdzfinansējuma summas (apakšpunkts 8.2. izglītojamo projektiem – 3000 euro)</t>
  </si>
  <si>
    <t xml:space="preserve">Mobilā aplikācija "Mana pilsēta" ar saimniecības darbu atzīmes iespējām  un autorizēto aptauju veikšanu. Abonēšanas maksa mēnesī ir  900 eiro bez PVNx12, ieviešanas maksa 3000 eiro bez PVN, PVN =2898, kopā 16 698, neierobežotas iespējas veidot deklarēto iedzīvotāju aptaujas. Cita formāta informatīvais izdevums ir uz pusi lētāks, tā vietā - moderna mobilā aplikācija "Mana pilsēta". </t>
  </si>
  <si>
    <t>ĀNP 28.12.2022. lēmums Nr. 599</t>
  </si>
  <si>
    <t>ĀNP 22.02.2023. lēmums Nr. 47</t>
  </si>
  <si>
    <t>ĀNP 24.05.2023. lēmums Nr. 192</t>
  </si>
  <si>
    <t>2 jaunu veloapkopes stendu izveide Kadagā un Kalngalē</t>
  </si>
  <si>
    <t>Konkurss: Par ziemassvētku dekorācijām īpašumos (balvas 250+150+100 +reprezentācija) RP 2023.gada konkursa apbalvošana - pārceļas.</t>
  </si>
  <si>
    <t>MS Project programmas iegādei 7 darbiniekiem</t>
  </si>
  <si>
    <t>Puķu podi Pirmā ielā pie bērnu dārza transporta organizēšanai</t>
  </si>
  <si>
    <t>Sportisko aktivitāšu laukums Ādažos Pirmā iela 25. Trūkstošo āra sporta laukuma aprīkojums - vingrošanas iekārta, āra trenažieris, vingrošanas iekārtas pārbaude</t>
  </si>
  <si>
    <t>Rotaļu un aktīvās atpūtas laukums Ziedlejās</t>
  </si>
  <si>
    <t>Digitāls info stends Ādažos</t>
  </si>
  <si>
    <t>ANM pasākuma "Atbalsta pasākumi cilvēkiem ar invaliditāti mājokļu vides pieejamības nodrošināšanai" projekts</t>
  </si>
  <si>
    <t>Ēkas fasādes burtu VIDUS izgatavošana un montāža, lai būtu uzraksts Carnikavas vidusskola</t>
  </si>
  <si>
    <t>Basketbola konstrukciju pacelšanas mehānisma drošības sistēma (ķērājs) ar piegādi, montāžu un noregulēšanu</t>
  </si>
  <si>
    <t>09826</t>
  </si>
  <si>
    <t>Taburetes ēdamzālei 55eur+pvn x 190.gab.</t>
  </si>
  <si>
    <t>Dārza tehnikas iegādei  - (Raideris), zāles pļaušana, sniega tīrīšana.</t>
  </si>
  <si>
    <t>Saskaņots ar CKS</t>
  </si>
  <si>
    <t xml:space="preserve">Videonovērošans sistēmas apkalpošana, uzturēšana, jaunu kameru uzturēšana. </t>
  </si>
  <si>
    <t>Galdi un krēsli C korpusa 2. stāva klasēm 150 komplekti</t>
  </si>
  <si>
    <t>Ja nebūs C 2. stāvs mācību klases (ja paliks pirmsskola)</t>
  </si>
  <si>
    <t xml:space="preserve">Interaktīvā displejs 75 collas matemātikas un angļu val. kabinetos </t>
  </si>
  <si>
    <t>Interaktīvā displejs 75 collas C korpusa 2. stāva kabinetos (bērnudārza pārbūve) 5*3000.00=15000.00 EUR</t>
  </si>
  <si>
    <t>Ja C korpusa 2. stāva pirmsskolā ierīko klases</t>
  </si>
  <si>
    <t xml:space="preserve">Darba stacija (dators+monitors+programmatūra) (komplekts 1000 EUR) KOPĀ~6. </t>
  </si>
  <si>
    <t>Skolēnu skaita palielinājums, jauna datora klase</t>
  </si>
  <si>
    <t xml:space="preserve">IZM piegādāto ChromeBook (IZM projekts datori 7-9 kl. skolēniem) uzglabāšanas, uzlādes skapji 5 gb. (32 datori vienā skapī). </t>
  </si>
  <si>
    <t>Ādažu vidusskolas ēkas A korpusa, savienojuma daļas starp korpusiem (A un B), kā arī, vidusskolas centrālās daļas, tai skaitā torņa fasādes atjaunošana.</t>
  </si>
  <si>
    <t>Ādažu vidusskolas ēkas C korpusa otrā stāva tualešu pārbūve (bērnudārza pārbūve)</t>
  </si>
  <si>
    <t>Atlikušo četru ventilācijas iekārtu uzstādīšana Ādažu vidusskolas mācību klasēm, korpusu savienojuma daļās, kā arī, D korpusam. 1., 2. un 3. stāvs. (tai skaitā griestu un gaismekļu nomaiņa, gan klasēs, gan gaiteņos).</t>
  </si>
  <si>
    <t xml:space="preserve">Ugunsdrošība. Vizualizācijas programmas ierīkošana, ātrākai reaģēšanai un uzgunsdrošības trauksmi. (iekļauts viss - no programmēšanas līdz datortehnikai un apmācībām) </t>
  </si>
  <si>
    <t>Šo vajag obligāti.</t>
  </si>
  <si>
    <t>Kora SAKNES koncerts " Rainis. Brauns. Čaks. Mūžibas skartie" (koncerts Ādažos)</t>
  </si>
  <si>
    <t>Kora SAKNES jubilejas koncerts. Pavadošā mūziķu grupa</t>
  </si>
  <si>
    <t>Ādažu novada domes 2023. gada 24. maija ,,Iniciatīvas projektu finansēšanas kārtība Ādažu novada pašvaldībā'' EUR 15'000.</t>
  </si>
  <si>
    <t xml:space="preserve">SN Zupas virtuve </t>
  </si>
  <si>
    <t>Ziemassvētku pabalsts natūrā 25 EUR ,400 personas *25=10000</t>
  </si>
  <si>
    <t>Ziemassvētku paciņa bērniem natūrā 6 EUR ,200 personas</t>
  </si>
  <si>
    <t xml:space="preserve">Daudzbērnu ģimenes pabalsts EUR 50,00 apmērā bērniem no 7-24 g.v.  </t>
  </si>
  <si>
    <t>Nemateriālo ieguldījumu izveidošana - datorprogramma nometņu/nodarbinātības reģistrācijas sistēma Tāme Nr.34</t>
  </si>
  <si>
    <t>Saimniecības vārtu maiņa</t>
  </si>
  <si>
    <t>Garāžas jumta remonts, CKS</t>
  </si>
  <si>
    <t>Ja netiks īstenots līdz gada beigām, tad vajadzēs šos līdzekļus</t>
  </si>
  <si>
    <t>ĀNP KA uz 31.12.2023</t>
  </si>
  <si>
    <t>no tiem, iezīmētiem mērķiem:</t>
  </si>
  <si>
    <t>1) ĀNP KA uz 31.12.2023</t>
  </si>
  <si>
    <t>2) CKS KA uz 31.12.2023</t>
  </si>
  <si>
    <t>Brīvais konta atlikums uz 31.12.2023</t>
  </si>
  <si>
    <t>Brīvais KA uz 31.12.2023</t>
  </si>
  <si>
    <t>KA uz 31.12.2024.</t>
  </si>
  <si>
    <t>APN</t>
  </si>
  <si>
    <t>Ikgadējs projekts</t>
  </si>
  <si>
    <t>Pastaigu taka gar Baltezera kanālu</t>
  </si>
  <si>
    <t>Pēc projekta realizācijas 2025.gadā saņems EUR10 128 no LAD finansējuma.</t>
  </si>
  <si>
    <t>0632.6</t>
  </si>
  <si>
    <t>LIFE NewBauhaus projekts</t>
  </si>
  <si>
    <t>ĀNP 28.12.2022. lēmums Nr. 598</t>
  </si>
  <si>
    <t>Krastupes ielas projekts</t>
  </si>
  <si>
    <t xml:space="preserve">ĀNP 26.07.2023. lēmums Nr.291; </t>
  </si>
  <si>
    <t>Jābūt pabeigtam 2023, bet drošībai pagaidām atstāšu vietu:)</t>
  </si>
  <si>
    <t xml:space="preserve">Būs jauns projekts </t>
  </si>
  <si>
    <t>Pakalpojumu infrastruktūras attīstība deinstitucionalizācijas plānu īstenošanai Ādažu novadā, 9.3.1.1/19/I/016 "Specializētās darbnīcas"</t>
  </si>
  <si>
    <t>Pakalpojumu infrastruktūras attīstība deinstitucionalizācijas plānu īstenošanai Ādažu novadā, 9.3.1.1/19/I/016 Pakalpojumi</t>
  </si>
  <si>
    <t>Konta atlikums, kas jāatskaita atpakaļ?</t>
  </si>
  <si>
    <t>Projekts noslēdzies?</t>
  </si>
  <si>
    <t>Carnikava pamatskola Projekts "Nordplus Junior"</t>
  </si>
  <si>
    <t>Speciāli aprīkotas policijas automašīnu iegāde (atbilstoši opertīvā transporta statusam)</t>
  </si>
  <si>
    <t>2023.gada noslēgtajā līgumā par transportlīdzekļa nomu tā piegādes termiņš ir deviņi mēneši no līguma noslēgšanas brīža. Līdz šim laikam transportlīdzeklis vēl nav piegādāts. Esošajiem transportlīdzekļiem Subaru Forester 2024.gadā būs jau desmit gadi kā tiek izmantots ĀNPP, un tā tehniskais stāvoklis ir tuvu kritiskajam. Transportlīdzeklis Nissan NV300 tiek izmantots 24/7 jau sešu gadu garumā ĀNPP, tā dzinēja tehniskais stāvoklis ir vēl sliktāks. Abiem transportlīdzekļiem ir tādas tehniskas problēmas, ka jebkurā laikā tie var kļūt neizmantojami ilgākā laika periodā.  </t>
  </si>
  <si>
    <t>Pielikums: 0812_Sporta pasākumi_komandas</t>
  </si>
  <si>
    <t>Pielikums: 0812_Subsīdija sportam</t>
  </si>
  <si>
    <t xml:space="preserve">Skolēnu apbalvošana par augstiem mācību sasniegumiem (apbalvošanas pasākums)
Tāme Nr.7 </t>
  </si>
  <si>
    <t>0930.2</t>
  </si>
  <si>
    <t>Jaunatnes nodaļa</t>
  </si>
  <si>
    <t>Skolēnu vasaras nodarbinātība - darba samaksa, tāme Nr. 1</t>
  </si>
  <si>
    <t>TN "Ozolaine"</t>
  </si>
  <si>
    <t>O.Vācieša literārā prēmija dzejā: prēmiju fonds (EUR1500) + apbalvošanas pasākums (EUR4000)</t>
  </si>
  <si>
    <t>!!! Prioritāte. Pamatojums pielikumā. Ekonomija par patērēto elektroenerģiju gada laikā būtu EUR10 000!</t>
  </si>
  <si>
    <t>VPDK Arnika - vīru Vidzemes tautas tērpu komplekts - Vidzemes pusmēteļi  12 gab (245 EUR x 12 gab)</t>
  </si>
  <si>
    <t>VPDK Arnika - vīru Vidzemes tautas tērpu komplekts - Vīriešu bikses  12 gab (75 EUR x 12 gab)</t>
  </si>
  <si>
    <t>JDK Abi divi jauna koncertuzveduma Zaļumballe tērpi - Sieviešu šņorzābaki  16 gab</t>
  </si>
  <si>
    <t>JDK Abi divi jauna koncertuzveduma Zaļumballe tērpi - Kostīmkleitu brunči 16 gab</t>
  </si>
  <si>
    <t>JDK Abi divi jauna koncertuzveduma Zaļumballe tērpi - Puišu nāģenes 16 gab</t>
  </si>
  <si>
    <t>Interneta tīkla sakārtošana</t>
  </si>
  <si>
    <t>Multihalles 1 sienas apdare ar skaņu izolējošu materiālu( 65kv.m), CKS</t>
  </si>
  <si>
    <t>Sniega pūtējs, CKS</t>
  </si>
  <si>
    <t>Lai atvieglotu sētnieka darbu ziemā</t>
  </si>
  <si>
    <t xml:space="preserve">Ja izvēlas šo pozīciju, tad sniega pūtēju nevajag. </t>
  </si>
  <si>
    <t xml:space="preserve">ĀVS sākumskola                                                                                                                                                      </t>
  </si>
  <si>
    <t>Interaktīvie ekrāni 65"  Esošajam displejam ir matricas bojājums, remonts izmaksā dargāk par jauna displeja iegādi, garantija beigusies. Interaktīvais ekrāns mūzikas kabinetam.</t>
  </si>
  <si>
    <t>Interaktīvie ekrāni / tāfeles kabinetiem, kuros tās nav.</t>
  </si>
  <si>
    <t>1. Uzsāktie projekti</t>
  </si>
  <si>
    <t>3. VĒRTĒJAMĀS investīcijas</t>
  </si>
  <si>
    <t>2. OBLIGĀTĀS. GADSKĀRTĒJĀS investīcijas:</t>
  </si>
  <si>
    <t>1. UZSĀKTIE projekti:</t>
  </si>
  <si>
    <t>3. VĒRTĒJAMĀS investīcijas:</t>
  </si>
  <si>
    <t>4. Zemsvītras ATBALSTĪTĀS investīcijas:</t>
  </si>
  <si>
    <t>4. Zemsvītras ATBALSTĪTĀS investīcijas prioritārā secībā</t>
  </si>
  <si>
    <t>Gaujas 33 koncertzāles sienu remonts un krāsošana</t>
  </si>
  <si>
    <t>Pirmā  iela 42 1.stāva telpu remonts</t>
  </si>
  <si>
    <t>UGD signalizācijas sistēmas rekonstrukcija Gaujas 16</t>
  </si>
  <si>
    <t>Materiāli ceļa ierīkošanai jaunajos Kapos (Baltezera kapi)</t>
  </si>
  <si>
    <t>Soliņi (3 gb) Ādažos</t>
  </si>
  <si>
    <t>Stendi peldvietās (3 gb)</t>
  </si>
  <si>
    <t xml:space="preserve">Dubultā virsma </t>
  </si>
  <si>
    <t>Depo iela 0,185km, Ādaži</t>
  </si>
  <si>
    <t>Piparu ceļš 0.57km, Garkalne</t>
  </si>
  <si>
    <t>Ūbeļu ielā divkārtas virsmas apstrāde 0,92km, Kalngale</t>
  </si>
  <si>
    <t>Bērzu iela 0.29km, Ādaži</t>
  </si>
  <si>
    <t>Āpšu ielas 0.4km divkāršā virsmas apstrāde, Garciems</t>
  </si>
  <si>
    <t>Ežu ielas 0.15km divkāršā virsmas apstrāde, Garciems</t>
  </si>
  <si>
    <t>Pļavu iela 0.46km, Ādaži</t>
  </si>
  <si>
    <t>Lilastes ielas virsmas apstrāde posmā no dz. stacijas līdz Ziemeļu ielas</t>
  </si>
  <si>
    <t>Seguma atjaunošana - asfaltbetons</t>
  </si>
  <si>
    <t>Kalngales ietves seguma atjaunošana ietvei pie P1</t>
  </si>
  <si>
    <r>
      <t xml:space="preserve">Viršu ielas/atzars uz Sproģu ielu asfaltbetona seguma atjaunošana posmā no Dzērveņu ielas līdz Serģu iela (980 m) </t>
    </r>
    <r>
      <rPr>
        <b/>
        <i/>
        <sz val="8"/>
        <rFont val="Arial"/>
        <family val="2"/>
        <charset val="186"/>
      </rPr>
      <t>(ir būvprojekts)</t>
    </r>
  </si>
  <si>
    <r>
      <t xml:space="preserve">Dzirnupes ielas tilta pārbūve </t>
    </r>
    <r>
      <rPr>
        <b/>
        <i/>
        <sz val="8"/>
        <color rgb="FF000000"/>
        <rFont val="Arial"/>
        <family val="2"/>
        <charset val="186"/>
      </rPr>
      <t>jāprojektē</t>
    </r>
  </si>
  <si>
    <t>Gaujas iela 1,3km posmā no Kadagas tilta līdz Dadzīšu ielai</t>
  </si>
  <si>
    <r>
      <t xml:space="preserve">Ķiršu ielas pārbūve 0.17km </t>
    </r>
    <r>
      <rPr>
        <b/>
        <i/>
        <sz val="8"/>
        <color rgb="FF000000"/>
        <rFont val="Arial"/>
        <family val="2"/>
        <charset val="186"/>
      </rPr>
      <t>(ir būvprojekts)</t>
    </r>
  </si>
  <si>
    <r>
      <t xml:space="preserve">Krastupes ielas 0,75km pārbūve </t>
    </r>
    <r>
      <rPr>
        <b/>
        <i/>
        <sz val="8"/>
        <color rgb="FF000000"/>
        <rFont val="Arial"/>
        <family val="2"/>
        <charset val="186"/>
      </rPr>
      <t>jāprojektē</t>
    </r>
  </si>
  <si>
    <r>
      <t xml:space="preserve">Gājēju tuneļa zem dzlezceļa sliedēm Stacijas un Rožu ielas savienošanai izbūve </t>
    </r>
    <r>
      <rPr>
        <b/>
        <i/>
        <sz val="8"/>
        <rFont val="Arial"/>
        <family val="2"/>
        <charset val="186"/>
      </rPr>
      <t>(ir būvprojekts)</t>
    </r>
  </si>
  <si>
    <t>Stāvlaukuma izbūve Garā iela</t>
  </si>
  <si>
    <t>Kanāla iela posmā no Kanāla tiltam līdz Pērles ielai 0.35km</t>
  </si>
  <si>
    <r>
      <t xml:space="preserve">Pirmās ielas  II kārta ietve (0,2km) + stāvvietas +brauktuve 0,05km </t>
    </r>
    <r>
      <rPr>
        <b/>
        <i/>
        <sz val="8"/>
        <rFont val="Arial"/>
        <family val="2"/>
        <charset val="186"/>
      </rPr>
      <t>(ir būvprojekts)</t>
    </r>
  </si>
  <si>
    <r>
      <t xml:space="preserve">Pirmās ielas III kārta ietve 0.12km + brauktuve 0.13km (līdz Ziedu ielai) </t>
    </r>
    <r>
      <rPr>
        <b/>
        <i/>
        <sz val="8"/>
        <rFont val="Arial"/>
        <family val="2"/>
        <charset val="186"/>
      </rPr>
      <t>(ir būvprojekts)</t>
    </r>
  </si>
  <si>
    <t>Ārputnu ielas (daļēji pašu spēkiem) grants ceļa izbūve 0.45km</t>
  </si>
  <si>
    <r>
      <t xml:space="preserve">Mežaparka ceļs I kārta no A1 līdz Mežaparka ceļam 1,1km </t>
    </r>
    <r>
      <rPr>
        <b/>
        <i/>
        <sz val="8"/>
        <rFont val="Arial"/>
        <family val="2"/>
        <charset val="186"/>
      </rPr>
      <t>(ir būvprojekts)</t>
    </r>
  </si>
  <si>
    <r>
      <t xml:space="preserve">Mežaparka ceļs II kārta no A1 līdz Mežaparka ceļam 2,1km </t>
    </r>
    <r>
      <rPr>
        <b/>
        <i/>
        <sz val="8"/>
        <rFont val="Arial"/>
        <family val="2"/>
        <charset val="186"/>
      </rPr>
      <t>(ir būvprojekts)</t>
    </r>
  </si>
  <si>
    <r>
      <t xml:space="preserve">Ķiršu ielas II Lietus kanalizācijas atvade uz Vējupi </t>
    </r>
    <r>
      <rPr>
        <b/>
        <i/>
        <sz val="8"/>
        <rFont val="Arial"/>
        <family val="2"/>
        <charset val="186"/>
      </rPr>
      <t>(ir būvprojekts)</t>
    </r>
  </si>
  <si>
    <t xml:space="preserve">AM finansējums </t>
  </si>
  <si>
    <t>Satiksmes organizācija</t>
  </si>
  <si>
    <t>Satiksmes organizācijas uzlabošana (paskaidrojuma raksti, gājēju pārejas un to apgaismojums (Austrumu iela, Kadaga; Podnieku iela, Ādaži) utt.</t>
  </si>
  <si>
    <t>Autobusa pieturas paviljona uzstādīšana Siguļos pie A1</t>
  </si>
  <si>
    <t>Lietus kanalizācija</t>
  </si>
  <si>
    <t>Tirgus laukuma lietus kanalizācijas izbūve Ādažos</t>
  </si>
  <si>
    <t>Lietus kanalizācijas izbūve (paskaidrojuma raksti (Mežciema iela, Garciems; Cīruļu iela, Kalngale; Ķīvīšu iela, Kalngale; Stūrīšu iela, Ādaži utt.)</t>
  </si>
  <si>
    <t>Līdzfinansējums iedzīvotāju ielām/ceļiem</t>
  </si>
  <si>
    <t>Mežmalas iela 0.22km, Alderi</t>
  </si>
  <si>
    <t>Vēju iela 0,55km, Ādaži</t>
  </si>
  <si>
    <t>Dzirnupes ielas tilta projekts, Carnikava</t>
  </si>
  <si>
    <t>Vanagu iela 0.6km projektēšana (ar ietvi)</t>
  </si>
  <si>
    <t>Veco koka un metāla stabu maiņa Ādažu pag (Vējupes ielā – 3 gab, Kadagas ciemā – 12 gab. Garkalnes ciems – 12 gab, Ziedu iela – 4 gab, Parka iela – 4 gab)</t>
  </si>
  <si>
    <t>Rīgas gatves stabu un kabeļu maiņa (Metāla stabu nomaiņa – 3 gabIelu apgaismojuma kabeļlīnijas nomaiņa posmā no Draudzības ielas apļa līdz Gaujas ielas aplim. )</t>
  </si>
  <si>
    <t>Rūpnieku iela Carnikava 370m</t>
  </si>
  <si>
    <t>EKI</t>
  </si>
  <si>
    <t>nodot Sarmītei</t>
  </si>
  <si>
    <t xml:space="preserve">Ēkas Gaujas iela 16 pieslēgšana centrālizētajai apkures sistēmai </t>
  </si>
  <si>
    <t xml:space="preserve">Bērnu rotaļu atrakcijas Līgo laukuma Ādažos </t>
  </si>
  <si>
    <t>Bērnu rotaļu atrakcijas Carnikavas parkā</t>
  </si>
  <si>
    <t>Bērnu rotaļu atrakcijas Cīruļu ielā 8, Kalngalē</t>
  </si>
  <si>
    <t xml:space="preserve">BOMFORD 10m.izlices grāvju pļaujmašīna (pirmā iemaksa 14000 EUR, kopējā summa 82200 EUR) </t>
  </si>
  <si>
    <t>Stapriņu grāvja pārbūve (garums 5,822km)</t>
  </si>
  <si>
    <t>Mangaļu SS pārbūve</t>
  </si>
  <si>
    <t xml:space="preserve">Summā ir iekļauta  projektēšana, būvniecība, būvuzraudzība un autoruzraudzība. Esošā Mangaļu SS atrodas tehniski sliktā stāvoklī. Š.g. tika veikta avārijas sūkņa remonts, kas ir tikai pagaidu risinājums. Ilgi šī SS neidzīvos. </t>
  </si>
  <si>
    <t>Iepriekš izcirstā meža celmu izvākšana. Celmu un grunts utilizācija.</t>
  </si>
  <si>
    <t>Caurteku pārbūves Ādažu novadā</t>
  </si>
  <si>
    <t>Caurteku un drenāžu cauruļu skalošanas pakalpojumi</t>
  </si>
  <si>
    <t xml:space="preserve">Kā mēs redzam šajā gadā bija nepieciešams skalot gan drenāžas kolektorus Gredzenu ielā Ādažu pagastā, gan caurtekas Kalngalē un Gaujā Carnikavas pagastā. (skalošana izmaksā 1h- 121 eur.) Aprēķināju aptuveni summu uz 20h. </t>
  </si>
  <si>
    <t>Lokālu bebru aizsprostu likvidēšana un grāvju tīrīšanas pakalpojumi</t>
  </si>
  <si>
    <t>Šogad bija nepieciešams ņemt ārpakalpojumu, lai likvidētu 4 bebru aizsprostus uz Mežgarciema, Carnikavas pagasts, Ādažu novads, pašvaldības nozīmes koplietošanas novadgrāvja ar meliorācijas kad. Nr. 412322:16 pik. 06/00,
2.vieta - Carnikavas pagasts, Ādažu pagasts ceļš Garciems-Vilkukalni, koplietošanas novadgrāvis ar meliorācijas kadastra Nr. 412322:35 krustojumā ar susinātājgrāvi ar meliorācijas kadastra Nr. 412322:87,
3. un 4. vieta – Carnikava, Carnikavas pagasts, Ādažu novads, pašvaldības nozīmes koplietošanas novadgrāvis ar meliorācijas kad. Nr. 52112:1 pik.26/00 un 29/00 (Laveru poldera aizsargdambis D-1. Kā ar atsevišķu grāvju tīrīšanas darbi ir nepieciešami. Jo ar CKS pieejamo tehniku nevarēja to izdarīt.</t>
  </si>
  <si>
    <t>VW LT 46 hidromanipulatora kapitālais remonts</t>
  </si>
  <si>
    <t>Hidromanipuladota nolietojums</t>
  </si>
  <si>
    <t>Jomas  iela 5 angāra nr. 2 jauna jumta klājuma izbūve</t>
  </si>
  <si>
    <t>Gaujas iela 33A ēkas fasādes remonts, āra kāpņu un bruģējuma remonts</t>
  </si>
  <si>
    <t>Tautas nams "Ozolaine" fasādes remonts</t>
  </si>
  <si>
    <t xml:space="preserve">Pārējās privātās PII </t>
  </si>
  <si>
    <t>Latvijas Jaunatnes Olimpiāde Valmierā</t>
  </si>
  <si>
    <t>Esošās lapas uzlabojumi. Tūrisma mājaslapa turisms.adazi.lv</t>
  </si>
  <si>
    <t>Camino ceļa stabi (1400 viena projekta komplekts)</t>
  </si>
  <si>
    <t>Ādažu vidusskolas un PII Strautiņš tehniskā apsekošana</t>
  </si>
  <si>
    <t>Ādažu Mākslu skolas gaiteņu remonts (Gaujas 33a)</t>
  </si>
  <si>
    <t>Četru reģipša sienu un durvju aiļu izbūve ar durvju uzst.MMSK kab. Garā 20</t>
  </si>
  <si>
    <t>ĀMM direktora pieprasījums</t>
  </si>
  <si>
    <t>KC vad.lūgums, bet var atlikt</t>
  </si>
  <si>
    <t>Ja tiek realizēts BAUHAUS projekts neveicam</t>
  </si>
  <si>
    <t>MK not. Nosaka nepiešamību</t>
  </si>
  <si>
    <t xml:space="preserve">Pirmā iela 42 signalizācijas rekonstrukcija </t>
  </si>
  <si>
    <t>Esošais jumts tek.</t>
  </si>
  <si>
    <t>Nolietojums</t>
  </si>
  <si>
    <t>Esosšās fasādes defekti.</t>
  </si>
  <si>
    <t>Siltinājuma un hidroizolācijas atjaunošana.</t>
  </si>
  <si>
    <t>Stendi "Neguli atkritumos" peldvietās (3 gb-Alderu, vējupes un Laivu ielas)</t>
  </si>
  <si>
    <t xml:space="preserve">Rīgas plānošanas reģiona un Ādažu Uzņēmējdarbības veicināšanas programmas izveide 2024.gadā </t>
  </si>
  <si>
    <t>Šeit atrodas vairāki uzņēmumi, kur viens no tiem ir Sia Ādažu desu darbnīca</t>
  </si>
  <si>
    <t>Ceriņu iela 0.3km divkāršā virsmas apstrāde, Garkalne</t>
  </si>
  <si>
    <t>Upmalas iela 0.67km, Upmalas, Ādaži</t>
  </si>
  <si>
    <t xml:space="preserve">Skolas iela 0.77km, Ādaži </t>
  </si>
  <si>
    <t>Zušu iela 0.41km, Alderi</t>
  </si>
  <si>
    <t>Ir saskaņojums no Satikmes Ministrijas un izludināts iepirkums</t>
  </si>
  <si>
    <t xml:space="preserve">Smilšu iela 0.35km (pārbūve) </t>
  </si>
  <si>
    <t>Gada beigās izsludināt iepirkumu, realizācija 2023/2024gads var sadalīt realizāciju 2 gados. 2024 gadā tikai avansa maksājums</t>
  </si>
  <si>
    <t>Saistībā ar bērnudārza būvniecību Podniekos, var sadalīt realizāciju 2 gados</t>
  </si>
  <si>
    <t>Materiālu iegāde un tehnikas noma(veltnis un ieklājējs), pēc izbūves varēs atsavināt pašvaldības apbūves gabalus 5gab(katrs ar vidējo tirgus cenu 40 000EUR) pēc tam var sadalīt vēl apbūve gabalus ceļa pretējā pusē.</t>
  </si>
  <si>
    <t>Ja ir fondu nauda</t>
  </si>
  <si>
    <t>Ļoti nepieciešams, jo 2023 gada budžetā netika atbalstīts</t>
  </si>
  <si>
    <t>Drošības uzlabošana Siguļos (gājēju pāreja, ietve)</t>
  </si>
  <si>
    <t>FIN komitejas protokollēmums</t>
  </si>
  <si>
    <t>PII Piejūra jau lūdz vairākus gadus.</t>
  </si>
  <si>
    <t>OBLIGĀTI, nav vairs atliekams</t>
  </si>
  <si>
    <t>Bez paskaidrojuma raksta, mēs nevaram izbūvet paši saviem spēkiem, tā būtiski ietaupot līdzekļus.</t>
  </si>
  <si>
    <t>Konceptuāli domē atbalstīts.</t>
  </si>
  <si>
    <t>projektēšana pēc plenēra</t>
  </si>
  <si>
    <t>Ja panākta vienošanās ar īpašnieci</t>
  </si>
  <si>
    <t xml:space="preserve">Lai atvieglotu satikmes plūsmu Ādažu centrā, kas veidojas rīta stundās saistībā ar jauno sākumskolu. </t>
  </si>
  <si>
    <t>Korodējusi līnija, daļēji caur pagalmiem.</t>
  </si>
  <si>
    <t>Ietve bez apgaismojuma. Abi ielas gali apgaismoti.</t>
  </si>
  <si>
    <t>Pirmā iemaksa un ikmēneša maksa.</t>
  </si>
  <si>
    <t xml:space="preserve">Kalngalē (1 gab.), Āpšu un Mežciema ielas krustojumā, Garciems (1.gab.), Viršu ielā caurteka Gaujā, Carnikavas pag.  Ādažu pag. caurteka uz iebrauktuves iegrimusi Rīgas gatvē 36 (pašvaldības piedrošs grāvis). </t>
  </si>
  <si>
    <t>IVN ASNIEM līgumcena kas pārceļas</t>
  </si>
  <si>
    <t>Apgaismojuma izbūve Sloku iela (ceļš uz staciju) 350m Kalngale</t>
  </si>
  <si>
    <t>Iedzīvotāju lūgumi</t>
  </si>
  <si>
    <t>Vecā kā pirmā iemaksa un ikmēneša maksājums. Kanāla pļaušana un dziļo grāvju nogāžu pļaušana</t>
  </si>
  <si>
    <t>Dalīti vākto atkritumu laukums Carnikavā, Laivu ielā 12 (ir būvprojekts)</t>
  </si>
  <si>
    <t>Apgaismojuma izbūve Pureņu iela no Garupes ielas līdz Buku ielai 1km Garupe</t>
  </si>
  <si>
    <t>Apgaismojuma izbūve Vētru iela 700m Garupe</t>
  </si>
  <si>
    <t>Apgaismojuma izbūve Nogāzes iela 600m Garciems</t>
  </si>
  <si>
    <t>Apgaismojuma izbūve Ērgļu iela 130m Kalngale</t>
  </si>
  <si>
    <t>Apgaismojuma izbūve Skautu iela (no pārbrauktuves līdz KDS Kāpas) 1.2km</t>
  </si>
  <si>
    <t>Inču ielas posms no A1 līdz Dzidrumu ielai</t>
  </si>
  <si>
    <t>Kas ir šis?</t>
  </si>
  <si>
    <t>Jaunās skolas TEP izstrāde</t>
  </si>
  <si>
    <t>2. Obligātās/ iepriekš. gadā uzsāktās/ gadskārtējās investīcijas</t>
  </si>
  <si>
    <t>Lēmums</t>
  </si>
  <si>
    <t>LAD, Jūras Zeme projekts, Mākslu skolas ārtelpas projekts Garā iela 20, Carnikavā</t>
  </si>
  <si>
    <t>ĀNP 26.10.2023. lēmums #411 (26.10.2023)</t>
  </si>
  <si>
    <t>Konta atlikums? Projekts noslēdzies, paliek Domē</t>
  </si>
  <si>
    <t>Saviļņojošā Vidzeme</t>
  </si>
  <si>
    <t>Jauna PII izbūve Podniekos. (Sniegsim proj. Pieteikumu CFLA; Projektēšana 138'300+PVN=167'343)</t>
  </si>
  <si>
    <t>Ādažu vidusskolas ēkas B korpusa un savienojuma daļas fasādes atjaunošana</t>
  </si>
  <si>
    <t>LV29…. KA šim mērķim</t>
  </si>
  <si>
    <t>EKII</t>
  </si>
  <si>
    <t>Gaujas aizsargdambja virskārtas uzlabošana (23.11.2023. domes lēmums)</t>
  </si>
  <si>
    <t>N</t>
  </si>
  <si>
    <t>Ā</t>
  </si>
  <si>
    <t>Torņu iela afaltbetona seguma atjaunošana 0.3km, Garciems</t>
  </si>
  <si>
    <r>
      <t xml:space="preserve">Summā ir iekļauta  projektēšana, būvniecība, būvuzraudzība un autoruzraudzība. Pašvaldības koplietošanas grāvis atrodas tehniski neapmierinošā stāvoklī. Tas attiecas arī uz caurteku stāvokli. Ir vietas, kur caurtekas ir daļēji sabrukušas. Grāvja garums 5,822km.  </t>
    </r>
    <r>
      <rPr>
        <b/>
        <sz val="8"/>
        <color theme="1"/>
        <rFont val="Calibri"/>
        <family val="2"/>
        <charset val="186"/>
        <scheme val="minor"/>
      </rPr>
      <t xml:space="preserve">2015.gadā ir sagatavots būves apsekošanas atzinums. </t>
    </r>
  </si>
  <si>
    <t>2024 / 2023, EUR</t>
  </si>
  <si>
    <t>2024 / 2023, %</t>
  </si>
  <si>
    <t xml:space="preserve">Grīdas mazgāšanas mašīna </t>
  </si>
  <si>
    <t>Grīdas kopšanas ierīce ar akumulatoru</t>
  </si>
  <si>
    <t>Nosūces uzstādīšana un pieslēgšana pie AHU kanāla virtuvei (esošā neatbilst ugunsdrošības noteikumiem).</t>
  </si>
  <si>
    <t>Sabiedriskās attiecības, informācija</t>
  </si>
  <si>
    <t>TDA SPRIGULĪTIS Vidzemes novada meiteņu un puišu tērpi - pabeigt komplektu (4 puišu vestes, 4 puišu bikses, 4 meitu ņieburi, 6 meitu brunči, 8 meitu vainagi)</t>
  </si>
  <si>
    <t>Jauns universālais iekrāvējs 137500 EUR - līzings (piedāvājums CKS nolietoto traktoru NEW HOLLAND kā pirmā iemaksa -novērtēts 36 300 eur ar PVN)</t>
  </si>
  <si>
    <t>Prioritāte:</t>
  </si>
  <si>
    <r>
      <t>Kredītu pamatsummas atmaksa</t>
    </r>
    <r>
      <rPr>
        <b/>
        <i/>
        <sz val="9"/>
        <color theme="1"/>
        <rFont val="Arial"/>
        <family val="2"/>
        <charset val="186"/>
      </rPr>
      <t xml:space="preserve"> (Investīciju finansēšanai)</t>
    </r>
  </si>
  <si>
    <t>Nepaspēja 2023.gadā. Ir līgums</t>
  </si>
  <si>
    <t>Prioritāte 1</t>
  </si>
  <si>
    <t>Prioritāte 2</t>
  </si>
  <si>
    <t>Prioritāte 3</t>
  </si>
  <si>
    <t>INVESTĪCIJAS kopā:</t>
  </si>
  <si>
    <t>Tehniskā atzinuma rezultātā</t>
  </si>
  <si>
    <t>Vēsturisko ieejas 2 vārtu, 4 vārtiņu maiņa un 6 stabu remonts CKS</t>
  </si>
  <si>
    <t>Nodrošinājums mācību jomu koordinatoru aktivitātēm Tāme Nr.37</t>
  </si>
  <si>
    <t>Garā iela 20 Ģimenes ārsta prakse</t>
  </si>
  <si>
    <t>Smilšu ielas pārbūve projekts, Carnikava (projektēšana pēc plenēra)</t>
  </si>
  <si>
    <t>Pašizkrāvēja (auto) un frontālā iekrāvēja pakalpojumi (lapu,atkritumu,celmu transportēšana, atmežotās terit.paplašin.)</t>
  </si>
  <si>
    <t>KA realizējot "Priotitāte 1" investīcijas:</t>
  </si>
  <si>
    <t>Pārvietojamie hokeja borti Carnikavas stadiona slidotavai</t>
  </si>
  <si>
    <t>Ēkas tehniskā stāvokļa uzlabošana (pēc CKS aprēķiniem)</t>
  </si>
  <si>
    <t>Ēkas specifiskie remonti (pēc CKS aprēķiniem)</t>
  </si>
  <si>
    <t>Projekts (Grīviņa)</t>
  </si>
  <si>
    <t>1. Pašvaldības finansējums UZSĀKTAJIEM projektiem:</t>
  </si>
  <si>
    <t>Jūras  ielā gājēju pārejas ar ātrumvalni izbūve</t>
  </si>
  <si>
    <t>Nepaspēja 2023.gadā.</t>
  </si>
  <si>
    <t>Publiskās ārtelpas izveide Gaujas ielā 31 Ādažos</t>
  </si>
  <si>
    <t>Dalība Interreg projektā - infrastruktūras aizsardzība un uzlabošana Ūdensrožu parka teritorijā</t>
  </si>
  <si>
    <t>Pabalsts par ēdināšanu 5.-9. klase (1697 bērni, 9 mēneši gadā)</t>
  </si>
  <si>
    <t>0648</t>
  </si>
  <si>
    <t>Komunālā saimniecība</t>
  </si>
  <si>
    <t xml:space="preserve">Uzņēmuma līgums-mācību jomu koordinātora pakalpojums un Pedagoģiski medicīniskās komisijas pakalpojums
</t>
  </si>
  <si>
    <t>NĪN</t>
  </si>
  <si>
    <t>Nekustamā īpašuma iegāde skolas celtniecībai Podniekos</t>
  </si>
  <si>
    <t>Zemes iegāde, ja pārceļas no 2023.gada</t>
  </si>
  <si>
    <t>Daudzstāvu ēku siltināšanas un pagalmu labiekārtošanas līdzfinansējums</t>
  </si>
  <si>
    <t>Atpūtas ielas pārbūve posmā no Zvejnieku ielas līdz Nēģu ielai Carnikavā</t>
  </si>
  <si>
    <t>Raiders ar uzkabēm (sniega pūtējs, slota, lāpsta), CKS</t>
  </si>
  <si>
    <t>Attekas ielas turpinājums 0,5 km - projektēšana</t>
  </si>
  <si>
    <t>2.1.3.2. “Nacionālas nozīmes plūdu un krasta erozijas pasākumi” 1.daļa (2.daļa 2025.gads)
- IVN dambim
- hidroloģiskie un hidrauliskie aprēķini vai hidroloģiskais modelis
- izmaksu un ieguvumu analīze</t>
  </si>
  <si>
    <t>Pusgarās bikses ar lencēm 1. - 3. klasei (10 gab; 62.43 euro/gab)</t>
  </si>
  <si>
    <t>Pusgarās bikses bez lencēm 4. - 6. klasei (10 gab; 71.02 euro/gab)</t>
  </si>
  <si>
    <t>"Rīgas apvidus" brunči meitenēm 1. - 3. klasei (24 gab.; 101,21 euro/gab)</t>
  </si>
  <si>
    <t>Vestes meitenēm (24 gab.; 70.42 euro/gab)</t>
  </si>
  <si>
    <t>Vestes puišiem (20 gab.; 79.13 euro/gab)</t>
  </si>
  <si>
    <t>Nepieciešamais budžets astoņu 1. klašu uzņemšanai</t>
  </si>
  <si>
    <t>Tulpju iela posms no Liepu ielas līdz Tulpju 7 200m Carnikava. Apgaismes stabi</t>
  </si>
  <si>
    <t>Liepu iela 280m Carnikava. Apgaismes stabi</t>
  </si>
  <si>
    <t>Tautas nams "Ozolaine" cokola remonts, teknes</t>
  </si>
  <si>
    <t>Valsts finansējums projektu konkursā "Atbalsts jaunatnes politikas īstenošanai vietējā līmenī" Projekts "Mobilais darbs ar jaunatni Ādažu novadā"</t>
  </si>
  <si>
    <t>Ādažu novada domes nolikums “Iniciatīvas projektu finansēšanas kārtība Ādažu novada pašvaldībā” (katru gadu tiek izstrādāts no jauna). 2023.gadā piešķirtais, kas pārceļas uz 2024.gadu.</t>
  </si>
  <si>
    <t>Projekts par energokopienām. Magliano Alpi pašvaldības Itālijā CERV Town Twinning programmas projektsa ietvaros</t>
  </si>
  <si>
    <t>Projekts jauniešu asociāciju federācija Eiropas mobilitātei. CERV programmas projekts "YOUTth and democracy: empowering Europe's next generation"</t>
  </si>
  <si>
    <t>Āra trenažieru uzstādīšana pie Ādažu stadiona 1.daļa (pārcelts finansējums no 2023.gada, jo pagarinās piegādes termiņš)</t>
  </si>
  <si>
    <t>Publiskās aptaujas</t>
  </si>
  <si>
    <t>21.3.9.4.</t>
  </si>
  <si>
    <t>21.3.9.9.; CKS</t>
  </si>
  <si>
    <t>Pensionāru balle</t>
  </si>
  <si>
    <t>AM līdzfinansējums Vecštāles ceļa rekonstrukcijai</t>
  </si>
  <si>
    <t>7.1.4.</t>
  </si>
  <si>
    <t>9.18.</t>
  </si>
  <si>
    <t>9.18.1.</t>
  </si>
  <si>
    <t>9.18.2.</t>
  </si>
  <si>
    <t>Jaunas pirmsskolas izglītības iestādes Podniekos</t>
  </si>
  <si>
    <t>9.9.9.</t>
  </si>
  <si>
    <t xml:space="preserve">ESF projekts Atbalsts priekšlaicīgas mācību pārtraukšanas samazināšanai © </t>
  </si>
  <si>
    <t>10.1.15.</t>
  </si>
  <si>
    <r>
      <t xml:space="preserve">Ķiršu ielas pārbūve 0.17km </t>
    </r>
    <r>
      <rPr>
        <b/>
        <i/>
        <sz val="8"/>
        <color rgb="FF7030A0"/>
        <rFont val="Arial"/>
        <family val="2"/>
        <charset val="186"/>
      </rPr>
      <t>(ir būvprojekts)</t>
    </r>
  </si>
  <si>
    <t>2024. gada budžets</t>
  </si>
  <si>
    <t>projekti Erasmus+; NordPlus</t>
  </si>
  <si>
    <r>
      <t xml:space="preserve">Draudzības ielas rekonstrukcija posmā no Saules ielai līdz Podnieku ielai ar ietvi 0.35km (6000 mašīnas diennaktī) </t>
    </r>
    <r>
      <rPr>
        <b/>
        <sz val="9"/>
        <color rgb="FF7030A0"/>
        <rFont val="Arial"/>
        <family val="2"/>
        <charset val="186"/>
      </rPr>
      <t>ir paskaidrojuma raksts</t>
    </r>
  </si>
  <si>
    <t>Viršu ielas/atzars uz Sproģu ielu asfaltbetona seguma atjaunošana posmā no Dzērveņu ielas līdz Serģu iela (980 m)</t>
  </si>
  <si>
    <t>Vecštāles ceļa rekonstrukcija</t>
  </si>
  <si>
    <r>
      <t xml:space="preserve">Vecštāles ceļa pārbūve 8,2km </t>
    </r>
    <r>
      <rPr>
        <b/>
        <sz val="9"/>
        <color rgb="FF7030A0"/>
        <rFont val="Arial"/>
        <family val="2"/>
        <charset val="186"/>
      </rPr>
      <t xml:space="preserve">(ir būvprojekts), </t>
    </r>
    <r>
      <rPr>
        <sz val="9"/>
        <color rgb="FF7030A0"/>
        <rFont val="Arial"/>
        <family val="2"/>
        <charset val="186"/>
      </rPr>
      <t>Kadaga</t>
    </r>
  </si>
  <si>
    <t xml:space="preserve">Apgaismes stabi Attekas ielas savienojumā no Ķiršu līdz Draudzības ielai. </t>
  </si>
  <si>
    <t>Valsts un pašvaldību budžeta dotācija biedrībām un nodibinājumiem sacensību organizēšanai</t>
  </si>
  <si>
    <t>CKS atlikums 02.01.2024.</t>
  </si>
  <si>
    <t>6.4.11.</t>
  </si>
  <si>
    <t>6.4.12.</t>
  </si>
  <si>
    <t>6.4.13.</t>
  </si>
  <si>
    <t>6.4.14.</t>
  </si>
  <si>
    <t>25.01.2024. grozījumi</t>
  </si>
  <si>
    <t>Izmaiņa 25.01.2024. - 28.12.2023.</t>
  </si>
  <si>
    <t>10.2.7.</t>
  </si>
  <si>
    <t>Finansējums Piekrastes apsaimniekošanai ieskaitīts 2023.gada beigās (stāv KA)</t>
  </si>
  <si>
    <t>Mērķdotācijas KA</t>
  </si>
  <si>
    <t>2024. gads</t>
  </si>
  <si>
    <t>- uzturēšanas izmaksas (CKS)</t>
  </si>
  <si>
    <t>Atalgojums, kas pāriet uz CKS</t>
  </si>
  <si>
    <t>9.9.10.</t>
  </si>
  <si>
    <t>9.9.11.</t>
  </si>
  <si>
    <t>9.9.11.1.</t>
  </si>
  <si>
    <t>9.9.11.2.</t>
  </si>
  <si>
    <t>9.9.11.3.</t>
  </si>
  <si>
    <t>sākumskolas uzturēšanas izmaksas (CKS)</t>
  </si>
  <si>
    <t>9.3.3.</t>
  </si>
  <si>
    <t>9.2.3.</t>
  </si>
  <si>
    <t>7.8.1.</t>
  </si>
  <si>
    <t>7.8.2.</t>
  </si>
  <si>
    <t>-  sporta funkcijas nodrošināšana</t>
  </si>
  <si>
    <t>Decembra rēķins izrakstīts 30.12., samaksa pārceļas uz 2024.gadu</t>
  </si>
  <si>
    <t>Decembra rēķins izrakstīts 30.12., samaksa pārceļas uz 2024.gadu, pārcelts 2023.gada aizņēmuma neizņemtais atlikums.</t>
  </si>
  <si>
    <t>DI projekta KA</t>
  </si>
  <si>
    <t>Uzkopšanas gada maksa ielikta CKS, bet janvāra maksājums vēl jāveic caur policijas budžetu</t>
  </si>
  <si>
    <t>Precizēts sadalījums starp pašvaldību un MD</t>
  </si>
  <si>
    <t>Precizēta aizņēmumu summa pēc līguma summas pārcelšanas no 2023.gada</t>
  </si>
  <si>
    <t>precizēts KA, VK aizņēmuma summa un atlikušais ienākošais ERAF finansējums</t>
  </si>
  <si>
    <t>Atalgojums, kas pāriet uz CKS un algas korekcija, precizējot MD</t>
  </si>
  <si>
    <t>Atalgojums, kas pāriet uz CKS; atalgojuma korekcija, dalot likes MD</t>
  </si>
  <si>
    <t>Precizēta dotācija +59'292, papildus dotācija par pārņemtajiem ceļiem EUR 1'248</t>
  </si>
  <si>
    <t>Atalgojuma pieaugums pēc MD apstiprināšanas un algu tarifikācijas</t>
  </si>
  <si>
    <t>KA, precizēta MD</t>
  </si>
  <si>
    <t>Precizēta MD</t>
  </si>
  <si>
    <t>Atalgojums, kas pāriet uz CKS; atalgojuma korekcija, dalot likmes MD</t>
  </si>
  <si>
    <t>KA EUR 1'093, precizēta dotācija +59'292, papildus dotācija par pārņemtajiem ceļiem EUR 1'248</t>
  </si>
  <si>
    <t>EUR 104'970 DRN; 
EUR 230 Nodarbinātība; 
EUR - 1 Plūdi; 
EUR 750 ind. komp. att.; 
EUR - 1'034 DI soc. pakalp.; 
EUR - 1'841 Atbalsts priekšlaicīgas māc. Pārtraukš. Samaz.; 
EUR 19'357 Carn. Stad (VK aizņēmums); 
EUR 1'832 Mākslas skolas dotāc; 
EUR 41 ĀBJSS dotāc.; 
EUR 1'093 Aotoceļu MD; 
EUR 13'000 drošības nauda CKS (jāatmaksā); 
EUR 168'382 CKS Saimnieciskā darbība; 
EUR 10'621 Piekrastes apsaimn.; 
EUR 3'808 5-6 gad. MD; 
EUR 904 māc. līdz. MD; 
EUR 17'685 MD pedag.+interešu izgl; 
EUR 76'439 MD ēdināš; 
EUR 38'150 DI darbnīcas;
EUR 31'285 Atskaitīts LAD finansējums Salas dambim (jāatgriež kredīts)
EUR 133'640 Atskaitīts LAD finansējums Lilastes stāvlaukumam (jāatgriež kredīts)</t>
  </si>
  <si>
    <t>Dalība atveseļošanas un noturības mehānisma pasākumā “Atbalsta pasākumi cilvēkiem ar invaliditāti mājokļu vides pieejamības nodrošināšanai”</t>
  </si>
  <si>
    <t>AND trūkstošais finansējums uz, ko jāatmaksā citām pašv.</t>
  </si>
  <si>
    <t>Saskaņā ar projekta nosacījumiem, tiks ieskaitīts avanss EUR 18'299</t>
  </si>
  <si>
    <t>Valsts finansējums parakstu vākšanai tautas nobalsošanas ierosināšanai par apturēto likumu “Grozījumi Notariāta likumā”</t>
  </si>
  <si>
    <t>EUR 37'335 Atskaitīts LAD finansējums Salas dambim (jāatgriež kredīts)
EUR 133'640 Atskaitīts LAD finansējums Lilastes stāvlaukumam (jāatgriež kredīts) + 67, lai nosegtu 2024. visu pamatsummu</t>
  </si>
  <si>
    <t>0630; 0903</t>
  </si>
  <si>
    <t>Jaunas pirmsskolas izglītības iestādes Podniekos būvniecība</t>
  </si>
  <si>
    <t>0903</t>
  </si>
  <si>
    <t>I.cet. 21%, II.cet.23%. III.cet.28%, IV.cet. 28%</t>
  </si>
  <si>
    <t>KA nepalielina izdevumus, bet samazina plānotos ieņēmumsu</t>
  </si>
  <si>
    <t>KA nepalielina izdevumus, bet samazina plānotos ieņēmumus</t>
  </si>
  <si>
    <t>Grīdas kopšanas ierīces iegādi un Nosūces uzstādīšanu realizēs CKS</t>
  </si>
  <si>
    <t>Prezizēta MD un Mērķdotācijas KA</t>
  </si>
  <si>
    <t>1) KA - EUR 13'000 drošības nauda CKS (jāatmaksā).
2) Uzkopšanas gada maksa ielikta CKS, bet janvāra maksājums vēl jāveic caur policijas budžetu. (EUR 645).
3) Noslēdzies iepirkums remontam Garā iela 20 ārsta prakse. Summa par EUR 1'835 lielāka.</t>
  </si>
  <si>
    <t>9.7.1.2.</t>
  </si>
  <si>
    <t>9.7.1.3.</t>
  </si>
  <si>
    <t>9.7.1.1.</t>
  </si>
  <si>
    <t>MD pedagogiem</t>
  </si>
  <si>
    <t>MD interešu izglītība</t>
  </si>
  <si>
    <t>MD mācību līdzekļiem</t>
  </si>
  <si>
    <t>9.9.1.1.</t>
  </si>
  <si>
    <t>9.9.1.2.</t>
  </si>
  <si>
    <t>9.9.1.3.</t>
  </si>
  <si>
    <t>MD mācību līdzekļiem 2024.gadam</t>
  </si>
  <si>
    <t>KA (VK aizņēmums) un uz 2024.gadu pārceļamā summa, jo būvnieks navarēja pabeigt projektu, saskaņā ar līguma termiņiem</t>
  </si>
  <si>
    <t>0631.1</t>
  </si>
  <si>
    <r>
      <t xml:space="preserve">Viršu ielas/atzars uz Sproģu ielu asfaltbetona seguma atjaunošana posmā no Dzērveņu ielas līdz Serģu iela (980 m) </t>
    </r>
    <r>
      <rPr>
        <b/>
        <sz val="9"/>
        <color rgb="FFC00000"/>
        <rFont val="Arial"/>
        <family val="2"/>
        <charset val="186"/>
      </rPr>
      <t>(ir būvprojekts)</t>
    </r>
  </si>
  <si>
    <t>Precizēta MD un pašvaldības finansējums atalgojumam</t>
  </si>
  <si>
    <t xml:space="preserve">Precizēta MD </t>
  </si>
  <si>
    <r>
      <rPr>
        <b/>
        <u/>
        <sz val="11"/>
        <rFont val="Times New Roman"/>
        <family val="1"/>
        <charset val="186"/>
      </rPr>
      <t>Protokoll. Iekš groz.:</t>
    </r>
    <r>
      <rPr>
        <sz val="11"/>
        <rFont val="Times New Roman"/>
        <family val="1"/>
        <charset val="186"/>
      </rPr>
      <t xml:space="preserve"> EUR 7'250 no EKK 2264 (multifunkcionālā printera noma uz EKK 5238 printeru iegādei)</t>
    </r>
  </si>
  <si>
    <t>Avīzes drukai noslēdzies iepirkums, papildus iebudžetētajam nepieciešami EUR 3283, jo pirmos mēnešus vēl lielā cena. Nepieciešamā summa pārcelta no nodaļas sadaļas datotehnika un informatīvie baneri. EUR 544 papildus nepieciešami avīzes izplatīšanai, no drukas, vizualizācijas un publ. aptaujām.</t>
  </si>
  <si>
    <t>Jauns līgums 2024.gadam.</t>
  </si>
  <si>
    <t>Izmaiņa 27.03.2024. -25.01.2024.</t>
  </si>
  <si>
    <t>Koriģēts interešu izgl. finansējuma sadalījums EUR 49'310 no privātajiem īstenotājiem uz pašvald. Iestādēm un ĀBVS. (uz ĀVS EUR 22'060; uz CPS EUR 18425; uz ĀBVS EUR 8'825)</t>
  </si>
  <si>
    <t>Precizēta dotācija par papildus pārņemtajiem ceļiem EUR 3966</t>
  </si>
  <si>
    <t>12.3.9.9.; 8.3.9.0.; 8.6.1.2.</t>
  </si>
  <si>
    <t>Konta atlikuma nakts depozīta ieņēmumi.</t>
  </si>
  <si>
    <t>Uz 06.03. IIN izpilde lielāka par plānoto šajā periodā.</t>
  </si>
  <si>
    <t>Uz 06.03. IIN izpilde lielāka par plānoto šajā periodā, līdz ar to arī palielinās iemaksas izlīdzināšanas fondā.</t>
  </si>
  <si>
    <r>
      <rPr>
        <u/>
        <sz val="11"/>
        <rFont val="Times New Roman"/>
        <family val="1"/>
        <charset val="186"/>
      </rPr>
      <t>1) EUR 2'000 no konta atlikuma apmeklētāju skaitītāja nomaiņai Atpūtas takā dabas parkā “Piejūra”
2)</t>
    </r>
    <r>
      <rPr>
        <b/>
        <u/>
        <sz val="11"/>
        <rFont val="Times New Roman"/>
        <family val="1"/>
        <charset val="186"/>
      </rPr>
      <t xml:space="preserve"> Iekš. groz.:</t>
    </r>
    <r>
      <rPr>
        <sz val="11"/>
        <rFont val="Times New Roman"/>
        <family val="1"/>
        <charset val="186"/>
      </rPr>
      <t xml:space="preserve"> EUR 13'541 no Z-svētku rotājumu finansējuma CoHabit finansējuma atmaksai no EKK 2239 uz EKK 7246</t>
    </r>
  </si>
  <si>
    <t>EUR 13'315 no dotācijas ceļu uzturēšanai uz Pašvaldības policiju ātruma kontroles mērierīces iegādei.</t>
  </si>
  <si>
    <t>Liepu alejas rekonstrukcija</t>
  </si>
  <si>
    <t>Viršu ielas prognozētās palielinātās izmaksas</t>
  </si>
  <si>
    <t>MD mācību līdzekļiem 2024.gadam (sadalās starp izgl. iestādēm)</t>
  </si>
  <si>
    <t>MD 2024.gadam māc. līdz.iegāde</t>
  </si>
  <si>
    <t>- pedagogu algas, māc. līdzekļi (mērķdotācija)</t>
  </si>
  <si>
    <t>1) EUR 10'919 no CKS teritorijas kopšanas nodaļas uz CKS AVS uzturēšanas nodaļu.
2) EUR 146'203 ĀVS uzturēšana, ko veic CKS</t>
  </si>
  <si>
    <t>EUR 146'203 ĀVS uzturēšana, ko veic CKS</t>
  </si>
  <si>
    <t>1) EUR 6'705 no CKS teritorijas kopšanas nodaļas uz CKS AVS PII uzturēšanas nodaļu.
2) EUR 6'000 ĀVS uzturēšana, ko veic CKS</t>
  </si>
  <si>
    <t>EUR 6'000 ĀVS uzturēšana, ko veic CKS</t>
  </si>
  <si>
    <t>CKS iekšējā pārstrukturēšana:
1) EUR 10'919 no CKS teritorijas kopšanas nodaļas uz CKS AVS uzturēšanas nodaļu.
2) EUR 6'705 no CKS teritorijas kopšanas nodaļas uz CKS AVS PII uzturēšanas nodaļu.
3) EUR 19'453 no CKS teritorijas kopšanas nodaļas uz CKS AVS sākumskolas uzturēšanas nodaļu.</t>
  </si>
  <si>
    <t>1) EUR 19'453 no CKS teritorijas kopšanas nodaļas uz CKS AVS sākumskolas uzturēšanas nodaļu.
2) EUR 58'159 ĀVS sākumskolas uzturēšana, ko veic CKS</t>
  </si>
  <si>
    <t>EUR 58'159 ĀVS sākumskolas uzturēšana, ko veic CKS</t>
  </si>
  <si>
    <t>EUR 43'878 Sporta centra uzturēšana, ko veic CKS</t>
  </si>
  <si>
    <t>EUR 145'959 ĀPII uzturēšana, ko veic CKS</t>
  </si>
  <si>
    <t>EUR 64'977 KPII uzturēšana, ko veic CKS</t>
  </si>
  <si>
    <t>EUR 27'100 Erasmus, NordPlus finansējums attiecināms uz Carnikavas pamatskolu nevis Ādažu vidusskolu</t>
  </si>
  <si>
    <t>28.03.2024. grozījumi</t>
  </si>
  <si>
    <t>Izmaiņa 28.03.2024. -25.01.2024.</t>
  </si>
  <si>
    <t>Pēc lēmuma precizēta naudas plūsma.</t>
  </si>
  <si>
    <t>Pārvalde</t>
  </si>
  <si>
    <t>Arhīva bloka iegāde</t>
  </si>
  <si>
    <t>Saņemts gala maksājums, kas tiks izmantots kā priekšfinansējums jaunajiem Veselības projektiem</t>
  </si>
  <si>
    <t>Saņemts pozitīvs FM lēmums aizdevuma piešķiršanai.</t>
  </si>
  <si>
    <t>Pašvaldības DRN maksājums</t>
  </si>
  <si>
    <t>EUR 1 037 000 nekustamā īpašuma Liepnieki iegāde</t>
  </si>
  <si>
    <t>Projekts noslēdzies, konta atlikums.</t>
  </si>
  <si>
    <t>Ziņo IDR.</t>
  </si>
  <si>
    <t>0632.7</t>
  </si>
  <si>
    <t>Atņemts EKK 7230, jo tā izpilde nāk no CKS</t>
  </si>
  <si>
    <t>1.1. IIN atbilstoši plānotajam.</t>
  </si>
  <si>
    <t>1.3. DRN plāns bija sastādīts balstoties uz 2023.gada izpildi.</t>
  </si>
  <si>
    <t>8. Lielāko daļu sastāda CKS Ieņēmumi no dzīvokļu un komunālajiem pakalpojumiem. Šī pozīcija atspoguļojas gan ieņēmumos, gan izdevumos.</t>
  </si>
  <si>
    <t>Jauns</t>
  </si>
  <si>
    <t>Iekš. groz.: EUR 13'541 no Z-svētku rotājumu finansējuma CoHabit finansējuma atmaksai no EKK 2239 uz EKK 7246 - Atgriezt budžetā sākotnējam mērķim.</t>
  </si>
  <si>
    <r>
      <t xml:space="preserve">Liepu aleja (ir būvprojekts). </t>
    </r>
    <r>
      <rPr>
        <i/>
        <sz val="8"/>
        <color rgb="FFFF0000"/>
        <rFont val="Arial"/>
        <family val="2"/>
        <charset val="186"/>
      </rPr>
      <t>Ielikts budžetā 28.03.2024.</t>
    </r>
  </si>
  <si>
    <t>1. Kopumā izpilde tuvu plānotajam.</t>
  </si>
  <si>
    <t>1.2. Atbilstoši plānam.</t>
  </si>
  <si>
    <t>1.3. Atbilstoši plānam.</t>
  </si>
  <si>
    <t>4. Realizē CKS. Atbilstoši plānam.</t>
  </si>
  <si>
    <t>6.3. Ziņo CKS.</t>
  </si>
  <si>
    <t>ĀVS</t>
  </si>
  <si>
    <r>
      <t xml:space="preserve">Ķiršu ielas pārbūve 0.17km </t>
    </r>
    <r>
      <rPr>
        <b/>
        <i/>
        <sz val="9"/>
        <rFont val="Arial"/>
        <family val="2"/>
        <charset val="186"/>
      </rPr>
      <t>(ir būvprojekts)</t>
    </r>
  </si>
  <si>
    <r>
      <t xml:space="preserve">Liepu aleja </t>
    </r>
    <r>
      <rPr>
        <b/>
        <i/>
        <sz val="9"/>
        <rFont val="Arial"/>
        <family val="2"/>
        <charset val="186"/>
      </rPr>
      <t>(ir būvprojekts)</t>
    </r>
    <r>
      <rPr>
        <i/>
        <sz val="9"/>
        <rFont val="Arial"/>
        <family val="2"/>
        <charset val="186"/>
      </rPr>
      <t xml:space="preserve">. </t>
    </r>
    <r>
      <rPr>
        <i/>
        <sz val="9"/>
        <color rgb="FFFF0000"/>
        <rFont val="Arial"/>
        <family val="2"/>
        <charset val="186"/>
      </rPr>
      <t>Ielikts budžetā 28.03.2024.</t>
    </r>
  </si>
  <si>
    <t>Ieņēmumu pārpilde/ izdevumu ekonomija uz 31.03.2024.</t>
  </si>
  <si>
    <t>Ekonomija uz neaizpildītajām vakancēm</t>
  </si>
  <si>
    <t>Procentu ieņēmumi no nakts depozīta (šobrīd + EUR 9'309 pret plānoto)</t>
  </si>
  <si>
    <t>Saņemta nauda no izsolēm. Kopsummā izpilde par EUR 23'095 lielāka kā gada plāns.</t>
  </si>
  <si>
    <t>10. Atbilstoši plānotajam. Gada sākumā veiktas 2 aiņēmumu pirmstermiņ atmaksas no ieskaitītā eiropas projektu pēcfinansējuma līdzekļiem.</t>
  </si>
  <si>
    <t>Sporta daļa - Latvijas Jaunatnes Olimpiāde Valmierā - NENOTIKS</t>
  </si>
  <si>
    <t>25.04.2024. grozījumi</t>
  </si>
  <si>
    <t>Izmaiņa 25.04.2024. -28.03.2024.</t>
  </si>
  <si>
    <t>Latvijas Jaunatnes Olimpiāde Valmierā - NENOTIKS</t>
  </si>
  <si>
    <t>CVK finansējums Eiropas parlamenta vēlēšanu nodrošināšanai</t>
  </si>
  <si>
    <t>Skatīt pēc pusgada izpildes</t>
  </si>
  <si>
    <t>EUR 660 no finansējuma publiskajām apspriešanām, reklāmām uz sadaļu"Ādažu vēstis" izplatīšanas izmaksu pieaugumam.</t>
  </si>
  <si>
    <t>Pēc naudas plūsmas 2024.gadā mazāks finansējuma apjoms. No mobilitātes punkta proejekta EUR 5'000 uzņēmējdarbības konkuram izmaksu iegumu analīzes veikšanai un EUR 26'640 tehniskā projekta izstrādāšanai.</t>
  </si>
  <si>
    <t>1) - EUR 7'349 ekonomija uz neaizpildītajām vakancēm;
2) No mobilitātes punkta projekta EUR 5'000 uzņēmējdarbības konkuram izmaksu iegumu analīzes veikšanai un EUR 26'640 tehniskā projekta izstrādāšanai.</t>
  </si>
  <si>
    <t>Procentu ieņēmumi no nakts depozīta (šobrīd + EUR 9'309 pret plānoto).</t>
  </si>
  <si>
    <t>Nav BP, ja nolemj darīt, tad jālabo DL</t>
  </si>
  <si>
    <t>Iekļaut 2025.g.budžetā</t>
  </si>
  <si>
    <t>Iepirkums maija beigās</t>
  </si>
  <si>
    <t>Remontdarbi, vajadzīgs PR, var paspēt 2024.g.</t>
  </si>
  <si>
    <t>Var izpildīt no CKS uzturēš. budžeta ietaupījuma</t>
  </si>
  <si>
    <t>Prioritārs 2024.g. var veikt no CKS remontdarbu pozīc.</t>
  </si>
  <si>
    <t>Slīpēšanas darbi, var paspēt 2024.g.</t>
  </si>
  <si>
    <t>TS, iepirkums</t>
  </si>
  <si>
    <t>1gr. Iegādāts par 10 000, ir līgums</t>
  </si>
  <si>
    <t>CKS veiktu darbus 2024.g.(2mēn.izpilde), ir tāme</t>
  </si>
  <si>
    <t>EIS iepirkums jūl.-aug.</t>
  </si>
  <si>
    <t>Vienkāršotā atjaunoš. (PU un TS), ir tāme, vienošanās ar iedzīvotājiem</t>
  </si>
  <si>
    <t>Uz 2025.gadu (jārealizē ziemā, lai lētāk)</t>
  </si>
  <si>
    <t>Pārcelt uz budžetu:</t>
  </si>
  <si>
    <t>Kļavu ielā divkārtas virsmas apstrāde 0.35km</t>
  </si>
  <si>
    <t>Atbalstīts zemsvītras projekts</t>
  </si>
  <si>
    <t>+ EUR 8'500 atbalstīts zemsv. aktivit. - Lielās zāles grīdas seguma remonts</t>
  </si>
  <si>
    <t>Mežmalas ielas seguma vienkāršotā atjaunošana, 0.22km, Alderi</t>
  </si>
  <si>
    <t>+ EUR 21'000 atbalstīts zemsv. aktivit. - 3 uzlādes skapju iegāde; 16 datoru iegāde obligātā mācību procesa nodrošināšanai</t>
  </si>
  <si>
    <r>
      <t xml:space="preserve">Kļavu ielā divkārtas virsmas apstrāde 0.35km, Carnikava </t>
    </r>
    <r>
      <rPr>
        <b/>
        <i/>
        <sz val="9"/>
        <rFont val="Arial"/>
        <family val="2"/>
        <charset val="186"/>
      </rPr>
      <t>(ir būvprojekts)</t>
    </r>
    <r>
      <rPr>
        <i/>
        <sz val="9"/>
        <rFont val="Arial"/>
        <family val="2"/>
        <charset val="186"/>
      </rPr>
      <t>.</t>
    </r>
    <r>
      <rPr>
        <i/>
        <sz val="9"/>
        <color rgb="FFFF0000"/>
        <rFont val="Arial"/>
        <family val="2"/>
        <charset val="186"/>
      </rPr>
      <t xml:space="preserve"> Ielikts budžetā 25.04.2024.</t>
    </r>
  </si>
  <si>
    <r>
      <t xml:space="preserve">VW LT 46 hidromanipulatora kapitālais remonts. </t>
    </r>
    <r>
      <rPr>
        <i/>
        <sz val="9"/>
        <color rgb="FFFF0000"/>
        <rFont val="Arial"/>
        <family val="2"/>
        <charset val="186"/>
      </rPr>
      <t>Ielikts budžetā 25.04.2024.</t>
    </r>
  </si>
  <si>
    <r>
      <t xml:space="preserve">Tautas nama Lielās zāles grīdas seguma remonts. </t>
    </r>
    <r>
      <rPr>
        <sz val="9"/>
        <color rgb="FFFF0000"/>
        <rFont val="Arial"/>
        <family val="2"/>
        <charset val="186"/>
      </rPr>
      <t>Ielikts budžetā 25.04.2024.</t>
    </r>
  </si>
  <si>
    <r>
      <t xml:space="preserve">Četru reģipša sienu un durvju aiļu izbūve ar durvju uzst.MMSK kab. Garā 20. </t>
    </r>
    <r>
      <rPr>
        <sz val="9"/>
        <color rgb="FFFF0000"/>
        <rFont val="Arial"/>
        <family val="2"/>
        <charset val="186"/>
      </rPr>
      <t>Ielikts budžetā 25.04.2024.</t>
    </r>
  </si>
  <si>
    <r>
      <t xml:space="preserve">Mēbeļu un aprīkojuma iegāde. </t>
    </r>
    <r>
      <rPr>
        <sz val="9"/>
        <color rgb="FFFF0000"/>
        <rFont val="Arial"/>
        <family val="2"/>
        <charset val="186"/>
      </rPr>
      <t>Ielikts budžetā 25.04.2024.</t>
    </r>
  </si>
  <si>
    <r>
      <t xml:space="preserve">Mežmalas iela 0.22km, Alderi. </t>
    </r>
    <r>
      <rPr>
        <i/>
        <sz val="8"/>
        <color rgb="FFFF0000"/>
        <rFont val="Arial"/>
        <family val="2"/>
        <charset val="186"/>
      </rPr>
      <t>Ielikts budžetā 25.04.2024.</t>
    </r>
  </si>
  <si>
    <r>
      <t>5'000 euro 3 uzlādes skapju iegādei portatīvo datoru uzlādei un uzglabāšanai.</t>
    </r>
    <r>
      <rPr>
        <sz val="9"/>
        <color rgb="FFFF0000"/>
        <rFont val="Arial"/>
        <family val="2"/>
        <charset val="186"/>
      </rPr>
      <t xml:space="preserve"> Ielikts budžetā 25.04.2024.</t>
    </r>
  </si>
  <si>
    <r>
      <t xml:space="preserve">16'000 euro 16 datoru iegādei obligātā mācību procesa nodrošināšanai. </t>
    </r>
    <r>
      <rPr>
        <sz val="9"/>
        <color rgb="FFFF0000"/>
        <rFont val="Arial"/>
        <family val="2"/>
        <charset val="186"/>
      </rPr>
      <t>Ielikts budžetā 25.04.2024.</t>
    </r>
  </si>
  <si>
    <t>1) - EUR 9'076 Ekonomija uz neaizpildītajām vakancēm;
2) + EUR 3'500 atbalstīts zemsv. aktivit. - VW LT 46 hidromanipulatora kapitālais remonts;
3) + EUR 11'000 atbalstīts zemsv. aktivit. - (Mākslu skolas starpsienu izbūve)</t>
  </si>
  <si>
    <t>+ EUR 4'000 atbalstīts zemsv. aktivit. - (EUR 11'000 sienu un durvju aiļu izbūve ar durvju uzst. Garā 20 (pie CKS), EUR 4'000 mēbeļu un aprīkojuma iegāde</t>
  </si>
  <si>
    <t>27.06.2024. grozījumi</t>
  </si>
  <si>
    <t>Izmaiņa 27.06.2024. -25.04.2024.</t>
  </si>
  <si>
    <t>EUR 926 Sporta centra uzturēšana, ko veic CKS</t>
  </si>
  <si>
    <r>
      <t>1) Automātiskās laistīšanas sistēmas ierīkošana Ādažu stadionā sadarbībā ar Latvijas futbola federāciju. EUR 6'370 no ieņēmumu palielinājuma par pakalpojumiem un</t>
    </r>
    <r>
      <rPr>
        <b/>
        <u/>
        <sz val="11"/>
        <rFont val="Times New Roman"/>
        <family val="1"/>
        <charset val="186"/>
      </rPr>
      <t xml:space="preserve"> iekš. groz.:</t>
    </r>
    <r>
      <rPr>
        <sz val="11"/>
        <rFont val="Times New Roman"/>
        <family val="1"/>
        <charset val="186"/>
      </rPr>
      <t xml:space="preserve"> EUR 4'752 no ekonomijas algu fondā; EUR 8'061 no plānotā āra trenažieriem.
2) EUR 926 Sporta centra uzturēšana, ko veic CKS</t>
    </r>
  </si>
  <si>
    <t>8.3.4.</t>
  </si>
  <si>
    <t>DI centra uzturēšanas izdevumi (CKS)</t>
  </si>
  <si>
    <t>EUR 3'745 DI centra uzturēšana, ko veic CKS</t>
  </si>
  <si>
    <t>8.1.7.</t>
  </si>
  <si>
    <t>Uzturēšanas izdevumi (CKS)</t>
  </si>
  <si>
    <t>EUR 1'186 Soc. dienesta uzturēšana, ko veic CKS</t>
  </si>
  <si>
    <t>EUR 276 Ādažu bibliotēkas uzturēšana, ko veic CKS</t>
  </si>
  <si>
    <t>EUR 62 Carnikavas bibliotēkas uzturēšana, ko veic CKS</t>
  </si>
  <si>
    <t>EUR 102 uzturēšana, ko veic CKS</t>
  </si>
  <si>
    <t>EUR 28 Kadiķis uzturēšana, ko veic CKS</t>
  </si>
  <si>
    <t>EUR 165 t/n Ozolaine uzturēšana, ko veic CKS</t>
  </si>
  <si>
    <t>Stadiona labiekārtošanas darbi veikti caur CKS, pārcelts EUR 6'629 uz CKS teritorijas labiekārtošanas sadaļu.</t>
  </si>
  <si>
    <t>8.9.</t>
  </si>
  <si>
    <t>EUR 44'284 - ANM pasākuma "Atbalsta pasākumi cilvēkiem ar invaliditāti mājokļu vides pieejamības nodrošināšanai" projekts - Pārcelts uz jaunu struktūru 1018</t>
  </si>
  <si>
    <t xml:space="preserve">Saskaņā ar 28.03.2024. lēmumu Nr. 119, ieņēmumu palielinājums pārcelts arī uz izdevumu sadaļu GS rīkošanai. (EUR 21'000 (EUR 7'000 tirdzniecības nodevas; EUR 9'000 ieņēmumi par telpu nomu; 5'000 pārējie ieņēmumi)). </t>
  </si>
  <si>
    <t xml:space="preserve">1) Balstoties uz faktisko izpildi, prognoze, ka līdz gada beigām būs lielāki ieņēmumi kā plānots (Sporta daļa)
2) Saskaņā ar 28.03.2024. lēmumu Nr. 119, ieņēmumu palielinājums pārcelts arī uz izdevumu sadaļu GS rīkošanai. (EUR 21'000 (EUR 7'000 tirdzniecības nodevas; EUR 9'000 ieņēmumi par telpu nomu; 5'000 pārējie ieņēmumi)). </t>
  </si>
  <si>
    <t>Atlikta saimnieciskās darbības nodalīšana no CKS EUR 680'342 (ieņēmumu un izdevumu sadaļā)</t>
  </si>
  <si>
    <r>
      <t>1) EUR 276 Ādažu bibliotēkas uzturēšana, ko veic CKS;
2) EUR 62 Carnikavas bibliotēkas uzturēšana, ko veic CKS;
3) EUR 102 Policijas uzturēšana, ko veic CKS;
4) EUR 28 Kadiķis uzturēšana, ko veic CKS;
5) EUR 165 t/n Ozolaine uzturēšana, ko veic CKS.
6) Stadiona labiekārtošanas darbi veikti caur CKS, pārcelts EUR 6'629 uz CKS teritorijas labiekārtošanas sadaļu.
7)</t>
    </r>
    <r>
      <rPr>
        <u/>
        <sz val="11"/>
        <rFont val="Times New Roman"/>
        <family val="1"/>
        <charset val="186"/>
      </rPr>
      <t xml:space="preserve"> Iekš. groz.:</t>
    </r>
    <r>
      <rPr>
        <sz val="11"/>
        <rFont val="Times New Roman"/>
        <family val="1"/>
        <charset val="186"/>
      </rPr>
      <t xml:space="preserve"> EUR 10'000 no atalgojuma pārcelt siltummezgla rekonstrukcijai Stacijas ielā 5 un 7.
8) </t>
    </r>
    <r>
      <rPr>
        <u/>
        <sz val="11"/>
        <rFont val="Times New Roman"/>
        <family val="1"/>
        <charset val="186"/>
      </rPr>
      <t>Iekš. groz.:</t>
    </r>
    <r>
      <rPr>
        <sz val="11"/>
        <rFont val="Times New Roman"/>
        <family val="1"/>
        <charset val="186"/>
      </rPr>
      <t xml:space="preserve"> EUR 7'865 no ietaupījumu no elektroenerģijas patēriņa samazinājuma novirzīt caurtekas renovācijai Viršu ielā</t>
    </r>
  </si>
  <si>
    <t>EUR 7'811 ĀPII uzturēšana, ko veic CKS</t>
  </si>
  <si>
    <t>Noslēdzies iepirkums uzņēmējdarbības konkursa tehniskā projekta izstrādāšanai par summu EUR 23'293 (aprīļa grozījumos šim mērķim tika pārcelti EUR 26'640 no mobilitātes punkta projekta). Starpība EUR 3'347 atgriezts mobilitātes projektam.</t>
  </si>
  <si>
    <t>EUR 50'687 aizņēmumu % maksājumu plānotās kopsummas samazinājums uz projekta Pastaigu taka gar Baltezera kanālu budžetu (30.05.2024. ĀND lēmums # 185)</t>
  </si>
  <si>
    <t>EUR 22'000 no ieņēmumu palielinājuma (KA % ieņēmumu palielinājums). (30.05.2024. ĀND lēmums # 185)
EUR 50'687 no aizņēmumu % maksājumu plānotās kopsummas.</t>
  </si>
  <si>
    <t>1) EUR 5'801 no Attīstības nodaļas (ekonomija uz vakancēm) uz projektu Mākslu skolas ārtelpas labiekārtošana. (30.05.2024. ĀND lēmums # 223)
2) EUR 44'284 - ANM pasākuma "Atbalsta pasākumi cilvēkiem ar invaliditāti mājokļu vides pieejamības nodrošināšanai" projekts - Pārcelts uz jaunu struktūru 1018; 
3) Noslēdzies iepirkums uzņēmējdarbības konkursa tehniskā projekta izstrādāšanai par summu EUR 23'293 (aprīļa grozījumos šim mērķim tika pārcelti EUR 26'640 no mobilitātes punkta projekta). Starpība EUR 3'347 atgriezts mobilitātes projektam.</t>
  </si>
  <si>
    <t>EUR 5'801 no Attīstības nodaļas (ekonomija uz vakancēm) uz projektu Mākslu skolas ārtelpas labiekārtošana (30.05.2024. ĀND lēmums # 223)</t>
  </si>
  <si>
    <t>Procentu ieņēmumi no nakts depozīta. (Saskaņā ar 30.05.2024. lēmumu Nr. 185 novirzīts projektam pastaigu celiņa izbūve gar Gaujas-Baltezera kanālu)</t>
  </si>
  <si>
    <t>EUR 3'150 no Ādažu vidusskolas PII uz PII Riekstiņš izglītojamo skaita palielinājumam. Saskaņā ar 30.05.2024. lēmumu Nr. 216 "Par izglītojamo skaita palielināšanu PII "Riekstiņš"</t>
  </si>
  <si>
    <t>30.06.2024. fakts</t>
  </si>
  <si>
    <t>30.06.2024. fakts (%) pret 2024. plānu</t>
  </si>
  <si>
    <t xml:space="preserve">Par projekta gaitu ziņo izpilddirektors. </t>
  </si>
  <si>
    <t>Te varētu būt rezerve uz gada beigām 100-150 tk</t>
  </si>
  <si>
    <r>
      <t xml:space="preserve">Norēķini notiek 3x gadā. </t>
    </r>
    <r>
      <rPr>
        <sz val="11"/>
        <color theme="9" tint="-0.249977111117893"/>
        <rFont val="Times New Roman"/>
        <family val="1"/>
        <charset val="186"/>
      </rPr>
      <t>Provizoriski trūkst ap 150tk.</t>
    </r>
  </si>
  <si>
    <t>Provizoriski trūkst ap 50 tk.</t>
  </si>
  <si>
    <t>Provizoriski trūkst ap 250 tk.</t>
  </si>
  <si>
    <t>2024.g. 1.pusgads</t>
  </si>
  <si>
    <t>RPR Reemigrācijas konkurss EUR 18 000;
Soc. pabalsti pēc faktiskājām izmaksām EUR 46774;
CVK finansējums EP vēlēšanām EUR 51 965
VB dotācija KAC uzturēšanai EUR 8147.</t>
  </si>
  <si>
    <t>Labklājības ministrijas kompensācija SD par supervīzijām</t>
  </si>
  <si>
    <t>Maksājumi tiek veikti 3x gadā.</t>
  </si>
  <si>
    <t>Par projekta gaitu ziņo IDR (LAD saņemtais finansējums iesaldēts )</t>
  </si>
  <si>
    <t>EUR 64 505 - % ieņēmumi no nakts depozīta
EUR 29 643 - nodrošinājuma maksa par izsolēm 
EUR 2 543 - telpu noma Garā iela 20</t>
  </si>
  <si>
    <t>Kopējā ieņēmumu izpilde pret plānoto ir 53%, jeb EUR 27'733'882 (+1,4mlj.)</t>
  </si>
  <si>
    <t>2. Izpilde atbilstoši plānotajam.</t>
  </si>
  <si>
    <r>
      <t xml:space="preserve">3. Pirmajā pusgadā izpilde 144%, taču naudas sodu ieņēmumi nav prognozējami. Šo pozīciju varētu palielināt par </t>
    </r>
    <r>
      <rPr>
        <b/>
        <sz val="10"/>
        <rFont val="Arial"/>
        <family val="2"/>
        <charset val="186"/>
      </rPr>
      <t>EUR 30'000</t>
    </r>
  </si>
  <si>
    <t>Soda nauda trenažieru iepirkumam EUR 2'509</t>
  </si>
  <si>
    <r>
      <t xml:space="preserve">4. Saņemts EUR 64'505 - procentu ieņēmumi no nakts depozīta (šobrīd </t>
    </r>
    <r>
      <rPr>
        <b/>
        <sz val="10"/>
        <rFont val="Arial"/>
        <family val="2"/>
        <charset val="186"/>
      </rPr>
      <t>+ EUR 20'000</t>
    </r>
    <r>
      <rPr>
        <sz val="10"/>
        <rFont val="Arial"/>
        <family val="2"/>
        <charset val="186"/>
      </rPr>
      <t xml:space="preserve"> pret plānoto); EUR 29’43 - nodrošinājuma maksa par izsolēm, bet no šī daļa būs jāatmaksā izsoļu dalībniekiem, kuri neiegādājās īpašumu.</t>
    </r>
  </si>
  <si>
    <r>
      <t xml:space="preserve">5. Saņemta nauda no izsolēm. Kopsummā izpilde par </t>
    </r>
    <r>
      <rPr>
        <b/>
        <sz val="10"/>
        <rFont val="Arial"/>
        <family val="2"/>
        <charset val="186"/>
      </rPr>
      <t>EUR 30'205 lielāka</t>
    </r>
    <r>
      <rPr>
        <sz val="10"/>
        <rFont val="Arial"/>
        <family val="2"/>
        <charset val="186"/>
      </rPr>
      <t xml:space="preserve"> kā gada plāns.</t>
    </r>
  </si>
  <si>
    <t>6. Izpilde atbilstoši plānotajam.</t>
  </si>
  <si>
    <t>6.1. Pedagogu algām 66%, kas ir lielākā pozīcija šajā sadaļā (saņemta dotācija par Janv-Augustu).</t>
  </si>
  <si>
    <t>6.2. Saskaņā ar projektu NP. Izpilde 60%. Par projektu gaitu sīkāk ziņos izpilddirektors.</t>
  </si>
  <si>
    <t>7. Maksājumi tiek veikti 3 reizes gadā, vēl jābūt 2iem maksājumiem, ja nesamazinās Ādažos deklarēto bērnu skaits, kas apmeklē citu pašvldību izglītības iestādes, tad šeit varētu būt pārpilde ~ EUR 45'000-80'000 apmērā.</t>
  </si>
  <si>
    <t>8.1. Maksa par izglītības pakalpojumiem u.c. ieņēmumi</t>
  </si>
  <si>
    <t>8.3. CKS ieņēmumi no dzīvokļu un komunālajiem pakalpojumiem</t>
  </si>
  <si>
    <t>8.1. Iespējama lielāka izpilde ~ + EUR 50'000</t>
  </si>
  <si>
    <t>8.2. Iespējama lielāka izpilde ~ + EUR 50'000</t>
  </si>
  <si>
    <t>1.1. Izpilde tuvu plānotajam. Ekonomija uz komisiju atalgojuma, kur plānots saskaņā ar nolikumiem atļautās stunds.</t>
  </si>
  <si>
    <t>2. Tuvu plānotajam. Liela pozīcja EUR 12'000 - vēl nav veikta videonovērošanas iekārtu servera iegāde.</t>
  </si>
  <si>
    <t>3. Tuvu plānotajam. Izdevumi par kalendāru izgatavošanu visam novadam paredzēta gada beigās.</t>
  </si>
  <si>
    <t xml:space="preserve">6. Kopējā izpilde 38%. </t>
  </si>
  <si>
    <t>6.1. Izpilde 59%, jo gada sākumā veikta investīcija - zemes iegāde par EUR 1'037'000 apmērā.</t>
  </si>
  <si>
    <t>7.  Kopējā izpilde 47%. Projekts "Kultūras objektu būvniecība" noslēdzies un veikta naudas līdzekļu atmaksa projektu partneriem EUR 195'754 apmērā. Ādažu kultūras centrs 55% - lielākās izmaksas maijā - Gaujas svētki. TN Ozolaine 27% - Nēģu svētki augustā, pasākumi siltajā sezonā.</t>
  </si>
  <si>
    <t>9. Kopējā izpilde 42%. Izglītības iestāžu atalgojuma sadaļā lielākā izpilde vasaras mēnešos, kad lielākā daļa darbinieku dodas atvaļinājumā.</t>
  </si>
  <si>
    <t>8. Kopējā izpilde 36%. Dotācijas "Energoresursu atbalsts" 0% - šobrīd nav plānotas, tad jākoriģē par šādu summu gan ieņēmumi, gan izdevumi.
Sadaļa pabalsti izpilde 41%. Iespējams, ka šeit būs ekonomija ~ EUR 100'000. (Aprūpe mājās bērniem invalīdiem (MK nav pieņemts) un uz skolēnu ēdināšanu, bet to vajadzētu prātīgāk novirzīt pašvaldību savst norēķ par audzēkņiem (30.06.80% izpilde) līdzfinansējumam PPII.</t>
  </si>
  <si>
    <t xml:space="preserve">    9.12. projekti - izpilde 21%. Carnikavas stadiona rekonstrukcija - uz 31.03. projekts noslēdzies un samaksāts kopsummā 2024.gadā EUR 114'786. Lielākā pozīcija "Jaunas pirmsskolas izglītības iestādes Podniekos būvniecība" EUR 637'343, kur uz 30.06. izpilde EUR 47'916 (8%).</t>
  </si>
  <si>
    <r>
      <t xml:space="preserve">   9.1. Norēķini ar pašvaldībām par izglītības iestāžu pakalp. - izpilde 80%. Norēķini notiek 3x gadā. Provizoriski </t>
    </r>
    <r>
      <rPr>
        <b/>
        <sz val="10"/>
        <rFont val="Arial"/>
        <family val="2"/>
        <charset val="186"/>
      </rPr>
      <t>trūkst ap EUR 150'000</t>
    </r>
    <r>
      <rPr>
        <sz val="10"/>
        <rFont val="Arial"/>
        <family val="2"/>
        <charset val="186"/>
      </rPr>
      <t>. Pieaugušas uzturēšanas izmaksas, kā arī bērnu skaits, kuri apmeklē citu pašvaldību izglītības iestādes (visvairāk Rīgā)</t>
    </r>
  </si>
  <si>
    <t>9.2. - 9.5. Ādažu PII izpilde izpilde vidēji 38%. Darbinieku atvaļinājumi vasarā un mācību līdzekļu iegāde notiek pirms jaunā mācību gada.</t>
  </si>
  <si>
    <t>9.7. Carnikavas pamatskola - izpilde 48 %, pedagogu atvaļinājumi vasarā.</t>
  </si>
  <si>
    <t>9.8. Ādažu vidusskola 39% - projekts Ādažu vidusskolas ēkas A korpusa, savienojuma daļas starp korpusiem (A un B), kā arī, vidusskolas centrālās daļas, tai skaitā torņa fasādes atjaunošana. EUR 870 000 - notiek projekta izstrāde.</t>
  </si>
  <si>
    <t>9.10. Sporta skola 40% - vasarā plānotas nometnes.</t>
  </si>
  <si>
    <t>9.11. Izglītības un jauniešu lietu pārvalde 47% - lielākās plāna pozīcijas bērnu radošās nometnes vasarā.</t>
  </si>
  <si>
    <t>Vairāki projekti nav izcelti no nodaļas, kuru finansējums plānots gada otrajā pusē.</t>
  </si>
  <si>
    <t>Iespējams šeit veidojas ~ 100'000 - 200'000 euro rezerve (Aprūpe mājās bērniem invalīdiem (kaut ko MK nepieņēma) un uz skolēnu ēdināšanu, bet to tad būtu prātīgāk novirzīt pašvaldību savst norēķ par audzēkņiem (30.06.75% izpilde)līdzfinansējumam PPII</t>
  </si>
  <si>
    <r>
      <t>9.6. Privātās izglītības iestādes. Izpilde 50%, bet varētu būt, ka</t>
    </r>
    <r>
      <rPr>
        <b/>
        <sz val="10"/>
        <rFont val="Arial"/>
        <family val="2"/>
        <charset val="186"/>
      </rPr>
      <t xml:space="preserve"> būs nepieciešami papildus ~ 150'000</t>
    </r>
  </si>
  <si>
    <t>8.3. CKS ieņēmumi no dzīvokļu un komunālajiem pakalpojumiem 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</si>
</sst>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43" formatCode="_-* #,##0.00_-;\-* #,##0.00_-;_-* &quot;-&quot;??_-;_-@_-"/>
    <numFmt numFmtId="164" formatCode="_-&quot;€&quot;\ * #,##0.00_-;\-&quot;€&quot;\ * #,##0.00_-;_-&quot;€&quot;\ * &quot;-&quot;??_-;_-@_-"/>
    <numFmt numFmtId="165" formatCode="_-&quot;Ls&quot;\ * #,##0.00_-;\-&quot;Ls&quot;\ * #,##0.00_-;_-&quot;Ls&quot;\ * &quot;-&quot;??_-;_-@_-"/>
    <numFmt numFmtId="166" formatCode="_-* #,##0_-;\-* #,##0_-;_-* &quot;-&quot;??_-;_-@_-"/>
    <numFmt numFmtId="167" formatCode="0.0%"/>
    <numFmt numFmtId="168" formatCode="[$-426]General"/>
    <numFmt numFmtId="169" formatCode="[$-426]0%"/>
    <numFmt numFmtId="170" formatCode="&quot; &quot;#,##0.00&quot; &quot;;&quot;-&quot;#,##0.00&quot; &quot;;&quot; -&quot;#&quot; &quot;;&quot; &quot;@&quot; &quot;"/>
    <numFmt numFmtId="171" formatCode="#,##0_ ;\-#,##0\ "/>
    <numFmt numFmtId="172" formatCode="[&lt;=9999999]###\-####;\(###\)\ ###\-####"/>
    <numFmt numFmtId="173" formatCode="_-* #,##0.00\ [$EUR]_-;\-* #,##0.00\ [$EUR]_-;_-* &quot;-&quot;??\ [$EUR]_-;_-@_-"/>
    <numFmt numFmtId="174" formatCode="#,##0.000"/>
    <numFmt numFmtId="175" formatCode="#,##0_ ;[Red]\-#,##0\ "/>
    <numFmt numFmtId="176" formatCode="_-&quot;€&quot;* #,##0.00_-;\-&quot;€&quot;* #,##0.00_-;_-&quot;€&quot;* &quot;-&quot;??_-;_-@_-"/>
  </numFmts>
  <fonts count="165" x14ac:knownFonts="1">
    <font>
      <sz val="9"/>
      <color theme="1"/>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sz val="11"/>
      <name val="Times New Roman"/>
      <family val="1"/>
      <charset val="186"/>
    </font>
    <font>
      <sz val="11"/>
      <color indexed="10"/>
      <name val="Times New Roman"/>
      <family val="1"/>
      <charset val="186"/>
    </font>
    <font>
      <sz val="11"/>
      <color rgb="FFFF0000"/>
      <name val="Times New Roman"/>
      <family val="1"/>
      <charset val="186"/>
    </font>
    <font>
      <sz val="11"/>
      <color theme="3"/>
      <name val="Times New Roman"/>
      <family val="1"/>
      <charset val="186"/>
    </font>
    <font>
      <sz val="11"/>
      <color indexed="8"/>
      <name val="Calibri"/>
      <family val="2"/>
      <charset val="186"/>
    </font>
    <font>
      <b/>
      <sz val="11"/>
      <name val="Times New Roman"/>
      <family val="1"/>
      <charset val="186"/>
    </font>
    <font>
      <sz val="9"/>
      <color theme="1"/>
      <name val="Arial"/>
      <family val="2"/>
      <charset val="186"/>
    </font>
    <font>
      <sz val="10"/>
      <name val="Arial"/>
      <family val="2"/>
      <charset val="186"/>
    </font>
    <font>
      <b/>
      <sz val="11"/>
      <color rgb="FFFF0000"/>
      <name val="Times New Roman"/>
      <family val="1"/>
      <charset val="186"/>
    </font>
    <font>
      <b/>
      <sz val="11"/>
      <color theme="3"/>
      <name val="Times New Roman"/>
      <family val="1"/>
      <charset val="186"/>
    </font>
    <font>
      <sz val="11"/>
      <color indexed="8"/>
      <name val="Times New Roman"/>
      <family val="1"/>
      <charset val="186"/>
    </font>
    <font>
      <sz val="10"/>
      <name val="Times New Roman"/>
      <family val="1"/>
      <charset val="186"/>
    </font>
    <font>
      <sz val="10"/>
      <color rgb="FFFF0000"/>
      <name val="Times New Roman"/>
      <family val="1"/>
      <charset val="186"/>
    </font>
    <font>
      <i/>
      <sz val="11"/>
      <name val="Times New Roman"/>
      <family val="1"/>
      <charset val="186"/>
    </font>
    <font>
      <b/>
      <sz val="9"/>
      <color theme="1"/>
      <name val="Arial"/>
      <family val="2"/>
      <charset val="186"/>
    </font>
    <font>
      <sz val="8"/>
      <name val="Arial"/>
      <family val="2"/>
      <charset val="186"/>
    </font>
    <font>
      <b/>
      <sz val="8"/>
      <color rgb="FFFF0000"/>
      <name val="Arial"/>
      <family val="2"/>
      <charset val="186"/>
    </font>
    <font>
      <sz val="8"/>
      <color rgb="FFFF0000"/>
      <name val="Arial"/>
      <family val="2"/>
      <charset val="186"/>
    </font>
    <font>
      <sz val="8"/>
      <color indexed="10"/>
      <name val="Tahoma"/>
      <family val="2"/>
      <charset val="186"/>
    </font>
    <font>
      <sz val="8"/>
      <color theme="1"/>
      <name val="Arial"/>
      <family val="2"/>
      <charset val="186"/>
    </font>
    <font>
      <i/>
      <sz val="8"/>
      <name val="Arial"/>
      <family val="2"/>
      <charset val="186"/>
    </font>
    <font>
      <i/>
      <sz val="8"/>
      <color theme="1"/>
      <name val="Arial"/>
      <family val="2"/>
      <charset val="186"/>
    </font>
    <font>
      <i/>
      <sz val="8"/>
      <color rgb="FFFF0000"/>
      <name val="Arial"/>
      <family val="2"/>
      <charset val="186"/>
    </font>
    <font>
      <b/>
      <i/>
      <sz val="8"/>
      <name val="Arial"/>
      <family val="2"/>
      <charset val="186"/>
    </font>
    <font>
      <sz val="9"/>
      <color indexed="8"/>
      <name val="Arial"/>
      <family val="2"/>
      <charset val="186"/>
    </font>
    <font>
      <b/>
      <i/>
      <sz val="8"/>
      <color theme="1"/>
      <name val="Arial"/>
      <family val="2"/>
      <charset val="186"/>
    </font>
    <font>
      <i/>
      <sz val="8"/>
      <color rgb="FF000000"/>
      <name val="Arial"/>
      <family val="2"/>
      <charset val="186"/>
    </font>
    <font>
      <sz val="9"/>
      <color rgb="FFFF0000"/>
      <name val="Arial"/>
      <family val="2"/>
      <charset val="186"/>
    </font>
    <font>
      <sz val="9"/>
      <color rgb="FF006100"/>
      <name val="Arial"/>
      <family val="2"/>
      <charset val="186"/>
    </font>
    <font>
      <sz val="12"/>
      <name val="Times New Roman"/>
      <family val="1"/>
      <charset val="186"/>
    </font>
    <font>
      <sz val="9"/>
      <name val="Arial"/>
      <family val="2"/>
      <charset val="186"/>
    </font>
    <font>
      <b/>
      <sz val="11"/>
      <color theme="1"/>
      <name val="Calibri"/>
      <family val="2"/>
      <charset val="186"/>
      <scheme val="minor"/>
    </font>
    <font>
      <u/>
      <sz val="11"/>
      <color theme="10"/>
      <name val="Calibri"/>
      <family val="2"/>
      <charset val="186"/>
      <scheme val="minor"/>
    </font>
    <font>
      <sz val="9"/>
      <color rgb="FFC00000"/>
      <name val="Arial"/>
      <family val="2"/>
      <charset val="186"/>
    </font>
    <font>
      <sz val="11"/>
      <color rgb="FF000000"/>
      <name val="Calibri"/>
      <family val="2"/>
    </font>
    <font>
      <b/>
      <sz val="10"/>
      <name val="Arial"/>
      <family val="2"/>
      <charset val="186"/>
    </font>
    <font>
      <sz val="10"/>
      <color rgb="FFFF0000"/>
      <name val="Arial"/>
      <family val="2"/>
      <charset val="186"/>
    </font>
    <font>
      <b/>
      <sz val="9"/>
      <name val="Arial"/>
      <family val="2"/>
      <charset val="186"/>
    </font>
    <font>
      <sz val="10"/>
      <color theme="1"/>
      <name val="Arial"/>
      <family val="2"/>
      <charset val="186"/>
    </font>
    <font>
      <sz val="8"/>
      <color theme="1"/>
      <name val="Calibri"/>
      <family val="2"/>
      <charset val="186"/>
      <scheme val="minor"/>
    </font>
    <font>
      <b/>
      <sz val="9"/>
      <color rgb="FFC00000"/>
      <name val="Arial"/>
      <family val="2"/>
      <charset val="186"/>
    </font>
    <font>
      <i/>
      <sz val="9"/>
      <color theme="1"/>
      <name val="Arial"/>
      <family val="2"/>
      <charset val="186"/>
    </font>
    <font>
      <sz val="10"/>
      <name val="Arial"/>
      <family val="2"/>
    </font>
    <font>
      <b/>
      <sz val="11"/>
      <name val="Times New Roman"/>
      <family val="1"/>
    </font>
    <font>
      <i/>
      <sz val="9"/>
      <color theme="3"/>
      <name val="Arial"/>
      <family val="2"/>
      <charset val="186"/>
    </font>
    <font>
      <i/>
      <sz val="11"/>
      <color rgb="FFFF0000"/>
      <name val="Times New Roman"/>
      <family val="1"/>
      <charset val="186"/>
    </font>
    <font>
      <i/>
      <sz val="8"/>
      <color rgb="FF7030A0"/>
      <name val="Arial"/>
      <family val="2"/>
      <charset val="186"/>
    </font>
    <font>
      <sz val="9"/>
      <color indexed="81"/>
      <name val="Tahoma"/>
      <family val="2"/>
      <charset val="186"/>
    </font>
    <font>
      <b/>
      <sz val="9"/>
      <color indexed="81"/>
      <name val="Tahoma"/>
      <family val="2"/>
      <charset val="186"/>
    </font>
    <font>
      <sz val="10"/>
      <name val="Arial"/>
      <family val="2"/>
      <charset val="186"/>
    </font>
    <font>
      <i/>
      <sz val="9"/>
      <color rgb="FFFF0000"/>
      <name val="Arial"/>
      <family val="2"/>
      <charset val="186"/>
    </font>
    <font>
      <sz val="11"/>
      <color theme="1"/>
      <name val="Arial"/>
      <family val="2"/>
      <charset val="186"/>
    </font>
    <font>
      <b/>
      <sz val="20"/>
      <color indexed="8"/>
      <name val="Times New Roman"/>
      <family val="1"/>
      <charset val="186"/>
    </font>
    <font>
      <b/>
      <sz val="16"/>
      <color theme="1"/>
      <name val="Times New Roman"/>
      <family val="1"/>
      <charset val="186"/>
    </font>
    <font>
      <sz val="13"/>
      <name val="Times New Roman"/>
      <family val="1"/>
    </font>
    <font>
      <u/>
      <sz val="12"/>
      <color theme="10"/>
      <name val="Times New Roman"/>
      <family val="2"/>
      <charset val="186"/>
    </font>
    <font>
      <sz val="11"/>
      <color theme="1"/>
      <name val="Calibri"/>
      <family val="2"/>
      <scheme val="minor"/>
    </font>
    <font>
      <sz val="11"/>
      <name val="Calibri"/>
      <family val="2"/>
      <scheme val="minor"/>
    </font>
    <font>
      <sz val="8"/>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i/>
      <sz val="11"/>
      <color rgb="FF7F7F7F"/>
      <name val="Calibri"/>
      <family val="2"/>
      <charset val="186"/>
      <scheme val="minor"/>
    </font>
    <font>
      <sz val="11"/>
      <color theme="0"/>
      <name val="Calibri"/>
      <family val="2"/>
      <charset val="186"/>
      <scheme val="minor"/>
    </font>
    <font>
      <i/>
      <sz val="9"/>
      <color rgb="FFC00000"/>
      <name val="Arial"/>
      <family val="2"/>
      <charset val="186"/>
    </font>
    <font>
      <sz val="11"/>
      <color rgb="FF7030A0"/>
      <name val="Times New Roman"/>
      <family val="1"/>
      <charset val="186"/>
    </font>
    <font>
      <sz val="10"/>
      <name val="Helv"/>
    </font>
    <font>
      <b/>
      <i/>
      <sz val="8"/>
      <color rgb="FF7030A0"/>
      <name val="Arial"/>
      <family val="2"/>
      <charset val="186"/>
    </font>
    <font>
      <sz val="9"/>
      <color rgb="FF7030A0"/>
      <name val="Arial"/>
      <family val="2"/>
      <charset val="186"/>
    </font>
    <font>
      <b/>
      <i/>
      <sz val="8"/>
      <color rgb="FF000000"/>
      <name val="Arial"/>
      <family val="2"/>
      <charset val="186"/>
    </font>
    <font>
      <b/>
      <sz val="9"/>
      <color rgb="FF7030A0"/>
      <name val="Arial"/>
      <family val="2"/>
      <charset val="186"/>
    </font>
    <font>
      <u/>
      <sz val="9"/>
      <color theme="10"/>
      <name val="Arial"/>
      <family val="2"/>
      <charset val="186"/>
    </font>
    <font>
      <b/>
      <sz val="11"/>
      <name val="Calibri"/>
      <family val="2"/>
      <scheme val="minor"/>
    </font>
    <font>
      <b/>
      <sz val="11"/>
      <color rgb="FF7030A0"/>
      <name val="Times New Roman"/>
      <family val="1"/>
      <charset val="186"/>
    </font>
    <font>
      <b/>
      <i/>
      <sz val="9"/>
      <color rgb="FF7030A0"/>
      <name val="Arial"/>
      <family val="2"/>
      <charset val="186"/>
    </font>
    <font>
      <sz val="11"/>
      <color rgb="FF9C5700"/>
      <name val="Calibri"/>
      <family val="2"/>
      <charset val="186"/>
      <scheme val="minor"/>
    </font>
    <font>
      <b/>
      <sz val="9"/>
      <color rgb="FFFF0000"/>
      <name val="Arial"/>
      <family val="2"/>
      <charset val="186"/>
    </font>
    <font>
      <u/>
      <sz val="11"/>
      <color theme="10"/>
      <name val="Calibri"/>
      <family val="2"/>
      <charset val="186"/>
    </font>
    <font>
      <b/>
      <sz val="18"/>
      <name val="Calibri"/>
      <family val="2"/>
      <scheme val="minor"/>
    </font>
    <font>
      <sz val="9"/>
      <color theme="0"/>
      <name val="Arial"/>
      <family val="2"/>
      <charset val="186"/>
    </font>
    <font>
      <sz val="28"/>
      <color theme="0" tint="-0.499984740745262"/>
      <name val="Calibri Light"/>
      <family val="2"/>
      <scheme val="major"/>
    </font>
    <font>
      <b/>
      <i/>
      <sz val="11"/>
      <name val="Calibri"/>
      <family val="2"/>
      <scheme val="minor"/>
    </font>
    <font>
      <i/>
      <sz val="11"/>
      <name val="Calibri"/>
      <family val="2"/>
      <scheme val="minor"/>
    </font>
    <font>
      <b/>
      <i/>
      <sz val="9"/>
      <name val="Arial"/>
      <family val="2"/>
      <charset val="186"/>
    </font>
    <font>
      <b/>
      <sz val="9"/>
      <color theme="0"/>
      <name val="Arial"/>
      <family val="2"/>
      <charset val="186"/>
    </font>
    <font>
      <i/>
      <sz val="9"/>
      <color theme="8"/>
      <name val="Arial"/>
      <family val="2"/>
      <charset val="186"/>
    </font>
    <font>
      <sz val="9"/>
      <color theme="8"/>
      <name val="Arial"/>
      <family val="2"/>
      <charset val="186"/>
    </font>
    <font>
      <i/>
      <sz val="9"/>
      <color theme="4"/>
      <name val="Arial"/>
      <family val="2"/>
      <charset val="186"/>
    </font>
    <font>
      <b/>
      <sz val="9"/>
      <color theme="0" tint="-0.499984740745262"/>
      <name val="Arial"/>
      <family val="2"/>
      <charset val="186"/>
    </font>
    <font>
      <sz val="9"/>
      <color theme="0" tint="-0.499984740745262"/>
      <name val="Arial"/>
      <family val="2"/>
      <charset val="186"/>
    </font>
    <font>
      <b/>
      <sz val="10"/>
      <color theme="1"/>
      <name val="Arial"/>
      <family val="2"/>
      <charset val="186"/>
    </font>
    <font>
      <b/>
      <sz val="10"/>
      <color rgb="FFFF0000"/>
      <name val="Arial"/>
      <family val="2"/>
      <charset val="186"/>
    </font>
    <font>
      <b/>
      <i/>
      <sz val="9"/>
      <color theme="1"/>
      <name val="Arial"/>
      <family val="2"/>
      <charset val="186"/>
    </font>
    <font>
      <sz val="8"/>
      <color theme="8"/>
      <name val="Arial"/>
      <family val="2"/>
      <charset val="186"/>
    </font>
    <font>
      <b/>
      <i/>
      <sz val="9"/>
      <color rgb="FFFF0000"/>
      <name val="Arial"/>
      <family val="2"/>
      <charset val="186"/>
    </font>
    <font>
      <i/>
      <sz val="9"/>
      <name val="Arial"/>
      <family val="2"/>
      <charset val="186"/>
    </font>
    <font>
      <b/>
      <sz val="8"/>
      <color theme="1"/>
      <name val="Calibri"/>
      <family val="2"/>
      <charset val="186"/>
      <scheme val="minor"/>
    </font>
    <font>
      <i/>
      <sz val="8"/>
      <color theme="8" tint="-0.249977111117893"/>
      <name val="Arial"/>
      <family val="2"/>
      <charset val="186"/>
    </font>
    <font>
      <sz val="11"/>
      <color rgb="FF000000"/>
      <name val="Calibri"/>
      <family val="2"/>
      <charset val="1"/>
    </font>
    <font>
      <i/>
      <sz val="11"/>
      <color indexed="8"/>
      <name val="Times New Roman"/>
      <family val="1"/>
      <charset val="186"/>
    </font>
    <font>
      <b/>
      <u/>
      <sz val="11"/>
      <name val="Times New Roman"/>
      <family val="1"/>
      <charset val="186"/>
    </font>
    <font>
      <u/>
      <sz val="11"/>
      <name val="Times New Roman"/>
      <family val="1"/>
      <charset val="186"/>
    </font>
    <font>
      <u/>
      <sz val="10"/>
      <name val="Arial"/>
      <family val="2"/>
      <charset val="186"/>
    </font>
    <font>
      <sz val="11"/>
      <color theme="9" tint="-0.249977111117893"/>
      <name val="Times New Roman"/>
      <family val="1"/>
      <charset val="186"/>
    </font>
    <font>
      <u/>
      <sz val="10"/>
      <color rgb="FFFF0000"/>
      <name val="Arial"/>
      <family val="2"/>
      <charset val="186"/>
    </font>
    <font>
      <u/>
      <sz val="10"/>
      <color rgb="FFFF0000"/>
      <name val="Times New Roman"/>
      <family val="2"/>
      <charset val="186"/>
    </font>
    <font>
      <sz val="10"/>
      <color rgb="FFFF0000"/>
      <name val="Times New Roman"/>
      <family val="2"/>
      <charset val="186"/>
    </font>
    <font>
      <b/>
      <sz val="20"/>
      <name val="Times New Roman"/>
      <family val="1"/>
      <charset val="186"/>
    </font>
  </fonts>
  <fills count="70">
    <fill>
      <patternFill patternType="none"/>
    </fill>
    <fill>
      <patternFill patternType="gray125"/>
    </fill>
    <fill>
      <patternFill patternType="solid">
        <fgColor rgb="FFC6EFCE"/>
      </patternFill>
    </fill>
    <fill>
      <patternFill patternType="solid">
        <fgColor indexed="22"/>
        <bgColor indexed="64"/>
      </patternFill>
    </fill>
    <fill>
      <patternFill patternType="solid">
        <fgColor indexed="50"/>
        <bgColor indexed="64"/>
      </patternFill>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indexed="47"/>
        <bgColor indexed="64"/>
      </patternFill>
    </fill>
    <fill>
      <patternFill patternType="solid">
        <fgColor indexed="42"/>
        <bgColor indexed="64"/>
      </patternFill>
    </fill>
    <fill>
      <patternFill patternType="solid">
        <fgColor rgb="FFFF0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CCFFCC"/>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CC"/>
        <bgColor indexed="64"/>
      </patternFill>
    </fill>
    <fill>
      <patternFill patternType="solid">
        <fgColor theme="4" tint="0.79998168889431442"/>
        <bgColor indexed="64"/>
      </patternFill>
    </fill>
    <fill>
      <patternFill patternType="solid">
        <fgColor theme="2"/>
        <bgColor indexed="64"/>
      </patternFill>
    </fill>
    <fill>
      <patternFill patternType="solid">
        <fgColor rgb="FF00B0F0"/>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CCFFCC"/>
        <bgColor rgb="FFCCFFCC"/>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7"/>
        <bgColor indexed="64"/>
      </patternFill>
    </fill>
    <fill>
      <patternFill patternType="solid">
        <fgColor rgb="FFFFFF00"/>
        <bgColor rgb="FFCCFFCC"/>
      </patternFill>
    </fill>
    <fill>
      <patternFill patternType="solid">
        <fgColor rgb="FFFFF2CC"/>
        <bgColor rgb="FFFFF2CC"/>
      </patternFill>
    </fill>
    <fill>
      <patternFill patternType="solid">
        <fgColor theme="5" tint="0.59999389629810485"/>
        <bgColor rgb="FFCCFFCC"/>
      </patternFill>
    </fill>
    <fill>
      <patternFill patternType="solid">
        <fgColor rgb="FFFF8B8B"/>
        <bgColor indexed="64"/>
      </patternFill>
    </fill>
  </fills>
  <borders count="12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medium">
        <color indexed="64"/>
      </right>
      <top style="thin">
        <color auto="1"/>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style="thin">
        <color auto="1"/>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medium">
        <color indexed="64"/>
      </right>
      <top style="medium">
        <color indexed="64"/>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style="thin">
        <color theme="0" tint="-0.499984740745262"/>
      </top>
      <bottom/>
      <diagonal/>
    </border>
    <border>
      <left/>
      <right/>
      <top/>
      <bottom style="double">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theme="0" tint="-0.499984740745262"/>
      </left>
      <right/>
      <top/>
      <bottom/>
      <diagonal/>
    </border>
    <border>
      <left style="thin">
        <color theme="0" tint="-0.499984740745262"/>
      </left>
      <right style="thin">
        <color theme="0" tint="-0.499984740745262"/>
      </right>
      <top style="thin">
        <color theme="0" tint="-0.499984740745262"/>
      </top>
      <bottom style="double">
        <color indexed="64"/>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indexed="64"/>
      </bottom>
      <diagonal/>
    </border>
    <border>
      <left style="thin">
        <color theme="0" tint="-0.499984740745262"/>
      </left>
      <right style="thin">
        <color theme="0" tint="-0.499984740745262"/>
      </right>
      <top/>
      <bottom style="double">
        <color indexed="64"/>
      </bottom>
      <diagonal/>
    </border>
    <border>
      <left style="thin">
        <color theme="0" tint="-0.499984740745262"/>
      </left>
      <right style="thin">
        <color theme="0" tint="-0.499984740745262"/>
      </right>
      <top style="double">
        <color indexed="64"/>
      </top>
      <bottom style="double">
        <color indexed="64"/>
      </bottom>
      <diagonal/>
    </border>
    <border>
      <left/>
      <right/>
      <top style="double">
        <color indexed="64"/>
      </top>
      <bottom style="double">
        <color indexed="64"/>
      </bottom>
      <diagonal/>
    </border>
    <border>
      <left/>
      <right style="thin">
        <color theme="0" tint="-0.499984740745262"/>
      </right>
      <top/>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bottom style="double">
        <color theme="0" tint="-0.499984740745262"/>
      </bottom>
      <diagonal/>
    </border>
    <border>
      <left/>
      <right/>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rgb="FF000000"/>
      </left>
      <right style="thin">
        <color rgb="FF000000"/>
      </right>
      <top style="thin">
        <color rgb="FF000000"/>
      </top>
      <bottom style="thin">
        <color indexed="64"/>
      </bottom>
      <diagonal/>
    </border>
    <border>
      <left/>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style="thin">
        <color auto="1"/>
      </right>
      <top style="double">
        <color indexed="64"/>
      </top>
      <bottom style="double">
        <color theme="0" tint="-0.499984740745262"/>
      </bottom>
      <diagonal/>
    </border>
    <border>
      <left style="thin">
        <color theme="0" tint="-0.499984740745262"/>
      </left>
      <right style="thin">
        <color theme="0" tint="-0.499984740745262"/>
      </right>
      <top style="double">
        <color indexed="64"/>
      </top>
      <bottom style="double">
        <color theme="0" tint="-0.499984740745262"/>
      </bottom>
      <diagonal/>
    </border>
    <border>
      <left style="thin">
        <color rgb="FF000000"/>
      </left>
      <right style="thin">
        <color rgb="FF000000"/>
      </right>
      <top style="double">
        <color indexed="64"/>
      </top>
      <bottom style="double">
        <color theme="0" tint="-0.499984740745262"/>
      </bottom>
      <diagonal/>
    </border>
    <border>
      <left/>
      <right/>
      <top style="double">
        <color indexed="64"/>
      </top>
      <bottom style="double">
        <color theme="0" tint="-0.499984740745262"/>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indexed="64"/>
      </top>
      <bottom style="double">
        <color indexed="64"/>
      </bottom>
      <diagonal/>
    </border>
    <border>
      <left/>
      <right/>
      <top style="thin">
        <color indexed="64"/>
      </top>
      <bottom style="double">
        <color indexed="64"/>
      </bottom>
      <diagonal/>
    </border>
    <border>
      <left/>
      <right style="medium">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medium">
        <color indexed="64"/>
      </right>
      <top style="thin">
        <color indexed="64"/>
      </top>
      <bottom style="thin">
        <color indexed="64"/>
      </bottom>
      <diagonal/>
    </border>
  </borders>
  <cellStyleXfs count="276">
    <xf numFmtId="0" fontId="0" fillId="0" borderId="0"/>
    <xf numFmtId="43" fontId="54" fillId="0" borderId="0" applyFont="0" applyFill="0" applyBorder="0" applyAlignment="0" applyProtection="0"/>
    <xf numFmtId="9" fontId="54" fillId="0" borderId="0" applyFont="0" applyFill="0" applyBorder="0" applyAlignment="0" applyProtection="0"/>
    <xf numFmtId="0" fontId="46" fillId="0" borderId="0"/>
    <xf numFmtId="9" fontId="52" fillId="0" borderId="0" applyFont="0" applyFill="0" applyBorder="0" applyAlignment="0" applyProtection="0"/>
    <xf numFmtId="43" fontId="52" fillId="0" borderId="0" applyFont="0" applyFill="0" applyBorder="0" applyAlignment="0" applyProtection="0"/>
    <xf numFmtId="9" fontId="52" fillId="0" borderId="0" applyFont="0" applyFill="0" applyBorder="0" applyAlignment="0" applyProtection="0"/>
    <xf numFmtId="0" fontId="55" fillId="0" borderId="0"/>
    <xf numFmtId="43" fontId="52" fillId="0" borderId="0" applyFont="0" applyFill="0" applyBorder="0" applyAlignment="0" applyProtection="0"/>
    <xf numFmtId="9" fontId="52" fillId="0" borderId="0" applyFont="0" applyFill="0" applyBorder="0" applyAlignment="0" applyProtection="0"/>
    <xf numFmtId="0" fontId="55" fillId="0" borderId="0"/>
    <xf numFmtId="43" fontId="55" fillId="0" borderId="0" applyFont="0" applyFill="0" applyBorder="0" applyAlignment="0" applyProtection="0"/>
    <xf numFmtId="43" fontId="52" fillId="0" borderId="0" applyFont="0" applyFill="0" applyBorder="0" applyAlignment="0" applyProtection="0"/>
    <xf numFmtId="0" fontId="45" fillId="0" borderId="0"/>
    <xf numFmtId="9" fontId="55" fillId="0" borderId="0" applyFont="0" applyFill="0" applyBorder="0" applyAlignment="0" applyProtection="0"/>
    <xf numFmtId="43" fontId="52" fillId="0" borderId="0" applyFont="0" applyFill="0" applyBorder="0" applyAlignment="0" applyProtection="0"/>
    <xf numFmtId="0" fontId="52" fillId="0" borderId="0"/>
    <xf numFmtId="43" fontId="52" fillId="0" borderId="0" applyFont="0" applyFill="0" applyBorder="0" applyAlignment="0" applyProtection="0"/>
    <xf numFmtId="0" fontId="59" fillId="0" borderId="0"/>
    <xf numFmtId="43" fontId="54" fillId="0" borderId="0" applyFont="0" applyFill="0" applyBorder="0" applyAlignment="0" applyProtection="0"/>
    <xf numFmtId="43" fontId="52" fillId="0" borderId="0" applyFont="0" applyFill="0" applyBorder="0" applyAlignment="0" applyProtection="0"/>
    <xf numFmtId="165" fontId="54" fillId="0" borderId="0" applyFont="0" applyFill="0" applyBorder="0" applyAlignment="0" applyProtection="0"/>
    <xf numFmtId="43" fontId="52" fillId="0" borderId="0" applyFont="0" applyFill="0" applyBorder="0" applyAlignment="0" applyProtection="0"/>
    <xf numFmtId="43" fontId="72" fillId="0" borderId="0" applyFont="0" applyFill="0" applyBorder="0" applyAlignment="0" applyProtection="0"/>
    <xf numFmtId="43" fontId="45" fillId="0" borderId="0" applyFont="0" applyFill="0" applyBorder="0" applyAlignment="0" applyProtection="0"/>
    <xf numFmtId="43" fontId="52" fillId="0" borderId="0" applyFont="0" applyFill="0" applyBorder="0" applyAlignment="0" applyProtection="0"/>
    <xf numFmtId="0" fontId="45" fillId="0" borderId="0"/>
    <xf numFmtId="0" fontId="76" fillId="2" borderId="0" applyNumberFormat="0" applyBorder="0" applyAlignment="0" applyProtection="0"/>
    <xf numFmtId="0" fontId="55" fillId="0" borderId="0"/>
    <xf numFmtId="43" fontId="55" fillId="0" borderId="0" applyFont="0" applyFill="0" applyBorder="0" applyAlignment="0" applyProtection="0"/>
    <xf numFmtId="43" fontId="55" fillId="0" borderId="0" applyFont="0" applyFill="0" applyBorder="0" applyAlignment="0" applyProtection="0"/>
    <xf numFmtId="9" fontId="55" fillId="0" borderId="0" applyFont="0" applyFill="0" applyBorder="0" applyAlignment="0" applyProtection="0"/>
    <xf numFmtId="0" fontId="44" fillId="0" borderId="0"/>
    <xf numFmtId="0" fontId="43" fillId="0" borderId="0"/>
    <xf numFmtId="9" fontId="43" fillId="0" borderId="0" applyFont="0" applyFill="0" applyBorder="0" applyAlignment="0" applyProtection="0"/>
    <xf numFmtId="0" fontId="43" fillId="0" borderId="0"/>
    <xf numFmtId="43" fontId="52" fillId="0" borderId="0" applyFont="0" applyFill="0" applyBorder="0" applyAlignment="0" applyProtection="0"/>
    <xf numFmtId="0" fontId="52" fillId="0" borderId="0"/>
    <xf numFmtId="0" fontId="52" fillId="0" borderId="0"/>
    <xf numFmtId="43" fontId="43" fillId="0" borderId="0" applyFont="0" applyFill="0" applyBorder="0" applyAlignment="0" applyProtection="0"/>
    <xf numFmtId="0" fontId="77" fillId="0" borderId="0"/>
    <xf numFmtId="0" fontId="80" fillId="0" borderId="0" applyNumberFormat="0" applyFill="0" applyBorder="0" applyAlignment="0" applyProtection="0"/>
    <xf numFmtId="0" fontId="55" fillId="0" borderId="0" applyNumberFormat="0" applyFill="0" applyBorder="0" applyAlignment="0" applyProtection="0"/>
    <xf numFmtId="0" fontId="42" fillId="0" borderId="0"/>
    <xf numFmtId="0" fontId="42" fillId="0" borderId="0"/>
    <xf numFmtId="0" fontId="52" fillId="0" borderId="0"/>
    <xf numFmtId="0" fontId="52" fillId="0" borderId="0"/>
    <xf numFmtId="0" fontId="55" fillId="0" borderId="0"/>
    <xf numFmtId="0" fontId="41" fillId="0" borderId="0"/>
    <xf numFmtId="43" fontId="41" fillId="0" borderId="0" applyFont="0" applyFill="0" applyBorder="0" applyAlignment="0" applyProtection="0"/>
    <xf numFmtId="43" fontId="54" fillId="0" borderId="0" applyFont="0" applyFill="0" applyBorder="0" applyAlignment="0" applyProtection="0"/>
    <xf numFmtId="0" fontId="55" fillId="0" borderId="0"/>
    <xf numFmtId="0" fontId="41" fillId="0" borderId="0"/>
    <xf numFmtId="0" fontId="90" fillId="0" borderId="0"/>
    <xf numFmtId="168" fontId="82" fillId="0" borderId="0"/>
    <xf numFmtId="0" fontId="40" fillId="0" borderId="0"/>
    <xf numFmtId="9" fontId="40" fillId="0" borderId="0" applyFont="0" applyFill="0" applyBorder="0" applyAlignment="0" applyProtection="0"/>
    <xf numFmtId="43" fontId="54" fillId="0" borderId="0" applyFont="0" applyFill="0" applyBorder="0" applyAlignment="0" applyProtection="0"/>
    <xf numFmtId="43" fontId="72" fillId="0" borderId="0" applyFont="0" applyFill="0" applyBorder="0" applyAlignment="0" applyProtection="0"/>
    <xf numFmtId="43" fontId="40" fillId="0" borderId="0" applyFont="0" applyFill="0" applyBorder="0" applyAlignment="0" applyProtection="0"/>
    <xf numFmtId="43" fontId="55" fillId="0" borderId="0" applyFont="0" applyFill="0" applyBorder="0" applyAlignment="0" applyProtection="0"/>
    <xf numFmtId="43" fontId="52" fillId="0" borderId="0" applyFont="0" applyFill="0" applyBorder="0" applyAlignment="0" applyProtection="0"/>
    <xf numFmtId="0" fontId="40" fillId="0" borderId="0"/>
    <xf numFmtId="43" fontId="40" fillId="0" borderId="0" applyFont="0" applyFill="0" applyBorder="0" applyAlignment="0" applyProtection="0"/>
    <xf numFmtId="0" fontId="39" fillId="0" borderId="0"/>
    <xf numFmtId="0" fontId="38" fillId="0" borderId="0"/>
    <xf numFmtId="0" fontId="37" fillId="0" borderId="0"/>
    <xf numFmtId="43" fontId="37" fillId="0" borderId="0" applyFont="0" applyFill="0" applyBorder="0" applyAlignment="0" applyProtection="0"/>
    <xf numFmtId="169" fontId="82" fillId="0" borderId="0" applyBorder="0" applyProtection="0"/>
    <xf numFmtId="170" fontId="82" fillId="0" borderId="0" applyBorder="0" applyProtection="0"/>
    <xf numFmtId="0" fontId="55" fillId="0" borderId="0"/>
    <xf numFmtId="0" fontId="36" fillId="0" borderId="0"/>
    <xf numFmtId="43" fontId="36" fillId="0" borderId="0" applyFont="0" applyFill="0" applyBorder="0" applyAlignment="0" applyProtection="0"/>
    <xf numFmtId="9" fontId="36" fillId="0" borderId="0" applyFont="0" applyFill="0" applyBorder="0" applyAlignment="0" applyProtection="0"/>
    <xf numFmtId="0" fontId="35" fillId="0" borderId="0"/>
    <xf numFmtId="43" fontId="35" fillId="0" borderId="0" applyFont="0" applyFill="0" applyBorder="0" applyAlignment="0" applyProtection="0"/>
    <xf numFmtId="0" fontId="97" fillId="0" borderId="0"/>
    <xf numFmtId="0" fontId="34" fillId="0" borderId="0"/>
    <xf numFmtId="43" fontId="34" fillId="0" borderId="0" applyFont="0" applyFill="0" applyBorder="0" applyAlignment="0" applyProtection="0"/>
    <xf numFmtId="164" fontId="34" fillId="0" borderId="0" applyFont="0" applyFill="0" applyBorder="0" applyAlignment="0" applyProtection="0"/>
    <xf numFmtId="9" fontId="34" fillId="0" borderId="0" applyFont="0" applyFill="0" applyBorder="0" applyAlignment="0" applyProtection="0"/>
    <xf numFmtId="43" fontId="54" fillId="0" borderId="0" applyFont="0" applyFill="0" applyBorder="0" applyAlignment="0" applyProtection="0"/>
    <xf numFmtId="0" fontId="33" fillId="0" borderId="0"/>
    <xf numFmtId="0" fontId="32" fillId="0" borderId="0"/>
    <xf numFmtId="0" fontId="31" fillId="0" borderId="0"/>
    <xf numFmtId="0" fontId="102" fillId="0" borderId="0" applyNumberFormat="0" applyProtection="0">
      <alignment vertical="top"/>
    </xf>
    <xf numFmtId="0" fontId="90" fillId="0" borderId="0"/>
    <xf numFmtId="43" fontId="31" fillId="0" borderId="0" applyFont="0" applyFill="0" applyBorder="0" applyAlignment="0" applyProtection="0"/>
    <xf numFmtId="0" fontId="31" fillId="0" borderId="0"/>
    <xf numFmtId="0" fontId="30" fillId="0" borderId="0"/>
    <xf numFmtId="0" fontId="29" fillId="0" borderId="0"/>
    <xf numFmtId="0" fontId="103" fillId="0" borderId="0" applyNumberFormat="0" applyFill="0" applyBorder="0" applyAlignment="0" applyProtection="0"/>
    <xf numFmtId="0" fontId="104" fillId="0" borderId="0"/>
    <xf numFmtId="0" fontId="27" fillId="0" borderId="0"/>
    <xf numFmtId="0" fontId="27" fillId="0" borderId="0"/>
    <xf numFmtId="9" fontId="55" fillId="0" borderId="0" applyFont="0" applyFill="0" applyBorder="0" applyAlignment="0" applyProtection="0"/>
    <xf numFmtId="0" fontId="26" fillId="0" borderId="0"/>
    <xf numFmtId="0" fontId="55" fillId="0" borderId="0"/>
    <xf numFmtId="43" fontId="55" fillId="0" borderId="0" applyFont="0" applyFill="0" applyBorder="0" applyAlignment="0" applyProtection="0"/>
    <xf numFmtId="43" fontId="26" fillId="0" borderId="0" applyFont="0" applyFill="0" applyBorder="0" applyAlignment="0" applyProtection="0"/>
    <xf numFmtId="0" fontId="54" fillId="0" borderId="0"/>
    <xf numFmtId="0" fontId="107" fillId="0" borderId="0" applyNumberFormat="0" applyFill="0" applyBorder="0" applyAlignment="0" applyProtection="0"/>
    <xf numFmtId="0" fontId="108" fillId="0" borderId="32" applyNumberFormat="0" applyFill="0" applyAlignment="0" applyProtection="0"/>
    <xf numFmtId="0" fontId="109" fillId="0" borderId="33" applyNumberFormat="0" applyFill="0" applyAlignment="0" applyProtection="0"/>
    <xf numFmtId="0" fontId="110" fillId="0" borderId="34" applyNumberFormat="0" applyFill="0" applyAlignment="0" applyProtection="0"/>
    <xf numFmtId="0" fontId="110" fillId="0" borderId="0" applyNumberFormat="0" applyFill="0" applyBorder="0" applyAlignment="0" applyProtection="0"/>
    <xf numFmtId="0" fontId="111" fillId="2" borderId="0" applyNumberFormat="0" applyBorder="0" applyAlignment="0" applyProtection="0"/>
    <xf numFmtId="0" fontId="112" fillId="29" borderId="0" applyNumberFormat="0" applyBorder="0" applyAlignment="0" applyProtection="0"/>
    <xf numFmtId="0" fontId="113" fillId="30" borderId="0" applyNumberFormat="0" applyBorder="0" applyAlignment="0" applyProtection="0"/>
    <xf numFmtId="0" fontId="114" fillId="31" borderId="35" applyNumberFormat="0" applyAlignment="0" applyProtection="0"/>
    <xf numFmtId="0" fontId="115" fillId="32" borderId="36" applyNumberFormat="0" applyAlignment="0" applyProtection="0"/>
    <xf numFmtId="0" fontId="116" fillId="32" borderId="35" applyNumberFormat="0" applyAlignment="0" applyProtection="0"/>
    <xf numFmtId="0" fontId="117" fillId="0" borderId="37" applyNumberFormat="0" applyFill="0" applyAlignment="0" applyProtection="0"/>
    <xf numFmtId="0" fontId="118" fillId="33" borderId="38" applyNumberFormat="0" applyAlignment="0" applyProtection="0"/>
    <xf numFmtId="0" fontId="47" fillId="0" borderId="0" applyNumberFormat="0" applyFill="0" applyBorder="0" applyAlignment="0" applyProtection="0"/>
    <xf numFmtId="0" fontId="119" fillId="0" borderId="0" applyNumberFormat="0" applyFill="0" applyBorder="0" applyAlignment="0" applyProtection="0"/>
    <xf numFmtId="0" fontId="79" fillId="0" borderId="40" applyNumberFormat="0" applyFill="0" applyAlignment="0" applyProtection="0"/>
    <xf numFmtId="0" fontId="120" fillId="35" borderId="0" applyNumberFormat="0" applyBorder="0" applyAlignment="0" applyProtection="0"/>
    <xf numFmtId="0" fontId="24" fillId="36" borderId="0" applyNumberFormat="0" applyBorder="0" applyAlignment="0" applyProtection="0"/>
    <xf numFmtId="0" fontId="24" fillId="37" borderId="0" applyNumberFormat="0" applyBorder="0" applyAlignment="0" applyProtection="0"/>
    <xf numFmtId="0" fontId="120" fillId="38" borderId="0" applyNumberFormat="0" applyBorder="0" applyAlignment="0" applyProtection="0"/>
    <xf numFmtId="0" fontId="120" fillId="39"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120" fillId="42" borderId="0" applyNumberFormat="0" applyBorder="0" applyAlignment="0" applyProtection="0"/>
    <xf numFmtId="0" fontId="120" fillId="43"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120" fillId="46" borderId="0" applyNumberFormat="0" applyBorder="0" applyAlignment="0" applyProtection="0"/>
    <xf numFmtId="0" fontId="120" fillId="47" borderId="0" applyNumberFormat="0" applyBorder="0" applyAlignment="0" applyProtection="0"/>
    <xf numFmtId="0" fontId="24" fillId="48" borderId="0" applyNumberFormat="0" applyBorder="0" applyAlignment="0" applyProtection="0"/>
    <xf numFmtId="0" fontId="24" fillId="49" borderId="0" applyNumberFormat="0" applyBorder="0" applyAlignment="0" applyProtection="0"/>
    <xf numFmtId="0" fontId="120" fillId="50" borderId="0" applyNumberFormat="0" applyBorder="0" applyAlignment="0" applyProtection="0"/>
    <xf numFmtId="0" fontId="120" fillId="51" borderId="0" applyNumberFormat="0" applyBorder="0" applyAlignment="0" applyProtection="0"/>
    <xf numFmtId="0" fontId="24" fillId="52" borderId="0" applyNumberFormat="0" applyBorder="0" applyAlignment="0" applyProtection="0"/>
    <xf numFmtId="0" fontId="24" fillId="53" borderId="0" applyNumberFormat="0" applyBorder="0" applyAlignment="0" applyProtection="0"/>
    <xf numFmtId="0" fontId="120" fillId="54" borderId="0" applyNumberFormat="0" applyBorder="0" applyAlignment="0" applyProtection="0"/>
    <xf numFmtId="0" fontId="120" fillId="55" borderId="0" applyNumberFormat="0" applyBorder="0" applyAlignment="0" applyProtection="0"/>
    <xf numFmtId="0" fontId="24" fillId="56" borderId="0" applyNumberFormat="0" applyBorder="0" applyAlignment="0" applyProtection="0"/>
    <xf numFmtId="0" fontId="24" fillId="57" borderId="0" applyNumberFormat="0" applyBorder="0" applyAlignment="0" applyProtection="0"/>
    <xf numFmtId="0" fontId="120" fillId="58" borderId="0" applyNumberFormat="0" applyBorder="0" applyAlignment="0" applyProtection="0"/>
    <xf numFmtId="0" fontId="24" fillId="0" borderId="0"/>
    <xf numFmtId="0" fontId="24" fillId="34" borderId="39" applyNumberFormat="0" applyFont="0" applyAlignment="0" applyProtection="0"/>
    <xf numFmtId="0" fontId="23" fillId="0" borderId="0"/>
    <xf numFmtId="43" fontId="23" fillId="0" borderId="0" applyFont="0" applyFill="0" applyBorder="0" applyAlignment="0" applyProtection="0"/>
    <xf numFmtId="43" fontId="104" fillId="0" borderId="0" applyFont="0" applyFill="0" applyBorder="0" applyAlignment="0" applyProtection="0"/>
    <xf numFmtId="0" fontId="22" fillId="0" borderId="0"/>
    <xf numFmtId="0" fontId="22" fillId="34" borderId="39" applyNumberFormat="0" applyFont="0" applyAlignment="0" applyProtection="0"/>
    <xf numFmtId="0" fontId="22" fillId="36" borderId="0" applyNumberFormat="0" applyBorder="0" applyAlignment="0" applyProtection="0"/>
    <xf numFmtId="0" fontId="22" fillId="37"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8" borderId="0" applyNumberFormat="0" applyBorder="0" applyAlignment="0" applyProtection="0"/>
    <xf numFmtId="0" fontId="22" fillId="49" borderId="0" applyNumberFormat="0" applyBorder="0" applyAlignment="0" applyProtection="0"/>
    <xf numFmtId="0" fontId="22" fillId="52" borderId="0" applyNumberFormat="0" applyBorder="0" applyAlignment="0" applyProtection="0"/>
    <xf numFmtId="0" fontId="22" fillId="53" borderId="0" applyNumberFormat="0" applyBorder="0" applyAlignment="0" applyProtection="0"/>
    <xf numFmtId="0" fontId="22" fillId="56" borderId="0" applyNumberFormat="0" applyBorder="0" applyAlignment="0" applyProtection="0"/>
    <xf numFmtId="0" fontId="22" fillId="57" borderId="0" applyNumberFormat="0" applyBorder="0" applyAlignment="0" applyProtection="0"/>
    <xf numFmtId="0" fontId="66" fillId="0" borderId="0" pivotButton="1"/>
    <xf numFmtId="43" fontId="66" fillId="0" borderId="0" applyFont="0" applyFill="0" applyBorder="0" applyAlignment="0" applyProtection="0"/>
    <xf numFmtId="0" fontId="104" fillId="0" borderId="0"/>
    <xf numFmtId="0" fontId="99" fillId="0" borderId="0"/>
    <xf numFmtId="0" fontId="55" fillId="0" borderId="0"/>
    <xf numFmtId="43" fontId="55" fillId="0" borderId="0" applyFont="0" applyFill="0" applyBorder="0" applyAlignment="0" applyProtection="0"/>
    <xf numFmtId="0" fontId="21" fillId="0" borderId="0"/>
    <xf numFmtId="0" fontId="55" fillId="0" borderId="0" applyBorder="0"/>
    <xf numFmtId="0" fontId="21" fillId="0" borderId="0"/>
    <xf numFmtId="0" fontId="123" fillId="0" borderId="0"/>
    <xf numFmtId="0" fontId="54" fillId="0" borderId="0"/>
    <xf numFmtId="9" fontId="54" fillId="0" borderId="0" applyFont="0" applyFill="0" applyBorder="0" applyAlignment="0" applyProtection="0"/>
    <xf numFmtId="0" fontId="20" fillId="0" borderId="0"/>
    <xf numFmtId="0" fontId="128" fillId="0" borderId="0" applyNumberFormat="0" applyFill="0" applyBorder="0" applyAlignment="0" applyProtection="0"/>
    <xf numFmtId="0" fontId="19" fillId="0" borderId="0"/>
    <xf numFmtId="0" fontId="18" fillId="0" borderId="0"/>
    <xf numFmtId="0" fontId="132" fillId="30" borderId="0" applyNumberFormat="0" applyBorder="0" applyAlignment="0" applyProtection="0"/>
    <xf numFmtId="0" fontId="18" fillId="34" borderId="39" applyNumberFormat="0" applyFont="0" applyAlignment="0" applyProtection="0"/>
    <xf numFmtId="0" fontId="18" fillId="36"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0" fontId="18" fillId="40" borderId="0" applyNumberFormat="0" applyBorder="0" applyAlignment="0" applyProtection="0"/>
    <xf numFmtId="0" fontId="18" fillId="41" borderId="0" applyNumberFormat="0" applyBorder="0" applyAlignment="0" applyProtection="0"/>
    <xf numFmtId="0" fontId="18" fillId="42" borderId="0" applyNumberFormat="0" applyBorder="0" applyAlignment="0" applyProtection="0"/>
    <xf numFmtId="0" fontId="18" fillId="44" borderId="0" applyNumberFormat="0" applyBorder="0" applyAlignment="0" applyProtection="0"/>
    <xf numFmtId="0" fontId="18" fillId="45" borderId="0" applyNumberFormat="0" applyBorder="0" applyAlignment="0" applyProtection="0"/>
    <xf numFmtId="0" fontId="18" fillId="46" borderId="0" applyNumberFormat="0" applyBorder="0" applyAlignment="0" applyProtection="0"/>
    <xf numFmtId="0" fontId="18" fillId="48" borderId="0" applyNumberFormat="0" applyBorder="0" applyAlignment="0" applyProtection="0"/>
    <xf numFmtId="0" fontId="18" fillId="49" borderId="0" applyNumberFormat="0" applyBorder="0" applyAlignment="0" applyProtection="0"/>
    <xf numFmtId="0" fontId="18" fillId="50" borderId="0" applyNumberFormat="0" applyBorder="0" applyAlignment="0" applyProtection="0"/>
    <xf numFmtId="0" fontId="18" fillId="52" borderId="0" applyNumberFormat="0" applyBorder="0" applyAlignment="0" applyProtection="0"/>
    <xf numFmtId="0" fontId="18" fillId="53" borderId="0" applyNumberFormat="0" applyBorder="0" applyAlignment="0" applyProtection="0"/>
    <xf numFmtId="0" fontId="18" fillId="54" borderId="0" applyNumberFormat="0" applyBorder="0" applyAlignment="0" applyProtection="0"/>
    <xf numFmtId="0" fontId="18" fillId="56" borderId="0" applyNumberFormat="0" applyBorder="0" applyAlignment="0" applyProtection="0"/>
    <xf numFmtId="0" fontId="18" fillId="57" borderId="0" applyNumberFormat="0" applyBorder="0" applyAlignment="0" applyProtection="0"/>
    <xf numFmtId="0" fontId="18" fillId="58" borderId="0" applyNumberFormat="0" applyBorder="0" applyAlignment="0" applyProtection="0"/>
    <xf numFmtId="0" fontId="17" fillId="0" borderId="0"/>
    <xf numFmtId="0" fontId="134" fillId="0" borderId="0" applyNumberFormat="0" applyFill="0" applyBorder="0" applyAlignment="0" applyProtection="0">
      <alignment vertical="top"/>
      <protection locked="0"/>
    </xf>
    <xf numFmtId="0" fontId="16" fillId="0" borderId="0"/>
    <xf numFmtId="0" fontId="16" fillId="0" borderId="0"/>
    <xf numFmtId="0" fontId="15" fillId="0" borderId="0"/>
    <xf numFmtId="43" fontId="15" fillId="0" borderId="0" applyFont="0" applyFill="0" applyBorder="0" applyAlignment="0" applyProtection="0"/>
    <xf numFmtId="0" fontId="14" fillId="0" borderId="0"/>
    <xf numFmtId="0" fontId="14" fillId="0" borderId="0"/>
    <xf numFmtId="0" fontId="135" fillId="0" borderId="0">
      <alignment horizontal="left" wrapText="1"/>
    </xf>
    <xf numFmtId="0" fontId="137" fillId="0" borderId="0">
      <alignment horizontal="right"/>
    </xf>
    <xf numFmtId="0" fontId="105" fillId="0" borderId="0">
      <alignment horizontal="left" wrapText="1"/>
    </xf>
    <xf numFmtId="0" fontId="138" fillId="0" borderId="0">
      <alignment vertical="top" wrapText="1"/>
    </xf>
    <xf numFmtId="0" fontId="129" fillId="0" borderId="0">
      <alignment horizontal="right" indent="1"/>
    </xf>
    <xf numFmtId="14" fontId="105" fillId="0" borderId="0" applyFont="0" applyFill="0" applyBorder="0" applyAlignment="0" applyProtection="0">
      <alignment horizontal="left"/>
    </xf>
    <xf numFmtId="172" fontId="105" fillId="0" borderId="0" applyFont="0" applyFill="0" applyBorder="0" applyProtection="0">
      <alignment horizontal="left" vertical="top" wrapText="1"/>
    </xf>
    <xf numFmtId="0" fontId="129" fillId="0" borderId="0">
      <alignment horizontal="left" vertical="top"/>
    </xf>
    <xf numFmtId="0" fontId="139" fillId="0" borderId="0">
      <alignment horizontal="right" indent="1"/>
    </xf>
    <xf numFmtId="0" fontId="105" fillId="0" borderId="0">
      <alignment horizontal="left" vertical="top" wrapText="1"/>
    </xf>
    <xf numFmtId="173" fontId="105" fillId="0" borderId="0" applyFont="0" applyFill="0" applyBorder="0" applyProtection="0">
      <alignment horizontal="right"/>
    </xf>
    <xf numFmtId="0" fontId="129" fillId="0" borderId="0">
      <alignment horizontal="center" wrapText="1"/>
    </xf>
    <xf numFmtId="0" fontId="13" fillId="0" borderId="0"/>
    <xf numFmtId="43" fontId="13" fillId="0" borderId="0" applyFont="0" applyFill="0" applyBorder="0" applyAlignment="0" applyProtection="0"/>
    <xf numFmtId="0" fontId="11" fillId="0" borderId="0"/>
    <xf numFmtId="0" fontId="132" fillId="30" borderId="0" applyNumberFormat="0" applyBorder="0" applyAlignment="0" applyProtection="0"/>
    <xf numFmtId="0" fontId="11" fillId="34" borderId="39" applyNumberFormat="0" applyFont="0" applyAlignment="0" applyProtection="0"/>
    <xf numFmtId="0" fontId="11" fillId="36"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40" borderId="0" applyNumberFormat="0" applyBorder="0" applyAlignment="0" applyProtection="0"/>
    <xf numFmtId="0" fontId="11" fillId="41" borderId="0" applyNumberFormat="0" applyBorder="0" applyAlignment="0" applyProtection="0"/>
    <xf numFmtId="0" fontId="11" fillId="42" borderId="0" applyNumberFormat="0" applyBorder="0" applyAlignment="0" applyProtection="0"/>
    <xf numFmtId="0" fontId="11" fillId="44" borderId="0" applyNumberFormat="0" applyBorder="0" applyAlignment="0" applyProtection="0"/>
    <xf numFmtId="0" fontId="11" fillId="45" borderId="0" applyNumberFormat="0" applyBorder="0" applyAlignment="0" applyProtection="0"/>
    <xf numFmtId="0" fontId="11" fillId="46" borderId="0" applyNumberFormat="0" applyBorder="0" applyAlignment="0" applyProtection="0"/>
    <xf numFmtId="0" fontId="11" fillId="48" borderId="0" applyNumberFormat="0" applyBorder="0" applyAlignment="0" applyProtection="0"/>
    <xf numFmtId="0" fontId="11" fillId="49" borderId="0" applyNumberFormat="0" applyBorder="0" applyAlignment="0" applyProtection="0"/>
    <xf numFmtId="0" fontId="11" fillId="50" borderId="0" applyNumberFormat="0" applyBorder="0" applyAlignment="0" applyProtection="0"/>
    <xf numFmtId="0" fontId="11" fillId="52" borderId="0" applyNumberFormat="0" applyBorder="0" applyAlignment="0" applyProtection="0"/>
    <xf numFmtId="0" fontId="11" fillId="53" borderId="0" applyNumberFormat="0" applyBorder="0" applyAlignment="0" applyProtection="0"/>
    <xf numFmtId="0" fontId="11" fillId="54" borderId="0" applyNumberFormat="0" applyBorder="0" applyAlignment="0" applyProtection="0"/>
    <xf numFmtId="0" fontId="11" fillId="56" borderId="0" applyNumberFormat="0" applyBorder="0" applyAlignment="0" applyProtection="0"/>
    <xf numFmtId="0" fontId="11" fillId="57" borderId="0" applyNumberFormat="0" applyBorder="0" applyAlignment="0" applyProtection="0"/>
    <xf numFmtId="0" fontId="11" fillId="58" borderId="0" applyNumberFormat="0" applyBorder="0" applyAlignment="0" applyProtection="0"/>
    <xf numFmtId="0" fontId="10" fillId="0" borderId="0"/>
    <xf numFmtId="0" fontId="10" fillId="0" borderId="0"/>
    <xf numFmtId="0" fontId="10" fillId="0" borderId="0"/>
    <xf numFmtId="176" fontId="54" fillId="0" borderId="0" applyFont="0" applyFill="0" applyBorder="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2" fillId="34" borderId="39" applyNumberFormat="0" applyFont="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2" borderId="0" applyNumberFormat="0" applyBorder="0" applyAlignment="0" applyProtection="0"/>
    <xf numFmtId="0" fontId="2" fillId="53" borderId="0" applyNumberFormat="0" applyBorder="0" applyAlignment="0" applyProtection="0"/>
    <xf numFmtId="0" fontId="2" fillId="54" borderId="0" applyNumberFormat="0" applyBorder="0" applyAlignment="0" applyProtection="0"/>
    <xf numFmtId="0" fontId="2" fillId="56"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155" fillId="0" borderId="0"/>
    <xf numFmtId="43" fontId="104" fillId="0" borderId="0" applyFont="0" applyFill="0" applyBorder="0" applyAlignment="0" applyProtection="0"/>
    <xf numFmtId="0" fontId="54" fillId="0" borderId="0"/>
    <xf numFmtId="43" fontId="54" fillId="0" borderId="0" applyFont="0" applyFill="0" applyBorder="0" applyAlignment="0" applyProtection="0"/>
  </cellStyleXfs>
  <cellXfs count="1082">
    <xf numFmtId="0" fontId="0" fillId="0" borderId="0" xfId="0"/>
    <xf numFmtId="9" fontId="48" fillId="0" borderId="0" xfId="4" applyFont="1"/>
    <xf numFmtId="0" fontId="63" fillId="0" borderId="0" xfId="0" applyFont="1"/>
    <xf numFmtId="0" fontId="68" fillId="0" borderId="0" xfId="0" applyFont="1"/>
    <xf numFmtId="0" fontId="0" fillId="5" borderId="0" xfId="0" applyFill="1"/>
    <xf numFmtId="0" fontId="62" fillId="0" borderId="0" xfId="0" applyFont="1"/>
    <xf numFmtId="0" fontId="0" fillId="0" borderId="0" xfId="0" applyAlignment="1">
      <alignment wrapText="1"/>
    </xf>
    <xf numFmtId="166" fontId="0" fillId="0" borderId="0" xfId="1" applyNumberFormat="1" applyFont="1"/>
    <xf numFmtId="0" fontId="75" fillId="0" borderId="0" xfId="0" applyFont="1"/>
    <xf numFmtId="0" fontId="78" fillId="0" borderId="0" xfId="0" applyFont="1"/>
    <xf numFmtId="0" fontId="65" fillId="0" borderId="0" xfId="0" applyFont="1"/>
    <xf numFmtId="166" fontId="0" fillId="0" borderId="0" xfId="0" applyNumberFormat="1"/>
    <xf numFmtId="0" fontId="48" fillId="0" borderId="0" xfId="43" applyFont="1"/>
    <xf numFmtId="0" fontId="48" fillId="0" borderId="0" xfId="43" applyFont="1" applyAlignment="1">
      <alignment wrapText="1"/>
    </xf>
    <xf numFmtId="0" fontId="53" fillId="0" borderId="0" xfId="43" applyFont="1"/>
    <xf numFmtId="0" fontId="51" fillId="0" borderId="0" xfId="43" applyFont="1"/>
    <xf numFmtId="0" fontId="53" fillId="0" borderId="1" xfId="43" applyFont="1" applyBorder="1" applyAlignment="1">
      <alignment horizontal="center" vertical="center"/>
    </xf>
    <xf numFmtId="0" fontId="53" fillId="0" borderId="2" xfId="43" applyFont="1" applyBorder="1" applyAlignment="1">
      <alignment horizontal="center" vertical="center" wrapText="1"/>
    </xf>
    <xf numFmtId="3" fontId="53" fillId="3" borderId="4" xfId="43" applyNumberFormat="1" applyFont="1" applyFill="1" applyBorder="1"/>
    <xf numFmtId="3" fontId="53" fillId="4" borderId="4" xfId="43" applyNumberFormat="1" applyFont="1" applyFill="1" applyBorder="1"/>
    <xf numFmtId="0" fontId="58" fillId="0" borderId="0" xfId="43" applyFont="1"/>
    <xf numFmtId="3" fontId="48" fillId="0" borderId="7" xfId="43" applyNumberFormat="1" applyFont="1" applyBorder="1"/>
    <xf numFmtId="3" fontId="50" fillId="0" borderId="7" xfId="43" applyNumberFormat="1" applyFont="1" applyBorder="1"/>
    <xf numFmtId="3" fontId="53" fillId="4" borderId="7" xfId="43" applyNumberFormat="1" applyFont="1" applyFill="1" applyBorder="1"/>
    <xf numFmtId="3" fontId="48" fillId="6" borderId="7" xfId="43" applyNumberFormat="1" applyFont="1" applyFill="1" applyBorder="1"/>
    <xf numFmtId="3" fontId="59" fillId="8" borderId="7" xfId="43" applyNumberFormat="1" applyFont="1" applyFill="1" applyBorder="1"/>
    <xf numFmtId="0" fontId="59" fillId="0" borderId="0" xfId="43" applyFont="1"/>
    <xf numFmtId="0" fontId="50" fillId="0" borderId="0" xfId="43" applyFont="1"/>
    <xf numFmtId="3" fontId="48" fillId="3" borderId="7" xfId="43" applyNumberFormat="1" applyFont="1" applyFill="1" applyBorder="1"/>
    <xf numFmtId="0" fontId="49" fillId="0" borderId="0" xfId="43" applyFont="1"/>
    <xf numFmtId="0" fontId="53" fillId="0" borderId="9" xfId="43" applyFont="1" applyBorder="1"/>
    <xf numFmtId="0" fontId="53" fillId="0" borderId="10" xfId="43" applyFont="1" applyBorder="1" applyAlignment="1">
      <alignment horizontal="right" wrapText="1"/>
    </xf>
    <xf numFmtId="49" fontId="48" fillId="0" borderId="6" xfId="43" applyNumberFormat="1" applyFont="1" applyBorder="1" applyAlignment="1">
      <alignment horizontal="left" wrapText="1" indent="4"/>
    </xf>
    <xf numFmtId="3" fontId="53" fillId="4" borderId="12" xfId="43" applyNumberFormat="1" applyFont="1" applyFill="1" applyBorder="1"/>
    <xf numFmtId="3" fontId="53" fillId="3" borderId="7" xfId="43" applyNumberFormat="1" applyFont="1" applyFill="1" applyBorder="1"/>
    <xf numFmtId="49" fontId="48" fillId="0" borderId="5" xfId="43" applyNumberFormat="1" applyFont="1" applyBorder="1" applyAlignment="1">
      <alignment horizontal="left" indent="2"/>
    </xf>
    <xf numFmtId="0" fontId="48" fillId="0" borderId="0" xfId="43" applyFont="1" applyAlignment="1">
      <alignment horizontal="right"/>
    </xf>
    <xf numFmtId="0" fontId="48" fillId="6" borderId="0" xfId="43" applyFont="1" applyFill="1"/>
    <xf numFmtId="49" fontId="53" fillId="0" borderId="9" xfId="43" applyNumberFormat="1" applyFont="1" applyBorder="1"/>
    <xf numFmtId="3" fontId="53" fillId="0" borderId="13" xfId="43" applyNumberFormat="1" applyFont="1" applyBorder="1"/>
    <xf numFmtId="3" fontId="53" fillId="0" borderId="14" xfId="43" applyNumberFormat="1" applyFont="1" applyBorder="1"/>
    <xf numFmtId="49" fontId="53" fillId="4" borderId="15" xfId="43" applyNumberFormat="1" applyFont="1" applyFill="1" applyBorder="1" applyAlignment="1">
      <alignment horizontal="center"/>
    </xf>
    <xf numFmtId="3" fontId="53" fillId="4" borderId="17" xfId="43" applyNumberFormat="1" applyFont="1" applyFill="1" applyBorder="1"/>
    <xf numFmtId="3" fontId="53" fillId="0" borderId="0" xfId="43" applyNumberFormat="1" applyFont="1"/>
    <xf numFmtId="0" fontId="58" fillId="5" borderId="0" xfId="43" applyFont="1" applyFill="1"/>
    <xf numFmtId="3" fontId="48" fillId="5" borderId="7" xfId="43" applyNumberFormat="1" applyFont="1" applyFill="1" applyBorder="1"/>
    <xf numFmtId="0" fontId="67" fillId="0" borderId="0" xfId="0" applyFont="1"/>
    <xf numFmtId="0" fontId="0" fillId="0" borderId="0" xfId="0" applyAlignment="1">
      <alignment horizontal="right"/>
    </xf>
    <xf numFmtId="166" fontId="48" fillId="3" borderId="7" xfId="1" applyNumberFormat="1" applyFont="1" applyFill="1" applyBorder="1"/>
    <xf numFmtId="166" fontId="48" fillId="5" borderId="7" xfId="1" applyNumberFormat="1" applyFont="1" applyFill="1" applyBorder="1"/>
    <xf numFmtId="0" fontId="92" fillId="0" borderId="0" xfId="0" applyFont="1"/>
    <xf numFmtId="3" fontId="0" fillId="0" borderId="0" xfId="0" applyNumberFormat="1"/>
    <xf numFmtId="3" fontId="48" fillId="0" borderId="0" xfId="43" applyNumberFormat="1" applyFont="1"/>
    <xf numFmtId="3" fontId="53" fillId="0" borderId="3" xfId="43" applyNumberFormat="1" applyFont="1" applyBorder="1"/>
    <xf numFmtId="3" fontId="53" fillId="0" borderId="11" xfId="43" applyNumberFormat="1" applyFont="1" applyBorder="1"/>
    <xf numFmtId="3" fontId="48" fillId="0" borderId="29" xfId="43" applyNumberFormat="1" applyFont="1" applyBorder="1"/>
    <xf numFmtId="0" fontId="0" fillId="0" borderId="0" xfId="0" applyAlignment="1">
      <alignment horizontal="left"/>
    </xf>
    <xf numFmtId="166" fontId="53" fillId="0" borderId="0" xfId="5" applyNumberFormat="1" applyFont="1"/>
    <xf numFmtId="0" fontId="53" fillId="0" borderId="3" xfId="7" applyFont="1" applyBorder="1" applyAlignment="1">
      <alignment horizontal="center" vertical="center" wrapText="1"/>
    </xf>
    <xf numFmtId="3" fontId="48" fillId="7" borderId="7" xfId="43" applyNumberFormat="1" applyFont="1" applyFill="1" applyBorder="1"/>
    <xf numFmtId="10" fontId="48" fillId="0" borderId="0" xfId="9" applyNumberFormat="1" applyFont="1"/>
    <xf numFmtId="9" fontId="53" fillId="0" borderId="3" xfId="4" applyFont="1" applyBorder="1" applyAlignment="1">
      <alignment horizontal="center" vertical="center" wrapText="1"/>
    </xf>
    <xf numFmtId="0" fontId="28" fillId="0" borderId="0" xfId="43" applyFont="1"/>
    <xf numFmtId="0" fontId="25" fillId="0" borderId="0" xfId="43" applyFont="1"/>
    <xf numFmtId="3" fontId="48" fillId="12" borderId="7" xfId="43" applyNumberFormat="1" applyFont="1" applyFill="1" applyBorder="1"/>
    <xf numFmtId="166" fontId="48" fillId="6" borderId="7" xfId="1" applyNumberFormat="1" applyFont="1" applyFill="1" applyBorder="1"/>
    <xf numFmtId="0" fontId="89" fillId="0" borderId="0" xfId="0" applyFont="1"/>
    <xf numFmtId="3" fontId="48" fillId="5" borderId="45" xfId="43" applyNumberFormat="1" applyFont="1" applyFill="1" applyBorder="1"/>
    <xf numFmtId="3" fontId="48" fillId="0" borderId="45" xfId="43" applyNumberFormat="1" applyFont="1" applyBorder="1"/>
    <xf numFmtId="166" fontId="53" fillId="3" borderId="4" xfId="1" applyNumberFormat="1" applyFont="1" applyFill="1" applyBorder="1"/>
    <xf numFmtId="0" fontId="42" fillId="0" borderId="0" xfId="43"/>
    <xf numFmtId="3" fontId="53" fillId="4" borderId="44" xfId="43" applyNumberFormat="1" applyFont="1" applyFill="1" applyBorder="1"/>
    <xf numFmtId="0" fontId="53" fillId="0" borderId="18" xfId="43" applyFont="1" applyBorder="1"/>
    <xf numFmtId="0" fontId="100" fillId="0" borderId="0" xfId="83" applyFont="1"/>
    <xf numFmtId="0" fontId="48" fillId="0" borderId="0" xfId="43" quotePrefix="1" applyFont="1"/>
    <xf numFmtId="0" fontId="51" fillId="0" borderId="0" xfId="43" quotePrefix="1" applyFont="1"/>
    <xf numFmtId="0" fontId="58" fillId="0" borderId="0" xfId="43" quotePrefix="1" applyFont="1"/>
    <xf numFmtId="3" fontId="48" fillId="3" borderId="29" xfId="43" applyNumberFormat="1" applyFont="1" applyFill="1" applyBorder="1"/>
    <xf numFmtId="0" fontId="48" fillId="6" borderId="0" xfId="43" quotePrefix="1" applyFont="1" applyFill="1"/>
    <xf numFmtId="0" fontId="70" fillId="0" borderId="0" xfId="0" applyFont="1"/>
    <xf numFmtId="0" fontId="53" fillId="3" borderId="47" xfId="43" applyFont="1" applyFill="1" applyBorder="1"/>
    <xf numFmtId="0" fontId="53" fillId="3" borderId="52" xfId="43" applyFont="1" applyFill="1" applyBorder="1" applyAlignment="1">
      <alignment wrapText="1"/>
    </xf>
    <xf numFmtId="0" fontId="53" fillId="4" borderId="47" xfId="43" quotePrefix="1" applyFont="1" applyFill="1" applyBorder="1"/>
    <xf numFmtId="0" fontId="53" fillId="4" borderId="52" xfId="43" applyFont="1" applyFill="1" applyBorder="1" applyAlignment="1">
      <alignment wrapText="1"/>
    </xf>
    <xf numFmtId="0" fontId="48" fillId="0" borderId="56" xfId="43" applyFont="1" applyBorder="1" applyAlignment="1">
      <alignment horizontal="left" indent="1"/>
    </xf>
    <xf numFmtId="0" fontId="48" fillId="0" borderId="49" xfId="43" applyFont="1" applyBorder="1" applyAlignment="1">
      <alignment horizontal="left" wrapText="1" indent="2"/>
    </xf>
    <xf numFmtId="0" fontId="53" fillId="4" borderId="56" xfId="43" applyFont="1" applyFill="1" applyBorder="1"/>
    <xf numFmtId="0" fontId="53" fillId="4" borderId="49" xfId="43" applyFont="1" applyFill="1" applyBorder="1" applyAlignment="1">
      <alignment wrapText="1"/>
    </xf>
    <xf numFmtId="0" fontId="59" fillId="0" borderId="56" xfId="43" applyFont="1" applyBorder="1" applyAlignment="1">
      <alignment horizontal="left" indent="2"/>
    </xf>
    <xf numFmtId="0" fontId="59" fillId="0" borderId="49" xfId="43" applyFont="1" applyBorder="1" applyAlignment="1">
      <alignment horizontal="left" wrapText="1" indent="3"/>
    </xf>
    <xf numFmtId="0" fontId="53" fillId="4" borderId="56" xfId="43" quotePrefix="1" applyFont="1" applyFill="1" applyBorder="1"/>
    <xf numFmtId="0" fontId="48" fillId="3" borderId="56" xfId="43" applyFont="1" applyFill="1" applyBorder="1" applyAlignment="1">
      <alignment horizontal="left" indent="1"/>
    </xf>
    <xf numFmtId="0" fontId="48" fillId="6" borderId="56" xfId="43" applyFont="1" applyFill="1" applyBorder="1" applyAlignment="1">
      <alignment horizontal="left" indent="2"/>
    </xf>
    <xf numFmtId="0" fontId="48" fillId="6" borderId="49" xfId="43" applyFont="1" applyFill="1" applyBorder="1" applyAlignment="1">
      <alignment horizontal="left" wrapText="1" indent="3"/>
    </xf>
    <xf numFmtId="0" fontId="53" fillId="0" borderId="46" xfId="43" quotePrefix="1" applyFont="1" applyBorder="1"/>
    <xf numFmtId="49" fontId="53" fillId="4" borderId="41" xfId="43" applyNumberFormat="1" applyFont="1" applyFill="1" applyBorder="1" applyAlignment="1">
      <alignment horizontal="left" indent="2"/>
    </xf>
    <xf numFmtId="49" fontId="48" fillId="3" borderId="56" xfId="43" applyNumberFormat="1" applyFont="1" applyFill="1" applyBorder="1" applyAlignment="1">
      <alignment horizontal="left" indent="1"/>
    </xf>
    <xf numFmtId="49" fontId="53" fillId="4" borderId="56" xfId="43" applyNumberFormat="1" applyFont="1" applyFill="1" applyBorder="1"/>
    <xf numFmtId="49" fontId="48" fillId="0" borderId="56" xfId="43" applyNumberFormat="1" applyFont="1" applyBorder="1" applyAlignment="1">
      <alignment horizontal="left" indent="2"/>
    </xf>
    <xf numFmtId="0" fontId="58" fillId="5" borderId="49" xfId="43" applyFont="1" applyFill="1" applyBorder="1" applyAlignment="1">
      <alignment horizontal="left" indent="2"/>
    </xf>
    <xf numFmtId="0" fontId="58" fillId="0" borderId="49" xfId="43" applyFont="1" applyBorder="1" applyAlignment="1">
      <alignment horizontal="left" indent="2"/>
    </xf>
    <xf numFmtId="49" fontId="53" fillId="3" borderId="56" xfId="43" applyNumberFormat="1" applyFont="1" applyFill="1" applyBorder="1" applyAlignment="1">
      <alignment horizontal="left" indent="1"/>
    </xf>
    <xf numFmtId="49" fontId="48" fillId="6" borderId="56" xfId="43" applyNumberFormat="1" applyFont="1" applyFill="1" applyBorder="1" applyAlignment="1">
      <alignment horizontal="left" indent="2"/>
    </xf>
    <xf numFmtId="49" fontId="48" fillId="0" borderId="56" xfId="43" applyNumberFormat="1" applyFont="1" applyBorder="1" applyAlignment="1">
      <alignment horizontal="left" indent="3"/>
    </xf>
    <xf numFmtId="49" fontId="91" fillId="3" borderId="56" xfId="43" applyNumberFormat="1" applyFont="1" applyFill="1" applyBorder="1" applyAlignment="1">
      <alignment horizontal="left" indent="1"/>
    </xf>
    <xf numFmtId="0" fontId="57" fillId="0" borderId="0" xfId="43" applyFont="1"/>
    <xf numFmtId="49" fontId="53" fillId="0" borderId="56" xfId="43" applyNumberFormat="1" applyFont="1" applyBorder="1" applyAlignment="1">
      <alignment horizontal="left" indent="2"/>
    </xf>
    <xf numFmtId="166" fontId="78" fillId="0" borderId="0" xfId="1" applyNumberFormat="1" applyFont="1"/>
    <xf numFmtId="3" fontId="48" fillId="5" borderId="60" xfId="43" applyNumberFormat="1" applyFont="1" applyFill="1" applyBorder="1"/>
    <xf numFmtId="3" fontId="48" fillId="0" borderId="60" xfId="43" applyNumberFormat="1" applyFont="1" applyBorder="1"/>
    <xf numFmtId="3" fontId="48" fillId="0" borderId="62" xfId="43" applyNumberFormat="1" applyFont="1" applyBorder="1"/>
    <xf numFmtId="3" fontId="48" fillId="3" borderId="60" xfId="43" applyNumberFormat="1" applyFont="1" applyFill="1" applyBorder="1"/>
    <xf numFmtId="166" fontId="50" fillId="0" borderId="0" xfId="1" applyNumberFormat="1" applyFont="1"/>
    <xf numFmtId="3" fontId="48" fillId="25" borderId="45" xfId="43" applyNumberFormat="1" applyFont="1" applyFill="1" applyBorder="1"/>
    <xf numFmtId="3" fontId="122" fillId="3" borderId="7" xfId="43" applyNumberFormat="1" applyFont="1" applyFill="1" applyBorder="1"/>
    <xf numFmtId="3" fontId="130" fillId="4" borderId="12" xfId="43" applyNumberFormat="1" applyFont="1" applyFill="1" applyBorder="1"/>
    <xf numFmtId="0" fontId="128" fillId="0" borderId="0" xfId="173"/>
    <xf numFmtId="166" fontId="48" fillId="0" borderId="0" xfId="1" applyNumberFormat="1" applyFont="1"/>
    <xf numFmtId="0" fontId="59" fillId="0" borderId="61" xfId="43" applyFont="1" applyBorder="1" applyAlignment="1">
      <alignment horizontal="left" indent="2"/>
    </xf>
    <xf numFmtId="0" fontId="133" fillId="0" borderId="0" xfId="0" applyFont="1"/>
    <xf numFmtId="0" fontId="69" fillId="0" borderId="0" xfId="0" applyFont="1"/>
    <xf numFmtId="0" fontId="81" fillId="0" borderId="0" xfId="0" applyFont="1"/>
    <xf numFmtId="0" fontId="0" fillId="15" borderId="0" xfId="0" applyFill="1"/>
    <xf numFmtId="0" fontId="0" fillId="17" borderId="0" xfId="0" applyFill="1" applyAlignment="1">
      <alignment horizontal="right"/>
    </xf>
    <xf numFmtId="0" fontId="0" fillId="0" borderId="73" xfId="0" applyBorder="1"/>
    <xf numFmtId="0" fontId="0" fillId="0" borderId="73" xfId="0" applyBorder="1" applyAlignment="1">
      <alignment wrapText="1"/>
    </xf>
    <xf numFmtId="0" fontId="78" fillId="0" borderId="0" xfId="0" applyFont="1" applyAlignment="1">
      <alignment wrapText="1"/>
    </xf>
    <xf numFmtId="0" fontId="0" fillId="0" borderId="73" xfId="0" applyBorder="1" applyAlignment="1">
      <alignment horizontal="left"/>
    </xf>
    <xf numFmtId="49" fontId="0" fillId="0" borderId="0" xfId="0" applyNumberFormat="1" applyAlignment="1">
      <alignment horizontal="left"/>
    </xf>
    <xf numFmtId="166" fontId="0" fillId="0" borderId="0" xfId="1" applyNumberFormat="1" applyFont="1" applyBorder="1"/>
    <xf numFmtId="0" fontId="0" fillId="20" borderId="73" xfId="0" applyFill="1" applyBorder="1"/>
    <xf numFmtId="0" fontId="140" fillId="20" borderId="73" xfId="0" applyFont="1" applyFill="1" applyBorder="1" applyAlignment="1">
      <alignment wrapText="1"/>
    </xf>
    <xf numFmtId="166" fontId="75" fillId="0" borderId="73" xfId="1" applyNumberFormat="1" applyFont="1" applyBorder="1"/>
    <xf numFmtId="0" fontId="62" fillId="0" borderId="75" xfId="0" applyFont="1" applyBorder="1" applyAlignment="1">
      <alignment horizontal="right"/>
    </xf>
    <xf numFmtId="0" fontId="62" fillId="12" borderId="73" xfId="0" applyFont="1" applyFill="1" applyBorder="1" applyAlignment="1">
      <alignment horizontal="center" wrapText="1"/>
    </xf>
    <xf numFmtId="0" fontId="62" fillId="0" borderId="0" xfId="0" applyFont="1" applyAlignment="1">
      <alignment horizontal="center" wrapText="1"/>
    </xf>
    <xf numFmtId="0" fontId="59" fillId="0" borderId="73" xfId="28" applyFont="1" applyBorder="1"/>
    <xf numFmtId="0" fontId="62" fillId="0" borderId="74" xfId="0" applyFont="1" applyBorder="1" applyAlignment="1">
      <alignment horizontal="right" wrapText="1"/>
    </xf>
    <xf numFmtId="0" fontId="0" fillId="0" borderId="73" xfId="0" applyBorder="1" applyAlignment="1">
      <alignment horizontal="center" wrapText="1"/>
    </xf>
    <xf numFmtId="166" fontId="78" fillId="0" borderId="73" xfId="1" applyNumberFormat="1" applyFont="1" applyBorder="1"/>
    <xf numFmtId="49" fontId="78" fillId="0" borderId="73" xfId="0" applyNumberFormat="1" applyFont="1" applyBorder="1" applyAlignment="1">
      <alignment wrapText="1"/>
    </xf>
    <xf numFmtId="49" fontId="78" fillId="0" borderId="73" xfId="0" applyNumberFormat="1" applyFont="1" applyBorder="1" applyAlignment="1">
      <alignment horizontal="left"/>
    </xf>
    <xf numFmtId="0" fontId="78" fillId="0" borderId="73" xfId="0" applyFont="1" applyBorder="1" applyAlignment="1">
      <alignment wrapText="1"/>
    </xf>
    <xf numFmtId="166" fontId="0" fillId="0" borderId="0" xfId="0" applyNumberFormat="1" applyAlignment="1">
      <alignment wrapText="1"/>
    </xf>
    <xf numFmtId="166" fontId="0" fillId="0" borderId="0" xfId="1" applyNumberFormat="1" applyFont="1" applyFill="1"/>
    <xf numFmtId="166" fontId="78" fillId="0" borderId="73" xfId="1" applyNumberFormat="1" applyFont="1" applyFill="1" applyBorder="1"/>
    <xf numFmtId="0" fontId="75" fillId="0" borderId="73" xfId="0" applyFont="1" applyBorder="1"/>
    <xf numFmtId="0" fontId="78" fillId="0" borderId="73" xfId="0" applyFont="1" applyBorder="1"/>
    <xf numFmtId="0" fontId="78" fillId="0" borderId="73" xfId="0" applyFont="1" applyBorder="1" applyAlignment="1">
      <alignment horizontal="left"/>
    </xf>
    <xf numFmtId="166" fontId="78" fillId="0" borderId="0" xfId="1" applyNumberFormat="1" applyFont="1" applyFill="1" applyBorder="1"/>
    <xf numFmtId="49" fontId="78" fillId="20" borderId="73" xfId="0" applyNumberFormat="1" applyFont="1" applyFill="1" applyBorder="1" applyAlignment="1">
      <alignment horizontal="left"/>
    </xf>
    <xf numFmtId="0" fontId="78" fillId="0" borderId="73" xfId="0" applyFont="1" applyBorder="1" applyAlignment="1">
      <alignment horizontal="left" wrapText="1"/>
    </xf>
    <xf numFmtId="0" fontId="48" fillId="0" borderId="70" xfId="43" applyFont="1" applyBorder="1" applyAlignment="1">
      <alignment horizontal="left" wrapText="1" indent="2"/>
    </xf>
    <xf numFmtId="49" fontId="48" fillId="3" borderId="61" xfId="43" applyNumberFormat="1" applyFont="1" applyFill="1" applyBorder="1" applyAlignment="1">
      <alignment horizontal="left" indent="1"/>
    </xf>
    <xf numFmtId="166" fontId="75" fillId="0" borderId="0" xfId="0" applyNumberFormat="1" applyFont="1"/>
    <xf numFmtId="3" fontId="53" fillId="3" borderId="57" xfId="43" applyNumberFormat="1" applyFont="1" applyFill="1" applyBorder="1"/>
    <xf numFmtId="3" fontId="53" fillId="0" borderId="7" xfId="43" applyNumberFormat="1" applyFont="1" applyBorder="1"/>
    <xf numFmtId="166" fontId="78" fillId="0" borderId="0" xfId="1" applyNumberFormat="1" applyFont="1" applyFill="1"/>
    <xf numFmtId="49" fontId="48" fillId="23" borderId="56" xfId="43" applyNumberFormat="1" applyFont="1" applyFill="1" applyBorder="1" applyAlignment="1">
      <alignment horizontal="left" indent="2"/>
    </xf>
    <xf numFmtId="49" fontId="48" fillId="23" borderId="61" xfId="43" applyNumberFormat="1" applyFont="1" applyFill="1" applyBorder="1" applyAlignment="1">
      <alignment horizontal="left" indent="2"/>
    </xf>
    <xf numFmtId="49" fontId="48" fillId="23" borderId="56" xfId="43" applyNumberFormat="1" applyFont="1" applyFill="1" applyBorder="1" applyAlignment="1">
      <alignment horizontal="left" indent="1"/>
    </xf>
    <xf numFmtId="0" fontId="58" fillId="23" borderId="49" xfId="43" applyFont="1" applyFill="1" applyBorder="1" applyAlignment="1">
      <alignment horizontal="left" indent="2"/>
    </xf>
    <xf numFmtId="0" fontId="48" fillId="6" borderId="61" xfId="43" applyFont="1" applyFill="1" applyBorder="1" applyAlignment="1">
      <alignment horizontal="left" indent="2"/>
    </xf>
    <xf numFmtId="3" fontId="48" fillId="0" borderId="57" xfId="43" applyNumberFormat="1" applyFont="1" applyBorder="1"/>
    <xf numFmtId="0" fontId="85" fillId="12" borderId="73" xfId="0" applyFont="1" applyFill="1" applyBorder="1" applyAlignment="1">
      <alignment horizontal="center" wrapText="1"/>
    </xf>
    <xf numFmtId="0" fontId="136" fillId="60" borderId="0" xfId="0" applyFont="1" applyFill="1"/>
    <xf numFmtId="0" fontId="48" fillId="6" borderId="70" xfId="43" applyFont="1" applyFill="1" applyBorder="1" applyAlignment="1">
      <alignment horizontal="left" wrapText="1" indent="3"/>
    </xf>
    <xf numFmtId="166" fontId="89" fillId="0" borderId="0" xfId="1" applyNumberFormat="1" applyFont="1"/>
    <xf numFmtId="166" fontId="92" fillId="0" borderId="0" xfId="1" applyNumberFormat="1" applyFont="1"/>
    <xf numFmtId="166" fontId="142" fillId="0" borderId="0" xfId="1" applyNumberFormat="1" applyFont="1" applyFill="1"/>
    <xf numFmtId="0" fontId="143" fillId="0" borderId="0" xfId="0" applyFont="1"/>
    <xf numFmtId="166" fontId="144" fillId="0" borderId="0" xfId="1" applyNumberFormat="1" applyFont="1" applyBorder="1"/>
    <xf numFmtId="166" fontId="144" fillId="0" borderId="0" xfId="1" applyNumberFormat="1" applyFont="1" applyFill="1" applyBorder="1" applyAlignment="1">
      <alignment horizontal="left"/>
    </xf>
    <xf numFmtId="0" fontId="122" fillId="0" borderId="0" xfId="43" applyFont="1" applyAlignment="1">
      <alignment wrapText="1"/>
    </xf>
    <xf numFmtId="3" fontId="122" fillId="0" borderId="0" xfId="43" applyNumberFormat="1" applyFont="1"/>
    <xf numFmtId="166" fontId="130" fillId="0" borderId="0" xfId="5" applyNumberFormat="1" applyFont="1"/>
    <xf numFmtId="3" fontId="130" fillId="4" borderId="4" xfId="43" applyNumberFormat="1" applyFont="1" applyFill="1" applyBorder="1"/>
    <xf numFmtId="10" fontId="122" fillId="0" borderId="0" xfId="9" applyNumberFormat="1" applyFont="1"/>
    <xf numFmtId="0" fontId="122" fillId="0" borderId="0" xfId="43" applyFont="1"/>
    <xf numFmtId="49" fontId="48" fillId="0" borderId="61" xfId="43" applyNumberFormat="1" applyFont="1" applyBorder="1" applyAlignment="1">
      <alignment horizontal="left" indent="2"/>
    </xf>
    <xf numFmtId="166" fontId="78" fillId="0" borderId="73" xfId="0" applyNumberFormat="1" applyFont="1" applyBorder="1" applyAlignment="1">
      <alignment horizontal="center" wrapText="1"/>
    </xf>
    <xf numFmtId="166" fontId="85" fillId="12" borderId="73" xfId="1" applyNumberFormat="1" applyFont="1" applyFill="1" applyBorder="1"/>
    <xf numFmtId="166" fontId="85" fillId="0" borderId="0" xfId="1" applyNumberFormat="1" applyFont="1" applyFill="1" applyBorder="1"/>
    <xf numFmtId="0" fontId="85" fillId="0" borderId="0" xfId="0" applyFont="1" applyAlignment="1">
      <alignment horizontal="center" wrapText="1"/>
    </xf>
    <xf numFmtId="166" fontId="85" fillId="12" borderId="73" xfId="1" applyNumberFormat="1" applyFont="1" applyFill="1" applyBorder="1" applyAlignment="1">
      <alignment horizontal="center" wrapText="1"/>
    </xf>
    <xf numFmtId="166" fontId="78" fillId="0" borderId="0" xfId="1" applyNumberFormat="1" applyFont="1" applyFill="1" applyBorder="1" applyAlignment="1">
      <alignment horizontal="center" wrapText="1"/>
    </xf>
    <xf numFmtId="166" fontId="85" fillId="12" borderId="73" xfId="0" applyNumberFormat="1" applyFont="1" applyFill="1" applyBorder="1"/>
    <xf numFmtId="166" fontId="53" fillId="0" borderId="0" xfId="1" applyNumberFormat="1" applyFont="1"/>
    <xf numFmtId="166" fontId="62" fillId="0" borderId="0" xfId="1" applyNumberFormat="1" applyFont="1" applyAlignment="1">
      <alignment vertical="center" wrapText="1"/>
    </xf>
    <xf numFmtId="166" fontId="62" fillId="12" borderId="73" xfId="1" applyNumberFormat="1" applyFont="1" applyFill="1" applyBorder="1" applyAlignment="1">
      <alignment horizontal="center" wrapText="1"/>
    </xf>
    <xf numFmtId="0" fontId="62" fillId="0" borderId="0" xfId="0" applyFont="1" applyAlignment="1">
      <alignment horizontal="right"/>
    </xf>
    <xf numFmtId="0" fontId="85" fillId="26" borderId="73" xfId="0" applyFont="1" applyFill="1" applyBorder="1" applyAlignment="1">
      <alignment horizontal="center" wrapText="1"/>
    </xf>
    <xf numFmtId="166" fontId="85" fillId="26" borderId="73" xfId="1" applyNumberFormat="1" applyFont="1" applyFill="1" applyBorder="1" applyAlignment="1">
      <alignment horizontal="center" wrapText="1"/>
    </xf>
    <xf numFmtId="0" fontId="85" fillId="0" borderId="0" xfId="0" applyFont="1"/>
    <xf numFmtId="0" fontId="0" fillId="10" borderId="0" xfId="0" applyFill="1"/>
    <xf numFmtId="166" fontId="0" fillId="10" borderId="0" xfId="1" applyNumberFormat="1" applyFont="1" applyFill="1"/>
    <xf numFmtId="0" fontId="146" fillId="0" borderId="73" xfId="0" applyFont="1" applyBorder="1"/>
    <xf numFmtId="0" fontId="146" fillId="0" borderId="73" xfId="0" applyFont="1" applyBorder="1" applyAlignment="1">
      <alignment wrapText="1"/>
    </xf>
    <xf numFmtId="49" fontId="146" fillId="0" borderId="73" xfId="0" applyNumberFormat="1" applyFont="1" applyBorder="1" applyAlignment="1">
      <alignment wrapText="1"/>
    </xf>
    <xf numFmtId="166" fontId="146" fillId="0" borderId="73" xfId="1" applyNumberFormat="1" applyFont="1" applyBorder="1" applyAlignment="1">
      <alignment wrapText="1"/>
    </xf>
    <xf numFmtId="166" fontId="146" fillId="0" borderId="0" xfId="1" applyNumberFormat="1" applyFont="1" applyFill="1" applyBorder="1" applyAlignment="1">
      <alignment wrapText="1"/>
    </xf>
    <xf numFmtId="166" fontId="146" fillId="0" borderId="73" xfId="1" applyNumberFormat="1" applyFont="1" applyFill="1" applyBorder="1" applyAlignment="1">
      <alignment wrapText="1"/>
    </xf>
    <xf numFmtId="49" fontId="146" fillId="0" borderId="73" xfId="0" applyNumberFormat="1" applyFont="1" applyBorder="1" applyAlignment="1">
      <alignment horizontal="left"/>
    </xf>
    <xf numFmtId="166" fontId="146" fillId="0" borderId="0" xfId="1" applyNumberFormat="1" applyFont="1" applyFill="1" applyBorder="1"/>
    <xf numFmtId="166" fontId="146" fillId="0" borderId="73" xfId="1" applyNumberFormat="1" applyFont="1" applyFill="1" applyBorder="1"/>
    <xf numFmtId="166" fontId="146" fillId="0" borderId="73" xfId="1" applyNumberFormat="1" applyFont="1" applyBorder="1"/>
    <xf numFmtId="0" fontId="146" fillId="0" borderId="73" xfId="0" applyFont="1" applyBorder="1" applyAlignment="1">
      <alignment horizontal="left" wrapText="1" indent="2"/>
    </xf>
    <xf numFmtId="0" fontId="146" fillId="0" borderId="0" xfId="0" applyFont="1"/>
    <xf numFmtId="166" fontId="145" fillId="12" borderId="73" xfId="0" applyNumberFormat="1" applyFont="1" applyFill="1" applyBorder="1"/>
    <xf numFmtId="0" fontId="145" fillId="14" borderId="73" xfId="0" applyFont="1" applyFill="1" applyBorder="1" applyAlignment="1">
      <alignment horizontal="center" wrapText="1"/>
    </xf>
    <xf numFmtId="0" fontId="145" fillId="14" borderId="0" xfId="0" applyFont="1" applyFill="1" applyAlignment="1">
      <alignment horizontal="center" wrapText="1"/>
    </xf>
    <xf numFmtId="166" fontId="145" fillId="14" borderId="73" xfId="1" applyNumberFormat="1" applyFont="1" applyFill="1" applyBorder="1" applyAlignment="1">
      <alignment horizontal="center" wrapText="1"/>
    </xf>
    <xf numFmtId="0" fontId="75" fillId="0" borderId="73" xfId="0" applyFont="1" applyBorder="1" applyAlignment="1">
      <alignment wrapText="1"/>
    </xf>
    <xf numFmtId="0" fontId="48" fillId="6" borderId="80" xfId="43" applyFont="1" applyFill="1" applyBorder="1" applyAlignment="1">
      <alignment horizontal="left" indent="2"/>
    </xf>
    <xf numFmtId="0" fontId="75" fillId="20" borderId="73" xfId="0" applyFont="1" applyFill="1" applyBorder="1"/>
    <xf numFmtId="49" fontId="0" fillId="0" borderId="73" xfId="0" applyNumberFormat="1" applyBorder="1" applyAlignment="1">
      <alignment horizontal="left"/>
    </xf>
    <xf numFmtId="0" fontId="0" fillId="0" borderId="73" xfId="0" quotePrefix="1" applyBorder="1" applyAlignment="1">
      <alignment horizontal="left"/>
    </xf>
    <xf numFmtId="49" fontId="61" fillId="0" borderId="61" xfId="43" applyNumberFormat="1" applyFont="1" applyBorder="1" applyAlignment="1">
      <alignment horizontal="left" indent="3"/>
    </xf>
    <xf numFmtId="0" fontId="59" fillId="0" borderId="82" xfId="43" applyFont="1" applyBorder="1" applyAlignment="1">
      <alignment horizontal="left" indent="2"/>
    </xf>
    <xf numFmtId="3" fontId="48" fillId="0" borderId="83" xfId="43" applyNumberFormat="1" applyFont="1" applyBorder="1"/>
    <xf numFmtId="9" fontId="48" fillId="0" borderId="0" xfId="4" applyFont="1" applyAlignment="1">
      <alignment wrapText="1"/>
    </xf>
    <xf numFmtId="1" fontId="48" fillId="0" borderId="0" xfId="4" applyNumberFormat="1" applyFont="1" applyFill="1"/>
    <xf numFmtId="9" fontId="48" fillId="3" borderId="4" xfId="4" applyFont="1" applyFill="1" applyBorder="1" applyAlignment="1">
      <alignment wrapText="1"/>
    </xf>
    <xf numFmtId="9" fontId="53" fillId="4" borderId="4" xfId="4" applyFont="1" applyFill="1" applyBorder="1"/>
    <xf numFmtId="9" fontId="48" fillId="0" borderId="7" xfId="4" applyFont="1" applyFill="1" applyBorder="1"/>
    <xf numFmtId="9" fontId="48" fillId="0" borderId="29" xfId="4" applyFont="1" applyFill="1" applyBorder="1"/>
    <xf numFmtId="9" fontId="53" fillId="4" borderId="7" xfId="4" applyFont="1" applyFill="1" applyBorder="1"/>
    <xf numFmtId="9" fontId="48" fillId="0" borderId="7" xfId="4" applyFont="1" applyBorder="1"/>
    <xf numFmtId="9" fontId="48" fillId="0" borderId="8" xfId="4" applyFont="1" applyFill="1" applyBorder="1"/>
    <xf numFmtId="9" fontId="48" fillId="0" borderId="8" xfId="4" applyFont="1" applyFill="1" applyBorder="1" applyAlignment="1">
      <alignment wrapText="1"/>
    </xf>
    <xf numFmtId="9" fontId="48" fillId="0" borderId="45" xfId="4" applyFont="1" applyBorder="1"/>
    <xf numFmtId="9" fontId="48" fillId="4" borderId="7" xfId="4" applyFont="1" applyFill="1" applyBorder="1" applyAlignment="1">
      <alignment wrapText="1"/>
    </xf>
    <xf numFmtId="9" fontId="48" fillId="0" borderId="7" xfId="4" applyFont="1" applyFill="1" applyBorder="1" applyAlignment="1">
      <alignment wrapText="1"/>
    </xf>
    <xf numFmtId="9" fontId="48" fillId="0" borderId="45" xfId="4" applyFont="1" applyFill="1" applyBorder="1"/>
    <xf numFmtId="9" fontId="48" fillId="0" borderId="60" xfId="4" applyFont="1" applyFill="1" applyBorder="1" applyAlignment="1">
      <alignment wrapText="1"/>
    </xf>
    <xf numFmtId="3" fontId="48" fillId="7" borderId="7" xfId="43" applyNumberFormat="1" applyFont="1" applyFill="1" applyBorder="1" applyAlignment="1">
      <alignment wrapText="1"/>
    </xf>
    <xf numFmtId="9" fontId="59" fillId="8" borderId="7" xfId="4" applyFont="1" applyFill="1" applyBorder="1" applyAlignment="1">
      <alignment wrapText="1"/>
    </xf>
    <xf numFmtId="3" fontId="59" fillId="9" borderId="7" xfId="43" applyNumberFormat="1" applyFont="1" applyFill="1" applyBorder="1"/>
    <xf numFmtId="9" fontId="59" fillId="9" borderId="7" xfId="4" applyFont="1" applyFill="1" applyBorder="1"/>
    <xf numFmtId="9" fontId="48" fillId="0" borderId="60" xfId="4" applyFont="1" applyFill="1" applyBorder="1"/>
    <xf numFmtId="9" fontId="48" fillId="0" borderId="83" xfId="4" applyFont="1" applyFill="1" applyBorder="1"/>
    <xf numFmtId="9" fontId="48" fillId="0" borderId="45" xfId="4" applyFont="1" applyFill="1" applyBorder="1" applyAlignment="1">
      <alignment wrapText="1"/>
    </xf>
    <xf numFmtId="9" fontId="48" fillId="3" borderId="7" xfId="4" applyFont="1" applyFill="1" applyBorder="1" applyAlignment="1">
      <alignment wrapText="1"/>
    </xf>
    <xf numFmtId="9" fontId="48" fillId="5" borderId="7" xfId="4" applyFont="1" applyFill="1" applyBorder="1" applyAlignment="1">
      <alignment wrapText="1"/>
    </xf>
    <xf numFmtId="9" fontId="48" fillId="0" borderId="31" xfId="4" applyFont="1" applyFill="1" applyBorder="1"/>
    <xf numFmtId="9" fontId="48" fillId="0" borderId="25" xfId="4" applyFont="1" applyFill="1" applyBorder="1" applyAlignment="1">
      <alignment wrapText="1"/>
    </xf>
    <xf numFmtId="9" fontId="48" fillId="0" borderId="28" xfId="4" applyFont="1" applyFill="1" applyBorder="1"/>
    <xf numFmtId="9" fontId="48" fillId="0" borderId="30" xfId="4" applyFont="1" applyFill="1" applyBorder="1"/>
    <xf numFmtId="9" fontId="48" fillId="0" borderId="44" xfId="4" applyFont="1" applyFill="1" applyBorder="1"/>
    <xf numFmtId="9" fontId="48" fillId="0" borderId="62" xfId="4" applyFont="1" applyFill="1" applyBorder="1"/>
    <xf numFmtId="9" fontId="48" fillId="0" borderId="79" xfId="4" applyFont="1" applyFill="1" applyBorder="1"/>
    <xf numFmtId="1" fontId="48" fillId="0" borderId="7" xfId="4" applyNumberFormat="1" applyFont="1" applyFill="1" applyBorder="1"/>
    <xf numFmtId="9" fontId="53" fillId="0" borderId="3" xfId="4" applyFont="1" applyBorder="1"/>
    <xf numFmtId="9" fontId="53" fillId="0" borderId="11" xfId="4" applyFont="1" applyFill="1" applyBorder="1"/>
    <xf numFmtId="3" fontId="48" fillId="0" borderId="69" xfId="43" applyNumberFormat="1" applyFont="1" applyBorder="1"/>
    <xf numFmtId="9" fontId="48" fillId="0" borderId="63" xfId="4" applyFont="1" applyFill="1" applyBorder="1" applyAlignment="1">
      <alignment wrapText="1"/>
    </xf>
    <xf numFmtId="3" fontId="48" fillId="0" borderId="43" xfId="43" applyNumberFormat="1" applyFont="1" applyBorder="1"/>
    <xf numFmtId="9" fontId="48" fillId="0" borderId="48" xfId="4" applyFont="1" applyFill="1" applyBorder="1"/>
    <xf numFmtId="9" fontId="48" fillId="0" borderId="63" xfId="4" applyFont="1" applyFill="1" applyBorder="1"/>
    <xf numFmtId="3" fontId="48" fillId="0" borderId="58" xfId="43" applyNumberFormat="1" applyFont="1" applyBorder="1"/>
    <xf numFmtId="9" fontId="53" fillId="0" borderId="11" xfId="4" applyFont="1" applyBorder="1"/>
    <xf numFmtId="9" fontId="53" fillId="4" borderId="12" xfId="4" applyFont="1" applyFill="1" applyBorder="1"/>
    <xf numFmtId="9" fontId="48" fillId="3" borderId="7" xfId="4" applyFont="1" applyFill="1" applyBorder="1"/>
    <xf numFmtId="9" fontId="48" fillId="3" borderId="29" xfId="4" applyFont="1" applyFill="1" applyBorder="1" applyAlignment="1">
      <alignment wrapText="1"/>
    </xf>
    <xf numFmtId="3" fontId="48" fillId="3" borderId="45" xfId="43" applyNumberFormat="1" applyFont="1" applyFill="1" applyBorder="1"/>
    <xf numFmtId="9" fontId="48" fillId="3" borderId="45" xfId="4" applyFont="1" applyFill="1" applyBorder="1" applyAlignment="1">
      <alignment wrapText="1"/>
    </xf>
    <xf numFmtId="9" fontId="48" fillId="3" borderId="60" xfId="4" applyFont="1" applyFill="1" applyBorder="1"/>
    <xf numFmtId="9" fontId="48" fillId="0" borderId="7" xfId="4" applyFont="1" applyBorder="1" applyAlignment="1">
      <alignment wrapText="1"/>
    </xf>
    <xf numFmtId="9" fontId="48" fillId="0" borderId="45" xfId="4" applyFont="1" applyBorder="1" applyAlignment="1">
      <alignment wrapText="1"/>
    </xf>
    <xf numFmtId="9" fontId="48" fillId="0" borderId="60" xfId="4" applyFont="1" applyBorder="1" applyAlignment="1">
      <alignment wrapText="1"/>
    </xf>
    <xf numFmtId="9" fontId="53" fillId="3" borderId="7" xfId="4" applyFont="1" applyFill="1" applyBorder="1"/>
    <xf numFmtId="9" fontId="48" fillId="0" borderId="22" xfId="4" applyFont="1" applyBorder="1" applyAlignment="1">
      <alignment wrapText="1"/>
    </xf>
    <xf numFmtId="9" fontId="48" fillId="0" borderId="27" xfId="4" applyFont="1" applyBorder="1" applyAlignment="1">
      <alignment wrapText="1"/>
    </xf>
    <xf numFmtId="9" fontId="61" fillId="3" borderId="7" xfId="4" applyFont="1" applyFill="1" applyBorder="1" applyAlignment="1">
      <alignment wrapText="1"/>
    </xf>
    <xf numFmtId="9" fontId="61" fillId="3" borderId="29" xfId="4" applyFont="1" applyFill="1" applyBorder="1" applyAlignment="1">
      <alignment wrapText="1"/>
    </xf>
    <xf numFmtId="9" fontId="48" fillId="5" borderId="7" xfId="4" applyFont="1" applyFill="1" applyBorder="1"/>
    <xf numFmtId="9" fontId="48" fillId="5" borderId="60" xfId="4" applyFont="1" applyFill="1" applyBorder="1" applyAlignment="1">
      <alignment wrapText="1"/>
    </xf>
    <xf numFmtId="9" fontId="48" fillId="5" borderId="45" xfId="4" applyFont="1" applyFill="1" applyBorder="1"/>
    <xf numFmtId="3" fontId="48" fillId="6" borderId="45" xfId="43" applyNumberFormat="1" applyFont="1" applyFill="1" applyBorder="1"/>
    <xf numFmtId="9" fontId="48" fillId="0" borderId="24" xfId="4" applyFont="1" applyFill="1" applyBorder="1"/>
    <xf numFmtId="9" fontId="59" fillId="0" borderId="7" xfId="4" applyFont="1" applyFill="1" applyBorder="1" applyAlignment="1">
      <alignment wrapText="1"/>
    </xf>
    <xf numFmtId="9" fontId="48" fillId="3" borderId="60" xfId="4" applyFont="1" applyFill="1" applyBorder="1" applyAlignment="1">
      <alignment wrapText="1"/>
    </xf>
    <xf numFmtId="9" fontId="48" fillId="3" borderId="24" xfId="4" applyFont="1" applyFill="1" applyBorder="1" applyAlignment="1">
      <alignment wrapText="1"/>
    </xf>
    <xf numFmtId="9" fontId="53" fillId="0" borderId="13" xfId="4" applyFont="1" applyBorder="1"/>
    <xf numFmtId="9" fontId="48" fillId="0" borderId="14" xfId="4" applyFont="1" applyBorder="1"/>
    <xf numFmtId="9" fontId="53" fillId="4" borderId="17" xfId="4" applyFont="1" applyFill="1" applyBorder="1"/>
    <xf numFmtId="9" fontId="130" fillId="0" borderId="3" xfId="4" applyFont="1" applyBorder="1" applyAlignment="1">
      <alignment horizontal="center" vertical="center" wrapText="1"/>
    </xf>
    <xf numFmtId="166" fontId="122" fillId="3" borderId="4" xfId="1" applyNumberFormat="1" applyFont="1" applyFill="1" applyBorder="1" applyAlignment="1">
      <alignment wrapText="1"/>
    </xf>
    <xf numFmtId="166" fontId="62" fillId="0" borderId="0" xfId="0" applyNumberFormat="1" applyFont="1" applyAlignment="1">
      <alignment horizontal="right"/>
    </xf>
    <xf numFmtId="0" fontId="48" fillId="6" borderId="82" xfId="43" applyFont="1" applyFill="1" applyBorder="1" applyAlignment="1">
      <alignment horizontal="left" indent="2"/>
    </xf>
    <xf numFmtId="9" fontId="48" fillId="0" borderId="83" xfId="4" applyFont="1" applyBorder="1" applyAlignment="1">
      <alignment wrapText="1"/>
    </xf>
    <xf numFmtId="9" fontId="48" fillId="3" borderId="7" xfId="4" quotePrefix="1" applyFont="1" applyFill="1" applyBorder="1" applyAlignment="1">
      <alignment wrapText="1"/>
    </xf>
    <xf numFmtId="9" fontId="48" fillId="0" borderId="45" xfId="4" quotePrefix="1" applyFont="1" applyBorder="1" applyAlignment="1">
      <alignment wrapText="1"/>
    </xf>
    <xf numFmtId="166" fontId="48" fillId="0" borderId="0" xfId="1" applyNumberFormat="1" applyFont="1" applyAlignment="1">
      <alignment wrapText="1"/>
    </xf>
    <xf numFmtId="166" fontId="48" fillId="0" borderId="62" xfId="1" applyNumberFormat="1" applyFont="1" applyBorder="1"/>
    <xf numFmtId="166" fontId="48" fillId="0" borderId="79" xfId="1" applyNumberFormat="1" applyFont="1" applyBorder="1"/>
    <xf numFmtId="0" fontId="12" fillId="11" borderId="0" xfId="43" applyFont="1" applyFill="1"/>
    <xf numFmtId="9" fontId="53" fillId="4" borderId="7" xfId="2" applyFont="1" applyFill="1" applyBorder="1"/>
    <xf numFmtId="9" fontId="48" fillId="0" borderId="7" xfId="2" applyFont="1" applyFill="1" applyBorder="1"/>
    <xf numFmtId="9" fontId="53" fillId="0" borderId="3" xfId="2" applyFont="1" applyBorder="1" applyAlignment="1">
      <alignment horizontal="center" vertical="center" wrapText="1"/>
    </xf>
    <xf numFmtId="9" fontId="53" fillId="3" borderId="4" xfId="2" applyFont="1" applyFill="1" applyBorder="1"/>
    <xf numFmtId="9" fontId="53" fillId="4" borderId="4" xfId="2" applyFont="1" applyFill="1" applyBorder="1"/>
    <xf numFmtId="9" fontId="48" fillId="0" borderId="7" xfId="2" applyFont="1" applyBorder="1"/>
    <xf numFmtId="9" fontId="48" fillId="0" borderId="45" xfId="2" applyFont="1" applyFill="1" applyBorder="1"/>
    <xf numFmtId="9" fontId="48" fillId="7" borderId="7" xfId="2" applyFont="1" applyFill="1" applyBorder="1"/>
    <xf numFmtId="9" fontId="59" fillId="8" borderId="7" xfId="2" applyFont="1" applyFill="1" applyBorder="1"/>
    <xf numFmtId="9" fontId="48" fillId="0" borderId="83" xfId="2" applyFont="1" applyFill="1" applyBorder="1"/>
    <xf numFmtId="9" fontId="48" fillId="0" borderId="29" xfId="2" applyFont="1" applyFill="1" applyBorder="1"/>
    <xf numFmtId="9" fontId="48" fillId="19" borderId="60" xfId="2" applyFont="1" applyFill="1" applyBorder="1"/>
    <xf numFmtId="9" fontId="48" fillId="3" borderId="7" xfId="2" applyFont="1" applyFill="1" applyBorder="1"/>
    <xf numFmtId="9" fontId="48" fillId="0" borderId="60" xfId="2" applyFont="1" applyFill="1" applyBorder="1"/>
    <xf numFmtId="9" fontId="53" fillId="0" borderId="3" xfId="2" applyFont="1" applyBorder="1"/>
    <xf numFmtId="9" fontId="53" fillId="0" borderId="11" xfId="2" applyFont="1" applyFill="1" applyBorder="1"/>
    <xf numFmtId="9" fontId="48" fillId="0" borderId="62" xfId="2" applyFont="1" applyFill="1" applyBorder="1"/>
    <xf numFmtId="9" fontId="48" fillId="0" borderId="44" xfId="2" applyFont="1" applyFill="1" applyBorder="1"/>
    <xf numFmtId="9" fontId="53" fillId="0" borderId="11" xfId="2" applyFont="1" applyBorder="1"/>
    <xf numFmtId="9" fontId="48" fillId="0" borderId="0" xfId="2" applyFont="1" applyAlignment="1">
      <alignment wrapText="1"/>
    </xf>
    <xf numFmtId="9" fontId="53" fillId="0" borderId="0" xfId="2" applyFont="1"/>
    <xf numFmtId="9" fontId="53" fillId="4" borderId="44" xfId="2" applyFont="1" applyFill="1" applyBorder="1"/>
    <xf numFmtId="9" fontId="48" fillId="0" borderId="0" xfId="2" applyFont="1"/>
    <xf numFmtId="9" fontId="53" fillId="4" borderId="12" xfId="2" applyFont="1" applyFill="1" applyBorder="1"/>
    <xf numFmtId="9" fontId="53" fillId="3" borderId="7" xfId="2" applyFont="1" applyFill="1" applyBorder="1"/>
    <xf numFmtId="9" fontId="48" fillId="25" borderId="45" xfId="2" applyFont="1" applyFill="1" applyBorder="1"/>
    <xf numFmtId="9" fontId="48" fillId="3" borderId="29" xfId="2" applyFont="1" applyFill="1" applyBorder="1"/>
    <xf numFmtId="9" fontId="48" fillId="5" borderId="7" xfId="2" applyFont="1" applyFill="1" applyBorder="1"/>
    <xf numFmtId="9" fontId="48" fillId="5" borderId="45" xfId="2" applyFont="1" applyFill="1" applyBorder="1"/>
    <xf numFmtId="9" fontId="48" fillId="12" borderId="7" xfId="2" applyFont="1" applyFill="1" applyBorder="1"/>
    <xf numFmtId="9" fontId="48" fillId="3" borderId="60" xfId="2" applyFont="1" applyFill="1" applyBorder="1"/>
    <xf numFmtId="9" fontId="48" fillId="6" borderId="7" xfId="2" applyFont="1" applyFill="1" applyBorder="1"/>
    <xf numFmtId="9" fontId="53" fillId="0" borderId="7" xfId="2" applyFont="1" applyFill="1" applyBorder="1"/>
    <xf numFmtId="9" fontId="53" fillId="0" borderId="14" xfId="2" applyFont="1" applyBorder="1"/>
    <xf numFmtId="9" fontId="53" fillId="4" borderId="17" xfId="2" applyFont="1" applyFill="1" applyBorder="1"/>
    <xf numFmtId="0" fontId="147" fillId="5" borderId="0" xfId="0" applyFont="1" applyFill="1"/>
    <xf numFmtId="0" fontId="86" fillId="5" borderId="0" xfId="0" applyFont="1" applyFill="1"/>
    <xf numFmtId="0" fontId="86" fillId="63" borderId="0" xfId="0" applyFont="1" applyFill="1"/>
    <xf numFmtId="0" fontId="147" fillId="63" borderId="19" xfId="0" applyFont="1" applyFill="1" applyBorder="1"/>
    <xf numFmtId="0" fontId="147" fillId="65" borderId="19" xfId="0" applyFont="1" applyFill="1" applyBorder="1"/>
    <xf numFmtId="0" fontId="147" fillId="5" borderId="71" xfId="0" applyFont="1" applyFill="1" applyBorder="1"/>
    <xf numFmtId="0" fontId="147" fillId="5" borderId="71" xfId="0" applyFont="1" applyFill="1" applyBorder="1" applyAlignment="1">
      <alignment horizontal="center" wrapText="1"/>
    </xf>
    <xf numFmtId="3" fontId="147" fillId="5" borderId="0" xfId="0" applyNumberFormat="1" applyFont="1" applyFill="1"/>
    <xf numFmtId="9" fontId="147" fillId="5" borderId="0" xfId="2" applyFont="1" applyFill="1"/>
    <xf numFmtId="3" fontId="86" fillId="5" borderId="0" xfId="0" applyNumberFormat="1" applyFont="1" applyFill="1"/>
    <xf numFmtId="9" fontId="86" fillId="5" borderId="0" xfId="2" applyFont="1" applyFill="1"/>
    <xf numFmtId="0" fontId="86" fillId="24" borderId="0" xfId="0" applyFont="1" applyFill="1" applyAlignment="1">
      <alignment horizontal="left" indent="2"/>
    </xf>
    <xf numFmtId="3" fontId="86" fillId="24" borderId="0" xfId="0" applyNumberFormat="1" applyFont="1" applyFill="1"/>
    <xf numFmtId="9" fontId="86" fillId="24" borderId="0" xfId="2" applyFont="1" applyFill="1"/>
    <xf numFmtId="0" fontId="55" fillId="5" borderId="0" xfId="0" applyFont="1" applyFill="1"/>
    <xf numFmtId="0" fontId="55" fillId="24" borderId="0" xfId="0" applyFont="1" applyFill="1" applyAlignment="1">
      <alignment horizontal="left" indent="2"/>
    </xf>
    <xf numFmtId="0" fontId="86" fillId="5" borderId="0" xfId="0" applyFont="1" applyFill="1" applyAlignment="1">
      <alignment horizontal="left" indent="1"/>
    </xf>
    <xf numFmtId="0" fontId="84" fillId="5" borderId="0" xfId="0" applyFont="1" applyFill="1"/>
    <xf numFmtId="0" fontId="84" fillId="5" borderId="0" xfId="0" applyFont="1" applyFill="1" applyAlignment="1">
      <alignment horizontal="left" indent="1"/>
    </xf>
    <xf numFmtId="0" fontId="148" fillId="5" borderId="71" xfId="0" applyFont="1" applyFill="1" applyBorder="1"/>
    <xf numFmtId="0" fontId="148" fillId="5" borderId="0" xfId="0" applyFont="1" applyFill="1"/>
    <xf numFmtId="3" fontId="147" fillId="5" borderId="0" xfId="0" applyNumberFormat="1" applyFont="1" applyFill="1" applyAlignment="1">
      <alignment wrapText="1"/>
    </xf>
    <xf numFmtId="167" fontId="86" fillId="5" borderId="0" xfId="2" applyNumberFormat="1" applyFont="1" applyFill="1"/>
    <xf numFmtId="9" fontId="86" fillId="5" borderId="0" xfId="2" applyFont="1" applyFill="1" applyBorder="1"/>
    <xf numFmtId="0" fontId="86" fillId="59" borderId="0" xfId="0" applyFont="1" applyFill="1"/>
    <xf numFmtId="10" fontId="86" fillId="5" borderId="0" xfId="2" applyNumberFormat="1" applyFont="1" applyFill="1"/>
    <xf numFmtId="174" fontId="84" fillId="5" borderId="0" xfId="0" applyNumberFormat="1" applyFont="1" applyFill="1"/>
    <xf numFmtId="0" fontId="86" fillId="24" borderId="0" xfId="0" applyFont="1" applyFill="1"/>
    <xf numFmtId="3" fontId="86" fillId="24" borderId="0" xfId="0" applyNumberFormat="1" applyFont="1" applyFill="1" applyAlignment="1">
      <alignment horizontal="left" indent="2"/>
    </xf>
    <xf numFmtId="9" fontId="86" fillId="24" borderId="0" xfId="2" applyFont="1" applyFill="1" applyAlignment="1">
      <alignment horizontal="left" indent="2"/>
    </xf>
    <xf numFmtId="171" fontId="84" fillId="24" borderId="0" xfId="1" applyNumberFormat="1" applyFont="1" applyFill="1"/>
    <xf numFmtId="166" fontId="86" fillId="5" borderId="0" xfId="1" applyNumberFormat="1" applyFont="1" applyFill="1"/>
    <xf numFmtId="9" fontId="50" fillId="0" borderId="60" xfId="4" applyFont="1" applyFill="1" applyBorder="1" applyAlignment="1">
      <alignment wrapText="1"/>
    </xf>
    <xf numFmtId="9" fontId="50" fillId="3" borderId="7" xfId="4" applyFont="1" applyFill="1" applyBorder="1"/>
    <xf numFmtId="9" fontId="50" fillId="0" borderId="63" xfId="4" applyFont="1" applyFill="1" applyBorder="1"/>
    <xf numFmtId="0" fontId="68" fillId="0" borderId="0" xfId="0" applyFont="1" applyAlignment="1">
      <alignment wrapText="1"/>
    </xf>
    <xf numFmtId="3" fontId="56" fillId="4" borderId="7" xfId="43" applyNumberFormat="1" applyFont="1" applyFill="1" applyBorder="1"/>
    <xf numFmtId="3" fontId="50" fillId="3" borderId="7" xfId="43" applyNumberFormat="1" applyFont="1" applyFill="1" applyBorder="1"/>
    <xf numFmtId="3" fontId="50" fillId="3" borderId="60" xfId="43" applyNumberFormat="1" applyFont="1" applyFill="1" applyBorder="1"/>
    <xf numFmtId="3" fontId="50" fillId="0" borderId="60" xfId="43" applyNumberFormat="1" applyFont="1" applyBorder="1"/>
    <xf numFmtId="0" fontId="141" fillId="0" borderId="0" xfId="0" applyFont="1"/>
    <xf numFmtId="3" fontId="50" fillId="5" borderId="7" xfId="43" applyNumberFormat="1" applyFont="1" applyFill="1" applyBorder="1"/>
    <xf numFmtId="0" fontId="0" fillId="0" borderId="0" xfId="0" applyAlignment="1">
      <alignment horizontal="center"/>
    </xf>
    <xf numFmtId="166" fontId="85" fillId="0" borderId="0" xfId="1" applyNumberFormat="1" applyFont="1" applyFill="1"/>
    <xf numFmtId="171" fontId="75" fillId="0" borderId="0" xfId="1" applyNumberFormat="1" applyFont="1" applyBorder="1"/>
    <xf numFmtId="0" fontId="150" fillId="0" borderId="0" xfId="0" applyFont="1"/>
    <xf numFmtId="166" fontId="85" fillId="0" borderId="0" xfId="0" applyNumberFormat="1" applyFont="1"/>
    <xf numFmtId="0" fontId="62" fillId="62" borderId="0" xfId="0" applyFont="1" applyFill="1" applyAlignment="1">
      <alignment horizontal="right"/>
    </xf>
    <xf numFmtId="171" fontId="0" fillId="0" borderId="0" xfId="1" applyNumberFormat="1" applyFont="1" applyBorder="1"/>
    <xf numFmtId="166" fontId="75" fillId="0" borderId="0" xfId="1" applyNumberFormat="1" applyFont="1" applyBorder="1"/>
    <xf numFmtId="0" fontId="62" fillId="15" borderId="0" xfId="0" applyFont="1" applyFill="1"/>
    <xf numFmtId="171" fontId="0" fillId="15" borderId="0" xfId="1" applyNumberFormat="1" applyFont="1" applyFill="1" applyBorder="1"/>
    <xf numFmtId="166" fontId="98" fillId="0" borderId="71" xfId="1" applyNumberFormat="1" applyFont="1" applyBorder="1"/>
    <xf numFmtId="166" fontId="75" fillId="0" borderId="71" xfId="0" applyNumberFormat="1" applyFont="1" applyBorder="1"/>
    <xf numFmtId="43" fontId="62" fillId="0" borderId="0" xfId="1" applyFont="1" applyBorder="1"/>
    <xf numFmtId="43" fontId="0" fillId="0" borderId="0" xfId="1" applyFont="1" applyBorder="1"/>
    <xf numFmtId="0" fontId="62" fillId="17" borderId="0" xfId="0" applyFont="1" applyFill="1" applyAlignment="1">
      <alignment horizontal="right"/>
    </xf>
    <xf numFmtId="0" fontId="141" fillId="60" borderId="0" xfId="0" applyFont="1" applyFill="1" applyAlignment="1">
      <alignment horizontal="right"/>
    </xf>
    <xf numFmtId="166" fontId="75" fillId="0" borderId="0" xfId="1" applyNumberFormat="1" applyFont="1" applyFill="1" applyBorder="1"/>
    <xf numFmtId="0" fontId="68" fillId="0" borderId="88" xfId="0" applyFont="1" applyBorder="1" applyAlignment="1">
      <alignment horizontal="left" vertical="top" wrapText="1"/>
    </xf>
    <xf numFmtId="0" fontId="78" fillId="11" borderId="73" xfId="0" applyFont="1" applyFill="1" applyBorder="1" applyAlignment="1">
      <alignment wrapText="1"/>
    </xf>
    <xf numFmtId="0" fontId="68" fillId="11" borderId="0" xfId="0" applyFont="1" applyFill="1"/>
    <xf numFmtId="0" fontId="78" fillId="11" borderId="73" xfId="0" applyFont="1" applyFill="1" applyBorder="1"/>
    <xf numFmtId="166" fontId="75" fillId="0" borderId="73" xfId="1" applyNumberFormat="1" applyFont="1" applyFill="1" applyBorder="1"/>
    <xf numFmtId="166" fontId="75" fillId="0" borderId="73" xfId="1" applyNumberFormat="1" applyFont="1" applyBorder="1" applyAlignment="1">
      <alignment wrapText="1"/>
    </xf>
    <xf numFmtId="0" fontId="0" fillId="0" borderId="89" xfId="0" applyBorder="1" applyAlignment="1">
      <alignment wrapText="1"/>
    </xf>
    <xf numFmtId="49" fontId="78" fillId="0" borderId="89" xfId="0" applyNumberFormat="1" applyFont="1" applyBorder="1" applyAlignment="1">
      <alignment wrapText="1"/>
    </xf>
    <xf numFmtId="0" fontId="0" fillId="0" borderId="89" xfId="0" applyBorder="1"/>
    <xf numFmtId="0" fontId="78" fillId="0" borderId="89" xfId="0" applyFont="1" applyBorder="1" applyAlignment="1">
      <alignment wrapText="1"/>
    </xf>
    <xf numFmtId="166" fontId="75" fillId="0" borderId="89" xfId="1" applyNumberFormat="1" applyFont="1" applyBorder="1" applyAlignment="1">
      <alignment wrapText="1"/>
    </xf>
    <xf numFmtId="0" fontId="0" fillId="0" borderId="78" xfId="0" applyBorder="1"/>
    <xf numFmtId="49" fontId="78" fillId="0" borderId="78" xfId="0" applyNumberFormat="1" applyFont="1" applyBorder="1" applyAlignment="1">
      <alignment horizontal="left"/>
    </xf>
    <xf numFmtId="0" fontId="78" fillId="0" borderId="78" xfId="0" applyFont="1" applyBorder="1" applyAlignment="1">
      <alignment wrapText="1"/>
    </xf>
    <xf numFmtId="166" fontId="78" fillId="0" borderId="78" xfId="1" applyNumberFormat="1" applyFont="1" applyBorder="1"/>
    <xf numFmtId="166" fontId="75" fillId="0" borderId="78" xfId="1" applyNumberFormat="1" applyFont="1" applyBorder="1"/>
    <xf numFmtId="166" fontId="67" fillId="0" borderId="0" xfId="0" applyNumberFormat="1" applyFont="1"/>
    <xf numFmtId="166" fontId="69" fillId="0" borderId="0" xfId="0" applyNumberFormat="1" applyFont="1"/>
    <xf numFmtId="166" fontId="75" fillId="0" borderId="77" xfId="1" applyNumberFormat="1" applyFont="1" applyBorder="1" applyAlignment="1">
      <alignment horizontal="center"/>
    </xf>
    <xf numFmtId="49" fontId="78" fillId="0" borderId="89" xfId="0" applyNumberFormat="1" applyFont="1" applyBorder="1" applyAlignment="1">
      <alignment horizontal="left"/>
    </xf>
    <xf numFmtId="166" fontId="78" fillId="0" borderId="76" xfId="1" applyNumberFormat="1" applyFont="1" applyFill="1" applyBorder="1"/>
    <xf numFmtId="166" fontId="75" fillId="0" borderId="89" xfId="1" applyNumberFormat="1" applyFont="1" applyBorder="1"/>
    <xf numFmtId="166" fontId="69" fillId="0" borderId="0" xfId="0" applyNumberFormat="1" applyFont="1" applyAlignment="1">
      <alignment vertical="center"/>
    </xf>
    <xf numFmtId="0" fontId="68" fillId="0" borderId="0" xfId="0" applyFont="1" applyAlignment="1">
      <alignment vertical="center"/>
    </xf>
    <xf numFmtId="166" fontId="78" fillId="0" borderId="89" xfId="1" applyNumberFormat="1" applyFont="1" applyBorder="1"/>
    <xf numFmtId="0" fontId="0" fillId="0" borderId="90" xfId="0" applyBorder="1"/>
    <xf numFmtId="0" fontId="0" fillId="0" borderId="91" xfId="0" applyBorder="1"/>
    <xf numFmtId="0" fontId="0" fillId="20" borderId="91" xfId="0" applyFill="1" applyBorder="1"/>
    <xf numFmtId="166" fontId="151" fillId="20" borderId="73" xfId="1" applyNumberFormat="1" applyFont="1" applyFill="1" applyBorder="1"/>
    <xf numFmtId="166" fontId="75" fillId="20" borderId="73" xfId="1" applyNumberFormat="1" applyFont="1" applyFill="1" applyBorder="1"/>
    <xf numFmtId="0" fontId="78" fillId="0" borderId="73" xfId="0" applyFont="1" applyBorder="1" applyAlignment="1">
      <alignment horizontal="left" wrapText="1" indent="2"/>
    </xf>
    <xf numFmtId="0" fontId="0" fillId="0" borderId="92" xfId="0" applyBorder="1"/>
    <xf numFmtId="0" fontId="0" fillId="20" borderId="78" xfId="0" applyFill="1" applyBorder="1"/>
    <xf numFmtId="0" fontId="0" fillId="0" borderId="93" xfId="0" applyBorder="1"/>
    <xf numFmtId="0" fontId="0" fillId="0" borderId="94" xfId="0" applyBorder="1"/>
    <xf numFmtId="49" fontId="78" fillId="0" borderId="94" xfId="0" applyNumberFormat="1" applyFont="1" applyBorder="1" applyAlignment="1">
      <alignment horizontal="left"/>
    </xf>
    <xf numFmtId="166" fontId="78" fillId="0" borderId="94" xfId="1" applyNumberFormat="1" applyFont="1" applyFill="1" applyBorder="1"/>
    <xf numFmtId="166" fontId="75" fillId="0" borderId="94" xfId="1" applyNumberFormat="1" applyFont="1" applyBorder="1"/>
    <xf numFmtId="0" fontId="0" fillId="0" borderId="94" xfId="0" applyBorder="1" applyAlignment="1">
      <alignment wrapText="1"/>
    </xf>
    <xf numFmtId="166" fontId="78" fillId="0" borderId="95" xfId="1" applyNumberFormat="1" applyFont="1" applyFill="1" applyBorder="1" applyAlignment="1">
      <alignment wrapText="1"/>
    </xf>
    <xf numFmtId="166" fontId="78" fillId="0" borderId="94" xfId="1" applyNumberFormat="1" applyFont="1" applyBorder="1" applyAlignment="1">
      <alignment wrapText="1"/>
    </xf>
    <xf numFmtId="166" fontId="78" fillId="0" borderId="94" xfId="1" applyNumberFormat="1" applyFont="1" applyBorder="1"/>
    <xf numFmtId="0" fontId="75" fillId="0" borderId="78" xfId="0" applyFont="1" applyBorder="1"/>
    <xf numFmtId="0" fontId="75" fillId="0" borderId="89" xfId="0" applyFont="1" applyBorder="1"/>
    <xf numFmtId="0" fontId="62" fillId="0" borderId="96" xfId="0" applyFont="1" applyBorder="1" applyAlignment="1">
      <alignment horizontal="right"/>
    </xf>
    <xf numFmtId="166" fontId="85" fillId="12" borderId="78" xfId="1" applyNumberFormat="1" applyFont="1" applyFill="1" applyBorder="1" applyAlignment="1">
      <alignment horizontal="center" wrapText="1"/>
    </xf>
    <xf numFmtId="49" fontId="78" fillId="0" borderId="94" xfId="0" applyNumberFormat="1" applyFont="1" applyBorder="1" applyAlignment="1">
      <alignment wrapText="1"/>
    </xf>
    <xf numFmtId="0" fontId="78" fillId="0" borderId="94" xfId="0" applyFont="1" applyBorder="1" applyAlignment="1">
      <alignment wrapText="1"/>
    </xf>
    <xf numFmtId="166" fontId="75" fillId="0" borderId="94" xfId="1" applyNumberFormat="1" applyFont="1" applyBorder="1" applyAlignment="1">
      <alignment wrapText="1"/>
    </xf>
    <xf numFmtId="166" fontId="151" fillId="0" borderId="0" xfId="1" applyNumberFormat="1" applyFont="1" applyFill="1" applyBorder="1"/>
    <xf numFmtId="49" fontId="78" fillId="0" borderId="93" xfId="0" applyNumberFormat="1" applyFont="1" applyBorder="1" applyAlignment="1">
      <alignment horizontal="left"/>
    </xf>
    <xf numFmtId="0" fontId="78" fillId="0" borderId="93" xfId="0" applyFont="1" applyBorder="1" applyAlignment="1">
      <alignment wrapText="1"/>
    </xf>
    <xf numFmtId="166" fontId="75" fillId="0" borderId="93" xfId="1" applyNumberFormat="1" applyFont="1" applyBorder="1"/>
    <xf numFmtId="0" fontId="78" fillId="0" borderId="89" xfId="0" applyFont="1" applyBorder="1"/>
    <xf numFmtId="0" fontId="0" fillId="0" borderId="77" xfId="0" applyBorder="1"/>
    <xf numFmtId="166" fontId="75" fillId="0" borderId="77" xfId="1" applyNumberFormat="1" applyFont="1" applyBorder="1"/>
    <xf numFmtId="0" fontId="151" fillId="20" borderId="73" xfId="0" applyFont="1" applyFill="1" applyBorder="1" applyAlignment="1">
      <alignment wrapText="1"/>
    </xf>
    <xf numFmtId="0" fontId="67" fillId="10" borderId="0" xfId="0" applyFont="1" applyFill="1"/>
    <xf numFmtId="3" fontId="78" fillId="0" borderId="0" xfId="0" applyNumberFormat="1" applyFont="1"/>
    <xf numFmtId="171" fontId="78" fillId="0" borderId="0" xfId="1" applyNumberFormat="1" applyFont="1" applyBorder="1"/>
    <xf numFmtId="3" fontId="78" fillId="0" borderId="0" xfId="0" applyNumberFormat="1" applyFont="1" applyAlignment="1">
      <alignment horizontal="right"/>
    </xf>
    <xf numFmtId="171" fontId="85" fillId="62" borderId="0" xfId="1" applyNumberFormat="1" applyFont="1" applyFill="1" applyBorder="1"/>
    <xf numFmtId="171" fontId="85" fillId="15" borderId="0" xfId="1" applyNumberFormat="1" applyFont="1" applyFill="1" applyBorder="1"/>
    <xf numFmtId="171" fontId="85" fillId="17" borderId="0" xfId="1" applyNumberFormat="1" applyFont="1" applyFill="1" applyBorder="1"/>
    <xf numFmtId="0" fontId="147" fillId="0" borderId="0" xfId="0" applyFont="1"/>
    <xf numFmtId="0" fontId="86" fillId="0" borderId="0" xfId="0" applyFont="1"/>
    <xf numFmtId="166" fontId="81" fillId="0" borderId="73" xfId="0" applyNumberFormat="1" applyFont="1" applyBorder="1" applyAlignment="1">
      <alignment horizontal="center" wrapText="1"/>
    </xf>
    <xf numFmtId="166" fontId="133" fillId="0" borderId="71" xfId="1" applyNumberFormat="1" applyFont="1" applyFill="1" applyBorder="1"/>
    <xf numFmtId="171" fontId="75" fillId="13" borderId="0" xfId="1" applyNumberFormat="1" applyFont="1" applyFill="1" applyBorder="1"/>
    <xf numFmtId="0" fontId="62" fillId="12" borderId="97" xfId="0" applyFont="1" applyFill="1" applyBorder="1" applyAlignment="1">
      <alignment horizontal="center" wrapText="1"/>
    </xf>
    <xf numFmtId="166" fontId="78" fillId="0" borderId="97" xfId="1" applyNumberFormat="1" applyFont="1" applyBorder="1"/>
    <xf numFmtId="166" fontId="81" fillId="0" borderId="97" xfId="1" applyNumberFormat="1" applyFont="1" applyBorder="1"/>
    <xf numFmtId="0" fontId="0" fillId="0" borderId="96" xfId="0" applyBorder="1"/>
    <xf numFmtId="0" fontId="0" fillId="5" borderId="75" xfId="0" applyFill="1" applyBorder="1"/>
    <xf numFmtId="0" fontId="0" fillId="5" borderId="90" xfId="0" applyFill="1" applyBorder="1"/>
    <xf numFmtId="0" fontId="0" fillId="5" borderId="98" xfId="0" applyFill="1" applyBorder="1"/>
    <xf numFmtId="0" fontId="121" fillId="5" borderId="99" xfId="0" applyFont="1" applyFill="1" applyBorder="1" applyAlignment="1">
      <alignment horizontal="right"/>
    </xf>
    <xf numFmtId="0" fontId="0" fillId="5" borderId="96" xfId="0" applyFill="1" applyBorder="1" applyAlignment="1">
      <alignment horizontal="right"/>
    </xf>
    <xf numFmtId="166" fontId="85" fillId="24" borderId="97" xfId="1" applyNumberFormat="1" applyFont="1" applyFill="1" applyBorder="1"/>
    <xf numFmtId="166" fontId="85" fillId="24" borderId="73" xfId="0" applyNumberFormat="1" applyFont="1" applyFill="1" applyBorder="1" applyAlignment="1">
      <alignment horizontal="center" wrapText="1"/>
    </xf>
    <xf numFmtId="0" fontId="152" fillId="0" borderId="0" xfId="0" applyFont="1" applyAlignment="1">
      <alignment horizontal="right"/>
    </xf>
    <xf numFmtId="0" fontId="69" fillId="10" borderId="0" xfId="0" applyFont="1" applyFill="1"/>
    <xf numFmtId="0" fontId="69" fillId="11" borderId="0" xfId="0" applyFont="1" applyFill="1"/>
    <xf numFmtId="0" fontId="68" fillId="10" borderId="0" xfId="0" applyFont="1" applyFill="1"/>
    <xf numFmtId="0" fontId="68" fillId="9" borderId="100" xfId="22" applyNumberFormat="1" applyFont="1" applyFill="1" applyBorder="1" applyAlignment="1">
      <alignment wrapText="1"/>
    </xf>
    <xf numFmtId="0" fontId="74" fillId="28" borderId="100" xfId="22" applyNumberFormat="1" applyFont="1" applyFill="1" applyBorder="1" applyAlignment="1">
      <alignment wrapText="1"/>
    </xf>
    <xf numFmtId="0" fontId="74" fillId="28" borderId="23" xfId="22" applyNumberFormat="1" applyFont="1" applyFill="1" applyBorder="1" applyAlignment="1">
      <alignment wrapText="1"/>
    </xf>
    <xf numFmtId="0" fontId="74" fillId="66" borderId="100" xfId="22" applyNumberFormat="1" applyFont="1" applyFill="1" applyBorder="1" applyAlignment="1">
      <alignment wrapText="1"/>
    </xf>
    <xf numFmtId="0" fontId="74" fillId="66" borderId="66" xfId="22" applyNumberFormat="1" applyFont="1" applyFill="1" applyBorder="1" applyAlignment="1">
      <alignment wrapText="1"/>
    </xf>
    <xf numFmtId="0" fontId="68" fillId="16" borderId="100" xfId="22" applyNumberFormat="1" applyFont="1" applyFill="1" applyBorder="1" applyAlignment="1">
      <alignment wrapText="1"/>
    </xf>
    <xf numFmtId="0" fontId="68" fillId="11" borderId="100" xfId="22" applyNumberFormat="1" applyFont="1" applyFill="1" applyBorder="1" applyAlignment="1">
      <alignment wrapText="1"/>
    </xf>
    <xf numFmtId="0" fontId="74" fillId="67" borderId="23" xfId="22" applyNumberFormat="1" applyFont="1" applyFill="1" applyBorder="1" applyAlignment="1">
      <alignment wrapText="1"/>
    </xf>
    <xf numFmtId="0" fontId="74" fillId="67" borderId="66" xfId="22" applyNumberFormat="1" applyFont="1" applyFill="1" applyBorder="1" applyAlignment="1">
      <alignment wrapText="1"/>
    </xf>
    <xf numFmtId="166" fontId="125" fillId="0" borderId="73" xfId="1" applyNumberFormat="1" applyFont="1" applyBorder="1"/>
    <xf numFmtId="166" fontId="125" fillId="0" borderId="0" xfId="1" applyNumberFormat="1" applyFont="1" applyFill="1" applyBorder="1"/>
    <xf numFmtId="166" fontId="125" fillId="0" borderId="73" xfId="1" applyNumberFormat="1" applyFont="1" applyFill="1" applyBorder="1"/>
    <xf numFmtId="166" fontId="125" fillId="0" borderId="76" xfId="1" applyNumberFormat="1" applyFont="1" applyFill="1" applyBorder="1"/>
    <xf numFmtId="49" fontId="78" fillId="0" borderId="77" xfId="0" applyNumberFormat="1" applyFont="1" applyBorder="1" applyAlignment="1">
      <alignment horizontal="left"/>
    </xf>
    <xf numFmtId="0" fontId="78" fillId="0" borderId="77" xfId="0" applyFont="1" applyBorder="1" applyAlignment="1">
      <alignment wrapText="1"/>
    </xf>
    <xf numFmtId="49" fontId="78" fillId="0" borderId="101" xfId="0" applyNumberFormat="1" applyFont="1" applyBorder="1" applyAlignment="1">
      <alignment horizontal="left"/>
    </xf>
    <xf numFmtId="0" fontId="0" fillId="0" borderId="101" xfId="0" applyBorder="1"/>
    <xf numFmtId="0" fontId="78" fillId="0" borderId="78" xfId="0" applyFont="1" applyBorder="1"/>
    <xf numFmtId="0" fontId="78" fillId="0" borderId="94" xfId="0" applyFont="1" applyBorder="1"/>
    <xf numFmtId="49" fontId="78" fillId="0" borderId="94" xfId="0" applyNumberFormat="1" applyFont="1" applyBorder="1" applyAlignment="1">
      <alignment vertical="center" wrapText="1"/>
    </xf>
    <xf numFmtId="0" fontId="0" fillId="0" borderId="102" xfId="0" applyBorder="1"/>
    <xf numFmtId="0" fontId="0" fillId="0" borderId="102" xfId="0" applyBorder="1" applyAlignment="1">
      <alignment wrapText="1"/>
    </xf>
    <xf numFmtId="49" fontId="78" fillId="0" borderId="102" xfId="0" applyNumberFormat="1" applyFont="1" applyBorder="1" applyAlignment="1">
      <alignment wrapText="1"/>
    </xf>
    <xf numFmtId="0" fontId="78" fillId="0" borderId="102" xfId="0" applyFont="1" applyBorder="1" applyAlignment="1">
      <alignment wrapText="1"/>
    </xf>
    <xf numFmtId="166" fontId="75" fillId="0" borderId="102" xfId="1" applyNumberFormat="1" applyFont="1" applyBorder="1" applyAlignment="1">
      <alignment wrapText="1"/>
    </xf>
    <xf numFmtId="0" fontId="0" fillId="0" borderId="101" xfId="0" applyBorder="1" applyAlignment="1">
      <alignment wrapText="1"/>
    </xf>
    <xf numFmtId="49" fontId="78" fillId="0" borderId="101" xfId="0" applyNumberFormat="1" applyFont="1" applyBorder="1" applyAlignment="1">
      <alignment wrapText="1"/>
    </xf>
    <xf numFmtId="166" fontId="75" fillId="0" borderId="101" xfId="1" applyNumberFormat="1" applyFont="1" applyBorder="1" applyAlignment="1">
      <alignment wrapText="1"/>
    </xf>
    <xf numFmtId="0" fontId="0" fillId="0" borderId="104" xfId="0" applyBorder="1"/>
    <xf numFmtId="49" fontId="78" fillId="0" borderId="104" xfId="0" applyNumberFormat="1" applyFont="1" applyBorder="1" applyAlignment="1">
      <alignment horizontal="left"/>
    </xf>
    <xf numFmtId="0" fontId="78" fillId="0" borderId="104" xfId="0" applyFont="1" applyBorder="1" applyAlignment="1">
      <alignment wrapText="1"/>
    </xf>
    <xf numFmtId="166" fontId="75" fillId="0" borderId="104" xfId="1" applyNumberFormat="1" applyFont="1" applyBorder="1"/>
    <xf numFmtId="0" fontId="126" fillId="27" borderId="23" xfId="22" applyNumberFormat="1" applyFont="1" applyFill="1" applyBorder="1" applyAlignment="1">
      <alignment wrapText="1"/>
    </xf>
    <xf numFmtId="166" fontId="75" fillId="27" borderId="73" xfId="1" applyNumberFormat="1" applyFont="1" applyFill="1" applyBorder="1"/>
    <xf numFmtId="166" fontId="75" fillId="27" borderId="0" xfId="1" applyNumberFormat="1" applyFont="1" applyFill="1" applyBorder="1"/>
    <xf numFmtId="0" fontId="74" fillId="67" borderId="105" xfId="22" applyNumberFormat="1" applyFont="1" applyFill="1" applyBorder="1" applyAlignment="1">
      <alignment wrapText="1"/>
    </xf>
    <xf numFmtId="166" fontId="85" fillId="12" borderId="0" xfId="1" applyNumberFormat="1" applyFont="1" applyFill="1" applyBorder="1"/>
    <xf numFmtId="0" fontId="62" fillId="0" borderId="0" xfId="0" applyFont="1" applyAlignment="1">
      <alignment horizontal="right" wrapText="1"/>
    </xf>
    <xf numFmtId="166" fontId="85" fillId="12" borderId="0" xfId="0" applyNumberFormat="1" applyFont="1" applyFill="1"/>
    <xf numFmtId="166" fontId="73" fillId="0" borderId="0" xfId="1" applyNumberFormat="1" applyFont="1" applyAlignment="1">
      <alignment horizontal="left" vertical="center" wrapText="1"/>
    </xf>
    <xf numFmtId="9" fontId="69" fillId="0" borderId="0" xfId="2" applyFont="1" applyAlignment="1">
      <alignment horizontal="left"/>
    </xf>
    <xf numFmtId="0" fontId="87" fillId="10" borderId="100" xfId="248" applyFont="1" applyFill="1" applyBorder="1"/>
    <xf numFmtId="0" fontId="87" fillId="10" borderId="50" xfId="248" applyFont="1" applyFill="1" applyBorder="1"/>
    <xf numFmtId="0" fontId="106" fillId="10" borderId="100" xfId="248" applyFont="1" applyFill="1" applyBorder="1"/>
    <xf numFmtId="0" fontId="87" fillId="0" borderId="100" xfId="248" applyFont="1" applyBorder="1"/>
    <xf numFmtId="0" fontId="87" fillId="10" borderId="100" xfId="248" applyFont="1" applyFill="1" applyBorder="1" applyAlignment="1">
      <alignment wrapText="1"/>
    </xf>
    <xf numFmtId="0" fontId="106" fillId="10" borderId="100" xfId="248" applyFont="1" applyFill="1" applyBorder="1" applyAlignment="1">
      <alignment wrapText="1"/>
    </xf>
    <xf numFmtId="0" fontId="87" fillId="11" borderId="100" xfId="248" applyFont="1" applyFill="1" applyBorder="1"/>
    <xf numFmtId="0" fontId="87" fillId="11" borderId="100" xfId="248" applyFont="1" applyFill="1" applyBorder="1" applyAlignment="1">
      <alignment wrapText="1"/>
    </xf>
    <xf numFmtId="0" fontId="87" fillId="0" borderId="100" xfId="248" applyFont="1" applyBorder="1" applyAlignment="1">
      <alignment wrapText="1"/>
    </xf>
    <xf numFmtId="171" fontId="89" fillId="0" borderId="0" xfId="1" applyNumberFormat="1" applyFont="1"/>
    <xf numFmtId="166" fontId="149" fillId="0" borderId="0" xfId="1" applyNumberFormat="1" applyFont="1" applyAlignment="1">
      <alignment horizontal="right" wrapText="1"/>
    </xf>
    <xf numFmtId="0" fontId="0" fillId="0" borderId="74" xfId="0" applyBorder="1"/>
    <xf numFmtId="0" fontId="78" fillId="0" borderId="74" xfId="0" applyFont="1" applyBorder="1" applyAlignment="1">
      <alignment wrapText="1"/>
    </xf>
    <xf numFmtId="166" fontId="75" fillId="0" borderId="74" xfId="1" applyNumberFormat="1" applyFont="1" applyBorder="1"/>
    <xf numFmtId="0" fontId="75" fillId="0" borderId="93" xfId="0" applyFont="1" applyBorder="1"/>
    <xf numFmtId="166" fontId="78" fillId="0" borderId="73" xfId="1" applyNumberFormat="1" applyFont="1" applyBorder="1" applyAlignment="1">
      <alignment wrapText="1"/>
    </xf>
    <xf numFmtId="166" fontId="78" fillId="0" borderId="0" xfId="1" applyNumberFormat="1" applyFont="1" applyFill="1" applyBorder="1" applyAlignment="1">
      <alignment wrapText="1"/>
    </xf>
    <xf numFmtId="166" fontId="78" fillId="0" borderId="102" xfId="1" applyNumberFormat="1" applyFont="1" applyBorder="1" applyAlignment="1">
      <alignment wrapText="1"/>
    </xf>
    <xf numFmtId="166" fontId="78" fillId="0" borderId="103" xfId="1" applyNumberFormat="1" applyFont="1" applyFill="1" applyBorder="1" applyAlignment="1">
      <alignment wrapText="1"/>
    </xf>
    <xf numFmtId="166" fontId="78" fillId="0" borderId="94" xfId="1" applyNumberFormat="1" applyFont="1" applyFill="1" applyBorder="1" applyAlignment="1">
      <alignment wrapText="1"/>
    </xf>
    <xf numFmtId="166" fontId="78" fillId="0" borderId="89" xfId="1" applyNumberFormat="1" applyFont="1" applyFill="1" applyBorder="1"/>
    <xf numFmtId="166" fontId="78" fillId="0" borderId="78" xfId="1" applyNumberFormat="1" applyFont="1" applyFill="1" applyBorder="1"/>
    <xf numFmtId="166" fontId="78" fillId="0" borderId="77" xfId="1" applyNumberFormat="1" applyFont="1" applyBorder="1"/>
    <xf numFmtId="166" fontId="78" fillId="0" borderId="74" xfId="1" applyNumberFormat="1" applyFont="1" applyBorder="1"/>
    <xf numFmtId="166" fontId="78" fillId="0" borderId="93" xfId="1" applyNumberFormat="1" applyFont="1" applyBorder="1"/>
    <xf numFmtId="166" fontId="78" fillId="0" borderId="93" xfId="1" applyNumberFormat="1" applyFont="1" applyFill="1" applyBorder="1"/>
    <xf numFmtId="166" fontId="78" fillId="0" borderId="77" xfId="1" applyNumberFormat="1" applyFont="1" applyFill="1" applyBorder="1"/>
    <xf numFmtId="166" fontId="78" fillId="0" borderId="106" xfId="1" applyNumberFormat="1" applyFont="1" applyFill="1" applyBorder="1"/>
    <xf numFmtId="166" fontId="78" fillId="0" borderId="104" xfId="1" applyNumberFormat="1" applyFont="1" applyBorder="1"/>
    <xf numFmtId="166" fontId="78" fillId="0" borderId="103" xfId="1" applyNumberFormat="1" applyFont="1" applyFill="1" applyBorder="1"/>
    <xf numFmtId="166" fontId="78" fillId="0" borderId="104" xfId="1" applyNumberFormat="1" applyFont="1" applyFill="1" applyBorder="1"/>
    <xf numFmtId="166" fontId="78" fillId="0" borderId="78" xfId="1" applyNumberFormat="1" applyFont="1" applyFill="1" applyBorder="1" applyAlignment="1">
      <alignment wrapText="1"/>
    </xf>
    <xf numFmtId="166" fontId="78" fillId="0" borderId="73" xfId="1" applyNumberFormat="1" applyFont="1" applyFill="1" applyBorder="1" applyAlignment="1">
      <alignment wrapText="1"/>
    </xf>
    <xf numFmtId="166" fontId="78" fillId="0" borderId="89" xfId="1" applyNumberFormat="1" applyFont="1" applyFill="1" applyBorder="1" applyAlignment="1">
      <alignment wrapText="1"/>
    </xf>
    <xf numFmtId="166" fontId="78" fillId="0" borderId="76" xfId="1" applyNumberFormat="1" applyFont="1" applyFill="1" applyBorder="1" applyAlignment="1">
      <alignment wrapText="1"/>
    </xf>
    <xf numFmtId="0" fontId="78" fillId="0" borderId="77" xfId="0" applyFont="1" applyBorder="1"/>
    <xf numFmtId="0" fontId="74" fillId="68" borderId="23" xfId="22" applyNumberFormat="1" applyFont="1" applyFill="1" applyBorder="1" applyAlignment="1">
      <alignment wrapText="1"/>
    </xf>
    <xf numFmtId="0" fontId="68" fillId="14" borderId="100" xfId="22" applyNumberFormat="1" applyFont="1" applyFill="1" applyBorder="1" applyAlignment="1">
      <alignment wrapText="1"/>
    </xf>
    <xf numFmtId="0" fontId="74" fillId="68" borderId="100" xfId="22" applyNumberFormat="1" applyFont="1" applyFill="1" applyBorder="1" applyAlignment="1">
      <alignment wrapText="1"/>
    </xf>
    <xf numFmtId="0" fontId="74" fillId="68" borderId="26" xfId="248" applyFont="1" applyFill="1" applyBorder="1" applyAlignment="1">
      <alignment horizontal="left" vertical="center" wrapText="1"/>
    </xf>
    <xf numFmtId="0" fontId="74" fillId="68" borderId="23" xfId="248" applyFont="1" applyFill="1" applyBorder="1" applyAlignment="1">
      <alignment horizontal="left" vertical="center" wrapText="1"/>
    </xf>
    <xf numFmtId="166" fontId="85" fillId="10" borderId="0" xfId="0" applyNumberFormat="1" applyFont="1" applyFill="1"/>
    <xf numFmtId="166" fontId="85" fillId="11" borderId="0" xfId="0" applyNumberFormat="1" applyFont="1" applyFill="1"/>
    <xf numFmtId="166" fontId="85" fillId="64" borderId="0" xfId="0" applyNumberFormat="1" applyFont="1" applyFill="1"/>
    <xf numFmtId="0" fontId="0" fillId="5" borderId="108" xfId="0" applyFill="1" applyBorder="1"/>
    <xf numFmtId="0" fontId="0" fillId="5" borderId="109" xfId="0" applyFill="1" applyBorder="1"/>
    <xf numFmtId="0" fontId="0" fillId="5" borderId="88" xfId="0" applyFill="1" applyBorder="1"/>
    <xf numFmtId="0" fontId="154" fillId="5" borderId="96" xfId="0" applyFont="1" applyFill="1" applyBorder="1" applyAlignment="1">
      <alignment horizontal="right"/>
    </xf>
    <xf numFmtId="166" fontId="154" fillId="0" borderId="97" xfId="1" applyNumberFormat="1" applyFont="1" applyBorder="1"/>
    <xf numFmtId="0" fontId="154" fillId="0" borderId="0" xfId="0" applyFont="1"/>
    <xf numFmtId="166" fontId="154" fillId="0" borderId="73" xfId="1" applyNumberFormat="1" applyFont="1" applyBorder="1"/>
    <xf numFmtId="0" fontId="121" fillId="0" borderId="0" xfId="0" applyFont="1" applyAlignment="1">
      <alignment horizontal="right"/>
    </xf>
    <xf numFmtId="166" fontId="81" fillId="0" borderId="0" xfId="1" applyNumberFormat="1" applyFont="1" applyFill="1" applyBorder="1"/>
    <xf numFmtId="166" fontId="81" fillId="0" borderId="0" xfId="0" applyNumberFormat="1" applyFont="1" applyAlignment="1">
      <alignment horizontal="center" wrapText="1"/>
    </xf>
    <xf numFmtId="166" fontId="62" fillId="0" borderId="0" xfId="1" applyNumberFormat="1" applyFont="1"/>
    <xf numFmtId="171" fontId="152" fillId="0" borderId="0" xfId="1" applyNumberFormat="1" applyFont="1" applyBorder="1"/>
    <xf numFmtId="0" fontId="142" fillId="0" borderId="0" xfId="0" applyFont="1" applyAlignment="1">
      <alignment horizontal="right"/>
    </xf>
    <xf numFmtId="0" fontId="67" fillId="0" borderId="0" xfId="0" applyFont="1" applyAlignment="1">
      <alignment horizontal="right"/>
    </xf>
    <xf numFmtId="0" fontId="67" fillId="0" borderId="71" xfId="0" applyFont="1" applyBorder="1" applyAlignment="1">
      <alignment horizontal="right"/>
    </xf>
    <xf numFmtId="171" fontId="64" fillId="0" borderId="71" xfId="1" applyNumberFormat="1" applyFont="1" applyFill="1" applyBorder="1" applyAlignment="1">
      <alignment horizontal="right"/>
    </xf>
    <xf numFmtId="0" fontId="69" fillId="0" borderId="71" xfId="0" applyFont="1" applyBorder="1" applyAlignment="1">
      <alignment horizontal="right"/>
    </xf>
    <xf numFmtId="175" fontId="140" fillId="18" borderId="0" xfId="1" applyNumberFormat="1" applyFont="1" applyFill="1" applyBorder="1"/>
    <xf numFmtId="171" fontId="133" fillId="15" borderId="0" xfId="1" applyNumberFormat="1" applyFont="1" applyFill="1" applyBorder="1"/>
    <xf numFmtId="0" fontId="62" fillId="15" borderId="0" xfId="0" applyFont="1" applyFill="1" applyAlignment="1">
      <alignment horizontal="right"/>
    </xf>
    <xf numFmtId="166" fontId="78" fillId="26" borderId="73" xfId="1" applyNumberFormat="1" applyFont="1" applyFill="1" applyBorder="1"/>
    <xf numFmtId="166" fontId="62" fillId="0" borderId="0" xfId="1" applyNumberFormat="1" applyFont="1" applyBorder="1"/>
    <xf numFmtId="175" fontId="85" fillId="60" borderId="0" xfId="1" applyNumberFormat="1" applyFont="1" applyFill="1" applyBorder="1"/>
    <xf numFmtId="0" fontId="78" fillId="0" borderId="74" xfId="0" applyFont="1" applyBorder="1"/>
    <xf numFmtId="0" fontId="0" fillId="14" borderId="111" xfId="0" applyFill="1" applyBorder="1"/>
    <xf numFmtId="0" fontId="78" fillId="14" borderId="111" xfId="0" applyFont="1" applyFill="1" applyBorder="1"/>
    <xf numFmtId="0" fontId="74" fillId="14" borderId="112" xfId="22" applyNumberFormat="1" applyFont="1" applyFill="1" applyBorder="1" applyAlignment="1">
      <alignment wrapText="1"/>
    </xf>
    <xf numFmtId="166" fontId="125" fillId="14" borderId="111" xfId="1" applyNumberFormat="1" applyFont="1" applyFill="1" applyBorder="1"/>
    <xf numFmtId="166" fontId="75" fillId="14" borderId="113" xfId="1" applyNumberFormat="1" applyFont="1" applyFill="1" applyBorder="1"/>
    <xf numFmtId="166" fontId="75" fillId="14" borderId="111" xfId="1" applyNumberFormat="1" applyFont="1" applyFill="1" applyBorder="1"/>
    <xf numFmtId="166" fontId="75" fillId="14" borderId="110" xfId="1" applyNumberFormat="1" applyFont="1" applyFill="1" applyBorder="1"/>
    <xf numFmtId="166" fontId="78" fillId="0" borderId="73" xfId="1" applyNumberFormat="1" applyFont="1" applyBorder="1" applyAlignment="1">
      <alignment horizontal="center" wrapText="1"/>
    </xf>
    <xf numFmtId="166" fontId="125" fillId="26" borderId="73" xfId="1" applyNumberFormat="1" applyFont="1" applyFill="1" applyBorder="1"/>
    <xf numFmtId="166" fontId="78" fillId="26" borderId="77" xfId="1" applyNumberFormat="1" applyFont="1" applyFill="1" applyBorder="1"/>
    <xf numFmtId="0" fontId="78" fillId="19" borderId="73" xfId="0" applyFont="1" applyFill="1" applyBorder="1" applyAlignment="1">
      <alignment wrapText="1"/>
    </xf>
    <xf numFmtId="166" fontId="78" fillId="11" borderId="73" xfId="0" applyNumberFormat="1" applyFont="1" applyFill="1" applyBorder="1" applyAlignment="1">
      <alignment horizontal="center" wrapText="1"/>
    </xf>
    <xf numFmtId="0" fontId="0" fillId="0" borderId="111" xfId="0" applyBorder="1"/>
    <xf numFmtId="0" fontId="78" fillId="0" borderId="111" xfId="0" applyFont="1" applyBorder="1"/>
    <xf numFmtId="166" fontId="75" fillId="0" borderId="111" xfId="1" applyNumberFormat="1" applyFont="1" applyFill="1" applyBorder="1"/>
    <xf numFmtId="166" fontId="75" fillId="0" borderId="110" xfId="1" applyNumberFormat="1" applyFont="1" applyFill="1" applyBorder="1"/>
    <xf numFmtId="166" fontId="78" fillId="0" borderId="71" xfId="1" applyNumberFormat="1" applyFont="1" applyFill="1" applyBorder="1"/>
    <xf numFmtId="166" fontId="78" fillId="0" borderId="101" xfId="1" applyNumberFormat="1" applyFont="1" applyFill="1" applyBorder="1"/>
    <xf numFmtId="166" fontId="75" fillId="0" borderId="101" xfId="1" applyNumberFormat="1" applyFont="1" applyBorder="1"/>
    <xf numFmtId="0" fontId="136" fillId="0" borderId="0" xfId="0" applyFont="1"/>
    <xf numFmtId="0" fontId="136" fillId="0" borderId="0" xfId="0" applyFont="1" applyAlignment="1">
      <alignment wrapText="1"/>
    </xf>
    <xf numFmtId="0" fontId="136" fillId="0" borderId="73" xfId="0" applyFont="1" applyBorder="1"/>
    <xf numFmtId="0" fontId="136" fillId="10" borderId="0" xfId="0" applyFont="1" applyFill="1"/>
    <xf numFmtId="166" fontId="56" fillId="0" borderId="0" xfId="1" applyNumberFormat="1" applyFont="1"/>
    <xf numFmtId="3" fontId="50" fillId="0" borderId="45" xfId="43" applyNumberFormat="1" applyFont="1" applyBorder="1"/>
    <xf numFmtId="3" fontId="50" fillId="0" borderId="83" xfId="43" applyNumberFormat="1" applyFont="1" applyBorder="1"/>
    <xf numFmtId="3" fontId="56" fillId="0" borderId="11" xfId="43" applyNumberFormat="1" applyFont="1" applyBorder="1"/>
    <xf numFmtId="3" fontId="56" fillId="3" borderId="7" xfId="43" applyNumberFormat="1" applyFont="1" applyFill="1" applyBorder="1"/>
    <xf numFmtId="3" fontId="50" fillId="5" borderId="45" xfId="43" applyNumberFormat="1" applyFont="1" applyFill="1" applyBorder="1"/>
    <xf numFmtId="3" fontId="50" fillId="12" borderId="7" xfId="43" applyNumberFormat="1" applyFont="1" applyFill="1" applyBorder="1"/>
    <xf numFmtId="0" fontId="0" fillId="0" borderId="74" xfId="0" applyBorder="1" applyAlignment="1">
      <alignment wrapText="1"/>
    </xf>
    <xf numFmtId="166" fontId="75" fillId="0" borderId="74" xfId="1" applyNumberFormat="1" applyFont="1" applyBorder="1" applyAlignment="1">
      <alignment wrapText="1"/>
    </xf>
    <xf numFmtId="166" fontId="78" fillId="11" borderId="78" xfId="1" applyNumberFormat="1" applyFont="1" applyFill="1" applyBorder="1"/>
    <xf numFmtId="166" fontId="78" fillId="11" borderId="77" xfId="1" applyNumberFormat="1" applyFont="1" applyFill="1" applyBorder="1"/>
    <xf numFmtId="0" fontId="48" fillId="6" borderId="49" xfId="43" applyFont="1" applyFill="1" applyBorder="1" applyAlignment="1">
      <alignment horizontal="left" wrapText="1" indent="2"/>
    </xf>
    <xf numFmtId="49" fontId="48" fillId="0" borderId="49" xfId="43" applyNumberFormat="1" applyFont="1" applyBorder="1" applyAlignment="1">
      <alignment horizontal="left" wrapText="1" indent="4"/>
    </xf>
    <xf numFmtId="0" fontId="48" fillId="3" borderId="49" xfId="43" applyFont="1" applyFill="1" applyBorder="1" applyAlignment="1">
      <alignment horizontal="left" wrapText="1" indent="2"/>
    </xf>
    <xf numFmtId="49" fontId="48" fillId="0" borderId="49" xfId="43" applyNumberFormat="1" applyFont="1" applyBorder="1" applyAlignment="1">
      <alignment horizontal="left" wrapText="1" indent="2"/>
    </xf>
    <xf numFmtId="0" fontId="48" fillId="5" borderId="51" xfId="43" applyFont="1" applyFill="1" applyBorder="1" applyAlignment="1">
      <alignment horizontal="left" indent="3"/>
    </xf>
    <xf numFmtId="49" fontId="48" fillId="3" borderId="49" xfId="43" applyNumberFormat="1" applyFont="1" applyFill="1" applyBorder="1" applyAlignment="1">
      <alignment horizontal="left" wrapText="1" indent="2"/>
    </xf>
    <xf numFmtId="166" fontId="78" fillId="11" borderId="73" xfId="1" applyNumberFormat="1" applyFont="1" applyFill="1" applyBorder="1"/>
    <xf numFmtId="166" fontId="125" fillId="11" borderId="73" xfId="1" applyNumberFormat="1" applyFont="1" applyFill="1" applyBorder="1"/>
    <xf numFmtId="0" fontId="1" fillId="0" borderId="0" xfId="43" applyFont="1"/>
    <xf numFmtId="166" fontId="78" fillId="69" borderId="78" xfId="1" applyNumberFormat="1" applyFont="1" applyFill="1" applyBorder="1"/>
    <xf numFmtId="0" fontId="78" fillId="0" borderId="77" xfId="0" applyFont="1" applyBorder="1" applyAlignment="1">
      <alignment horizontal="left" wrapText="1" indent="2"/>
    </xf>
    <xf numFmtId="49" fontId="78" fillId="0" borderId="74" xfId="0" applyNumberFormat="1" applyFont="1" applyBorder="1" applyAlignment="1">
      <alignment horizontal="left"/>
    </xf>
    <xf numFmtId="0" fontId="0" fillId="0" borderId="115" xfId="0" applyBorder="1"/>
    <xf numFmtId="49" fontId="78" fillId="0" borderId="115" xfId="0" applyNumberFormat="1" applyFont="1" applyBorder="1" applyAlignment="1">
      <alignment horizontal="left"/>
    </xf>
    <xf numFmtId="0" fontId="78" fillId="0" borderId="115" xfId="0" applyFont="1" applyBorder="1" applyAlignment="1">
      <alignment wrapText="1"/>
    </xf>
    <xf numFmtId="166" fontId="78" fillId="0" borderId="115" xfId="1" applyNumberFormat="1" applyFont="1" applyBorder="1"/>
    <xf numFmtId="166" fontId="78" fillId="0" borderId="116" xfId="1" applyNumberFormat="1" applyFont="1" applyFill="1" applyBorder="1"/>
    <xf numFmtId="0" fontId="48" fillId="61" borderId="49" xfId="43" applyFont="1" applyFill="1" applyBorder="1" applyAlignment="1">
      <alignment horizontal="left" wrapText="1" indent="2"/>
    </xf>
    <xf numFmtId="49" fontId="48" fillId="3" borderId="59" xfId="43" applyNumberFormat="1" applyFont="1" applyFill="1" applyBorder="1" applyAlignment="1">
      <alignment horizontal="left" wrapText="1" indent="2"/>
    </xf>
    <xf numFmtId="0" fontId="48" fillId="0" borderId="65" xfId="43" applyFont="1" applyBorder="1" applyAlignment="1">
      <alignment horizontal="left" wrapText="1" indent="2"/>
    </xf>
    <xf numFmtId="49" fontId="48" fillId="3" borderId="70" xfId="43" applyNumberFormat="1" applyFont="1" applyFill="1" applyBorder="1" applyAlignment="1">
      <alignment horizontal="left" wrapText="1" indent="2"/>
    </xf>
    <xf numFmtId="49" fontId="48" fillId="3" borderId="65" xfId="43" applyNumberFormat="1" applyFont="1" applyFill="1" applyBorder="1" applyAlignment="1">
      <alignment horizontal="left" wrapText="1" indent="2"/>
    </xf>
    <xf numFmtId="3" fontId="48" fillId="0" borderId="44" xfId="43" applyNumberFormat="1" applyFont="1" applyBorder="1"/>
    <xf numFmtId="3" fontId="61" fillId="0" borderId="45" xfId="43" applyNumberFormat="1" applyFont="1" applyBorder="1"/>
    <xf numFmtId="0" fontId="48" fillId="5" borderId="53" xfId="43" applyFont="1" applyFill="1" applyBorder="1" applyAlignment="1">
      <alignment horizontal="left" indent="3"/>
    </xf>
    <xf numFmtId="0" fontId="48" fillId="0" borderId="51" xfId="43" applyFont="1" applyBorder="1" applyAlignment="1">
      <alignment horizontal="left" indent="3"/>
    </xf>
    <xf numFmtId="49" fontId="53" fillId="4" borderId="49" xfId="43" applyNumberFormat="1" applyFont="1" applyFill="1" applyBorder="1" applyAlignment="1">
      <alignment wrapText="1"/>
    </xf>
    <xf numFmtId="0" fontId="125" fillId="0" borderId="0" xfId="0" applyFont="1" applyAlignment="1">
      <alignment horizontal="center" wrapText="1"/>
    </xf>
    <xf numFmtId="166" fontId="125" fillId="0" borderId="73" xfId="0" applyNumberFormat="1" applyFont="1" applyBorder="1" applyAlignment="1">
      <alignment horizontal="center" wrapText="1"/>
    </xf>
    <xf numFmtId="0" fontId="50" fillId="0" borderId="0" xfId="43" quotePrefix="1" applyFont="1"/>
    <xf numFmtId="0" fontId="48" fillId="5" borderId="49" xfId="43" applyFont="1" applyFill="1" applyBorder="1" applyAlignment="1">
      <alignment horizontal="left" wrapText="1" indent="3"/>
    </xf>
    <xf numFmtId="0" fontId="48" fillId="0" borderId="49" xfId="43" applyFont="1" applyBorder="1" applyAlignment="1">
      <alignment horizontal="left" wrapText="1" indent="3"/>
    </xf>
    <xf numFmtId="166" fontId="125" fillId="26" borderId="73" xfId="0" applyNumberFormat="1" applyFont="1" applyFill="1" applyBorder="1" applyAlignment="1">
      <alignment horizontal="center" wrapText="1"/>
    </xf>
    <xf numFmtId="0" fontId="48" fillId="5" borderId="114" xfId="43" applyFont="1" applyFill="1" applyBorder="1" applyAlignment="1">
      <alignment horizontal="left" wrapText="1" indent="3"/>
    </xf>
    <xf numFmtId="9" fontId="48" fillId="0" borderId="83" xfId="4" applyFont="1" applyFill="1" applyBorder="1" applyAlignment="1">
      <alignment wrapText="1"/>
    </xf>
    <xf numFmtId="0" fontId="48" fillId="0" borderId="59" xfId="43" applyFont="1" applyBorder="1" applyAlignment="1">
      <alignment horizontal="left" wrapText="1" indent="3"/>
    </xf>
    <xf numFmtId="0" fontId="48" fillId="0" borderId="114" xfId="43" applyFont="1" applyBorder="1" applyAlignment="1">
      <alignment horizontal="left" wrapText="1" indent="3"/>
    </xf>
    <xf numFmtId="9" fontId="48" fillId="0" borderId="86" xfId="4" applyFont="1" applyFill="1" applyBorder="1"/>
    <xf numFmtId="0" fontId="125" fillId="0" borderId="73" xfId="0" applyFont="1" applyBorder="1" applyAlignment="1">
      <alignment horizontal="left" wrapText="1"/>
    </xf>
    <xf numFmtId="0" fontId="125" fillId="0" borderId="73" xfId="0" applyFont="1" applyBorder="1" applyAlignment="1">
      <alignment wrapText="1"/>
    </xf>
    <xf numFmtId="9" fontId="48" fillId="3" borderId="83" xfId="4" applyFont="1" applyFill="1" applyBorder="1" applyAlignment="1">
      <alignment wrapText="1"/>
    </xf>
    <xf numFmtId="9" fontId="48" fillId="3" borderId="83" xfId="2" applyFont="1" applyFill="1" applyBorder="1"/>
    <xf numFmtId="49" fontId="53" fillId="3" borderId="49" xfId="43" applyNumberFormat="1" applyFont="1" applyFill="1" applyBorder="1" applyAlignment="1">
      <alignment horizontal="left" wrapText="1" indent="2"/>
    </xf>
    <xf numFmtId="49" fontId="48" fillId="0" borderId="69" xfId="43" applyNumberFormat="1" applyFont="1" applyBorder="1" applyAlignment="1">
      <alignment horizontal="left" wrapText="1" indent="4"/>
    </xf>
    <xf numFmtId="0" fontId="48" fillId="5" borderId="59" xfId="43" applyFont="1" applyFill="1" applyBorder="1" applyAlignment="1">
      <alignment horizontal="left" wrapText="1" indent="3"/>
    </xf>
    <xf numFmtId="0" fontId="125" fillId="19" borderId="73" xfId="0" applyFont="1" applyFill="1" applyBorder="1" applyAlignment="1">
      <alignment wrapText="1"/>
    </xf>
    <xf numFmtId="166" fontId="125" fillId="0" borderId="73" xfId="1" applyNumberFormat="1" applyFont="1" applyBorder="1" applyAlignment="1">
      <alignment wrapText="1"/>
    </xf>
    <xf numFmtId="166" fontId="125" fillId="0" borderId="0" xfId="1" applyNumberFormat="1" applyFont="1" applyFill="1"/>
    <xf numFmtId="0" fontId="48" fillId="61" borderId="49" xfId="43" applyFont="1" applyFill="1" applyBorder="1" applyAlignment="1">
      <alignment horizontal="left" wrapText="1" indent="3"/>
    </xf>
    <xf numFmtId="49" fontId="48" fillId="0" borderId="70" xfId="43" applyNumberFormat="1" applyFont="1" applyBorder="1" applyAlignment="1">
      <alignment horizontal="left" wrapText="1" indent="4"/>
    </xf>
    <xf numFmtId="49" fontId="48" fillId="22" borderId="54" xfId="43" applyNumberFormat="1" applyFont="1" applyFill="1" applyBorder="1" applyAlignment="1">
      <alignment horizontal="left" wrapText="1" indent="4"/>
    </xf>
    <xf numFmtId="166" fontId="48" fillId="0" borderId="70" xfId="1" applyNumberFormat="1" applyFont="1" applyBorder="1"/>
    <xf numFmtId="0" fontId="48" fillId="5" borderId="70" xfId="43" applyFont="1" applyFill="1" applyBorder="1" applyAlignment="1">
      <alignment horizontal="left" wrapText="1" indent="3"/>
    </xf>
    <xf numFmtId="0" fontId="125" fillId="0" borderId="73" xfId="0" applyFont="1" applyBorder="1"/>
    <xf numFmtId="49" fontId="48" fillId="0" borderId="67" xfId="43" applyNumberFormat="1" applyFont="1" applyBorder="1" applyAlignment="1">
      <alignment horizontal="left" wrapText="1" indent="4"/>
    </xf>
    <xf numFmtId="166" fontId="48" fillId="0" borderId="81" xfId="1" applyNumberFormat="1" applyFont="1" applyBorder="1"/>
    <xf numFmtId="49" fontId="48" fillId="0" borderId="82" xfId="43" applyNumberFormat="1" applyFont="1" applyBorder="1" applyAlignment="1">
      <alignment horizontal="left" indent="2"/>
    </xf>
    <xf numFmtId="49" fontId="48" fillId="0" borderId="114" xfId="43" applyNumberFormat="1" applyFont="1" applyBorder="1" applyAlignment="1">
      <alignment horizontal="left" wrapText="1" indent="4"/>
    </xf>
    <xf numFmtId="0" fontId="48" fillId="0" borderId="59" xfId="43" applyFont="1" applyBorder="1" applyAlignment="1">
      <alignment horizontal="left" wrapText="1" indent="2"/>
    </xf>
    <xf numFmtId="49" fontId="53" fillId="3" borderId="59" xfId="43" applyNumberFormat="1" applyFont="1" applyFill="1" applyBorder="1" applyAlignment="1">
      <alignment horizontal="left" wrapText="1" indent="2"/>
    </xf>
    <xf numFmtId="0" fontId="125" fillId="0" borderId="73" xfId="0" quotePrefix="1" applyFont="1" applyBorder="1" applyAlignment="1">
      <alignment wrapText="1"/>
    </xf>
    <xf numFmtId="0" fontId="125" fillId="0" borderId="94" xfId="0" applyFont="1" applyBorder="1" applyAlignment="1">
      <alignment wrapText="1"/>
    </xf>
    <xf numFmtId="166" fontId="125" fillId="0" borderId="94" xfId="1" applyNumberFormat="1" applyFont="1" applyFill="1" applyBorder="1" applyAlignment="1">
      <alignment wrapText="1"/>
    </xf>
    <xf numFmtId="166" fontId="125" fillId="0" borderId="95" xfId="1" applyNumberFormat="1" applyFont="1" applyFill="1" applyBorder="1" applyAlignment="1">
      <alignment wrapText="1"/>
    </xf>
    <xf numFmtId="0" fontId="125" fillId="0" borderId="78" xfId="0" applyFont="1" applyBorder="1" applyAlignment="1">
      <alignment wrapText="1"/>
    </xf>
    <xf numFmtId="166" fontId="125" fillId="0" borderId="78" xfId="1" applyNumberFormat="1" applyFont="1" applyFill="1" applyBorder="1"/>
    <xf numFmtId="166" fontId="125" fillId="0" borderId="78" xfId="1" applyNumberFormat="1" applyFont="1" applyBorder="1"/>
    <xf numFmtId="166" fontId="125" fillId="0" borderId="78" xfId="1" applyNumberFormat="1" applyFont="1" applyBorder="1" applyAlignment="1">
      <alignment wrapText="1"/>
    </xf>
    <xf numFmtId="166" fontId="125" fillId="0" borderId="77" xfId="1" applyNumberFormat="1" applyFont="1" applyFill="1" applyBorder="1" applyAlignment="1"/>
    <xf numFmtId="49" fontId="48" fillId="0" borderId="65" xfId="43" applyNumberFormat="1" applyFont="1" applyBorder="1" applyAlignment="1">
      <alignment horizontal="left" wrapText="1" indent="4"/>
    </xf>
    <xf numFmtId="0" fontId="125" fillId="0" borderId="77" xfId="0" applyFont="1" applyBorder="1" applyAlignment="1">
      <alignment wrapText="1"/>
    </xf>
    <xf numFmtId="166" fontId="125" fillId="0" borderId="77" xfId="1" applyNumberFormat="1" applyFont="1" applyBorder="1"/>
    <xf numFmtId="0" fontId="125" fillId="0" borderId="89" xfId="0" applyFont="1" applyBorder="1" applyAlignment="1">
      <alignment wrapText="1"/>
    </xf>
    <xf numFmtId="166" fontId="125" fillId="0" borderId="89" xfId="1" applyNumberFormat="1" applyFont="1" applyBorder="1"/>
    <xf numFmtId="166" fontId="125" fillId="0" borderId="0" xfId="1" applyNumberFormat="1" applyFont="1" applyFill="1" applyBorder="1" applyAlignment="1">
      <alignment horizontal="center"/>
    </xf>
    <xf numFmtId="166" fontId="125" fillId="0" borderId="73" xfId="1" applyNumberFormat="1" applyFont="1" applyBorder="1" applyAlignment="1"/>
    <xf numFmtId="166" fontId="125" fillId="0" borderId="89" xfId="1" applyNumberFormat="1" applyFont="1" applyBorder="1" applyAlignment="1">
      <alignment wrapText="1"/>
    </xf>
    <xf numFmtId="166" fontId="125" fillId="0" borderId="89" xfId="1" applyNumberFormat="1" applyFont="1" applyFill="1" applyBorder="1"/>
    <xf numFmtId="0" fontId="125" fillId="0" borderId="78" xfId="0" applyFont="1" applyBorder="1" applyAlignment="1">
      <alignment horizontal="left" wrapText="1"/>
    </xf>
    <xf numFmtId="0" fontId="125" fillId="0" borderId="89" xfId="0" applyFont="1" applyBorder="1" applyAlignment="1">
      <alignment horizontal="left" wrapText="1"/>
    </xf>
    <xf numFmtId="166" fontId="125" fillId="19" borderId="73" xfId="1" applyNumberFormat="1" applyFont="1" applyFill="1" applyBorder="1"/>
    <xf numFmtId="0" fontId="131" fillId="20" borderId="73" xfId="0" applyFont="1" applyFill="1" applyBorder="1" applyAlignment="1">
      <alignment wrapText="1"/>
    </xf>
    <xf numFmtId="166" fontId="131" fillId="20" borderId="73" xfId="1" applyNumberFormat="1" applyFont="1" applyFill="1" applyBorder="1"/>
    <xf numFmtId="166" fontId="131" fillId="20" borderId="0" xfId="1" applyNumberFormat="1" applyFont="1" applyFill="1" applyBorder="1"/>
    <xf numFmtId="166" fontId="125" fillId="20" borderId="73" xfId="1" applyNumberFormat="1" applyFont="1" applyFill="1" applyBorder="1"/>
    <xf numFmtId="0" fontId="125" fillId="0" borderId="73" xfId="0" applyFont="1" applyBorder="1" applyAlignment="1">
      <alignment horizontal="left" indent="2"/>
    </xf>
    <xf numFmtId="0" fontId="125" fillId="0" borderId="73" xfId="0" applyFont="1" applyBorder="1" applyAlignment="1">
      <alignment horizontal="left" wrapText="1" indent="2"/>
    </xf>
    <xf numFmtId="166" fontId="125" fillId="0" borderId="73" xfId="1" applyNumberFormat="1" applyFont="1" applyFill="1" applyBorder="1" applyAlignment="1">
      <alignment wrapText="1"/>
    </xf>
    <xf numFmtId="0" fontId="125" fillId="0" borderId="89" xfId="0" applyFont="1" applyBorder="1" applyAlignment="1">
      <alignment horizontal="left" indent="2"/>
    </xf>
    <xf numFmtId="166" fontId="125" fillId="20" borderId="0" xfId="1" applyNumberFormat="1" applyFont="1" applyFill="1" applyBorder="1"/>
    <xf numFmtId="0" fontId="125" fillId="0" borderId="94" xfId="0" applyFont="1" applyBorder="1" applyAlignment="1">
      <alignment horizontal="left" wrapText="1"/>
    </xf>
    <xf numFmtId="166" fontId="125" fillId="0" borderId="94" xfId="1" applyNumberFormat="1" applyFont="1" applyFill="1" applyBorder="1"/>
    <xf numFmtId="166" fontId="125" fillId="0" borderId="95" xfId="1" applyNumberFormat="1" applyFont="1" applyFill="1" applyBorder="1"/>
    <xf numFmtId="0" fontId="48" fillId="5" borderId="49" xfId="43" applyFont="1" applyFill="1" applyBorder="1" applyAlignment="1">
      <alignment horizontal="left" indent="2"/>
    </xf>
    <xf numFmtId="0" fontId="61" fillId="5" borderId="70" xfId="43" applyFont="1" applyFill="1" applyBorder="1" applyAlignment="1">
      <alignment horizontal="left" wrapText="1" indent="6"/>
    </xf>
    <xf numFmtId="0" fontId="61" fillId="0" borderId="0" xfId="43" applyFont="1"/>
    <xf numFmtId="49" fontId="53" fillId="4" borderId="42" xfId="43" applyNumberFormat="1" applyFont="1" applyFill="1" applyBorder="1" applyAlignment="1">
      <alignment wrapText="1"/>
    </xf>
    <xf numFmtId="49" fontId="48" fillId="0" borderId="65" xfId="43" applyNumberFormat="1" applyFont="1" applyBorder="1" applyAlignment="1">
      <alignment horizontal="left" wrapText="1" indent="2"/>
    </xf>
    <xf numFmtId="0" fontId="125" fillId="0" borderId="101" xfId="0" applyFont="1" applyBorder="1" applyAlignment="1">
      <alignment wrapText="1"/>
    </xf>
    <xf numFmtId="166" fontId="125" fillId="0" borderId="101" xfId="1" applyNumberFormat="1" applyFont="1" applyBorder="1" applyAlignment="1">
      <alignment wrapText="1"/>
    </xf>
    <xf numFmtId="166" fontId="125" fillId="0" borderId="71" xfId="1" applyNumberFormat="1" applyFont="1" applyFill="1" applyBorder="1" applyAlignment="1">
      <alignment wrapText="1"/>
    </xf>
    <xf numFmtId="0" fontId="125" fillId="0" borderId="74" xfId="0" applyFont="1" applyBorder="1" applyAlignment="1">
      <alignment wrapText="1"/>
    </xf>
    <xf numFmtId="166" fontId="125" fillId="0" borderId="74" xfId="1" applyNumberFormat="1" applyFont="1" applyBorder="1" applyAlignment="1">
      <alignment wrapText="1"/>
    </xf>
    <xf numFmtId="166" fontId="125" fillId="0" borderId="0" xfId="1" applyNumberFormat="1" applyFont="1" applyFill="1" applyBorder="1" applyAlignment="1">
      <alignment wrapText="1"/>
    </xf>
    <xf numFmtId="0" fontId="94" fillId="0" borderId="112" xfId="22" applyNumberFormat="1" applyFont="1" applyFill="1" applyBorder="1" applyAlignment="1">
      <alignment wrapText="1"/>
    </xf>
    <xf numFmtId="166" fontId="125" fillId="0" borderId="111" xfId="1" applyNumberFormat="1" applyFont="1" applyFill="1" applyBorder="1"/>
    <xf numFmtId="166" fontId="125" fillId="0" borderId="113" xfId="1" applyNumberFormat="1" applyFont="1" applyFill="1" applyBorder="1"/>
    <xf numFmtId="0" fontId="125" fillId="0" borderId="89" xfId="0" applyFont="1" applyBorder="1" applyAlignment="1">
      <alignment horizontal="left" wrapText="1" indent="2"/>
    </xf>
    <xf numFmtId="0" fontId="53" fillId="4" borderId="54" xfId="43" applyFont="1" applyFill="1" applyBorder="1" applyAlignment="1">
      <alignment wrapText="1"/>
    </xf>
    <xf numFmtId="0" fontId="125" fillId="0" borderId="93" xfId="0" applyFont="1" applyBorder="1" applyAlignment="1">
      <alignment wrapText="1"/>
    </xf>
    <xf numFmtId="166" fontId="125" fillId="0" borderId="93" xfId="1" applyNumberFormat="1" applyFont="1" applyBorder="1"/>
    <xf numFmtId="166" fontId="125" fillId="0" borderId="93" xfId="1" applyNumberFormat="1" applyFont="1" applyFill="1" applyBorder="1"/>
    <xf numFmtId="49" fontId="48" fillId="6" borderId="49" xfId="43" applyNumberFormat="1" applyFont="1" applyFill="1" applyBorder="1" applyAlignment="1">
      <alignment horizontal="left" wrapText="1" indent="4"/>
    </xf>
    <xf numFmtId="166" fontId="125" fillId="14" borderId="89" xfId="1" applyNumberFormat="1" applyFont="1" applyFill="1" applyBorder="1"/>
    <xf numFmtId="0" fontId="125" fillId="0" borderId="104" xfId="0" applyFont="1" applyBorder="1" applyAlignment="1">
      <alignment wrapText="1"/>
    </xf>
    <xf numFmtId="166" fontId="125" fillId="0" borderId="104" xfId="1" applyNumberFormat="1" applyFont="1" applyBorder="1"/>
    <xf numFmtId="166" fontId="125" fillId="0" borderId="103" xfId="1" applyNumberFormat="1" applyFont="1" applyFill="1" applyBorder="1"/>
    <xf numFmtId="166" fontId="125" fillId="14" borderId="104" xfId="1" applyNumberFormat="1" applyFont="1" applyFill="1" applyBorder="1"/>
    <xf numFmtId="49" fontId="53" fillId="0" borderId="49" xfId="43" applyNumberFormat="1" applyFont="1" applyBorder="1" applyAlignment="1">
      <alignment horizontal="left" wrapText="1" indent="4"/>
    </xf>
    <xf numFmtId="0" fontId="125" fillId="0" borderId="78" xfId="0" applyFont="1" applyBorder="1"/>
    <xf numFmtId="49" fontId="48" fillId="0" borderId="59" xfId="43" applyNumberFormat="1" applyFont="1" applyBorder="1" applyAlignment="1">
      <alignment horizontal="left" wrapText="1" indent="4"/>
    </xf>
    <xf numFmtId="0" fontId="125" fillId="68" borderId="23" xfId="22" applyNumberFormat="1" applyFont="1" applyFill="1" applyBorder="1" applyAlignment="1">
      <alignment wrapText="1"/>
    </xf>
    <xf numFmtId="0" fontId="125" fillId="68" borderId="100" xfId="22" applyNumberFormat="1" applyFont="1" applyFill="1" applyBorder="1" applyAlignment="1">
      <alignment wrapText="1"/>
    </xf>
    <xf numFmtId="0" fontId="125" fillId="68" borderId="26" xfId="248" applyFont="1" applyFill="1" applyBorder="1" applyAlignment="1">
      <alignment horizontal="left" vertical="center" wrapText="1"/>
    </xf>
    <xf numFmtId="0" fontId="94" fillId="68" borderId="26" xfId="248" applyFont="1" applyFill="1" applyBorder="1" applyAlignment="1">
      <alignment horizontal="left" vertical="center" wrapText="1"/>
    </xf>
    <xf numFmtId="166" fontId="125" fillId="25" borderId="73" xfId="1" applyNumberFormat="1" applyFont="1" applyFill="1" applyBorder="1"/>
    <xf numFmtId="166" fontId="125" fillId="25" borderId="89" xfId="1" applyNumberFormat="1" applyFont="1" applyFill="1" applyBorder="1"/>
    <xf numFmtId="0" fontId="125" fillId="67" borderId="23" xfId="22" applyNumberFormat="1" applyFont="1" applyFill="1" applyBorder="1" applyAlignment="1">
      <alignment wrapText="1"/>
    </xf>
    <xf numFmtId="49" fontId="53" fillId="0" borderId="10" xfId="43" applyNumberFormat="1" applyFont="1" applyBorder="1" applyAlignment="1">
      <alignment horizontal="right" wrapText="1"/>
    </xf>
    <xf numFmtId="49" fontId="53" fillId="4" borderId="16" xfId="43" applyNumberFormat="1" applyFont="1" applyFill="1" applyBorder="1" applyAlignment="1">
      <alignment wrapText="1"/>
    </xf>
    <xf numFmtId="171" fontId="0" fillId="0" borderId="0" xfId="0" applyNumberFormat="1"/>
    <xf numFmtId="0" fontId="53" fillId="0" borderId="20" xfId="43" applyFont="1" applyBorder="1" applyAlignment="1">
      <alignment horizontal="right" wrapText="1"/>
    </xf>
    <xf numFmtId="166" fontId="75" fillId="0" borderId="77" xfId="1" applyNumberFormat="1" applyFont="1" applyFill="1" applyBorder="1" applyAlignment="1"/>
    <xf numFmtId="166" fontId="81" fillId="0" borderId="89" xfId="1" applyNumberFormat="1" applyFont="1" applyBorder="1"/>
    <xf numFmtId="166" fontId="81" fillId="0" borderId="73" xfId="1" applyNumberFormat="1" applyFont="1" applyBorder="1"/>
    <xf numFmtId="166" fontId="81" fillId="0" borderId="73" xfId="1" applyNumberFormat="1" applyFont="1" applyBorder="1" applyAlignment="1">
      <alignment wrapText="1"/>
    </xf>
    <xf numFmtId="166" fontId="81" fillId="0" borderId="78" xfId="1" applyNumberFormat="1" applyFont="1" applyFill="1" applyBorder="1" applyAlignment="1">
      <alignment wrapText="1"/>
    </xf>
    <xf numFmtId="166" fontId="81" fillId="0" borderId="111" xfId="1" applyNumberFormat="1" applyFont="1" applyFill="1" applyBorder="1"/>
    <xf numFmtId="166" fontId="81" fillId="0" borderId="78" xfId="1" applyNumberFormat="1" applyFont="1" applyBorder="1" applyAlignment="1">
      <alignment wrapText="1"/>
    </xf>
    <xf numFmtId="166" fontId="81" fillId="0" borderId="78" xfId="1" applyNumberFormat="1" applyFont="1" applyBorder="1"/>
    <xf numFmtId="166" fontId="50" fillId="0" borderId="0" xfId="1" applyNumberFormat="1" applyFont="1" applyAlignment="1">
      <alignment wrapText="1"/>
    </xf>
    <xf numFmtId="166" fontId="50" fillId="0" borderId="60" xfId="1" applyNumberFormat="1" applyFont="1" applyBorder="1"/>
    <xf numFmtId="166" fontId="50" fillId="0" borderId="45" xfId="1" applyNumberFormat="1" applyFont="1" applyBorder="1"/>
    <xf numFmtId="166" fontId="53" fillId="4" borderId="7" xfId="1" applyNumberFormat="1" applyFont="1" applyFill="1" applyBorder="1"/>
    <xf numFmtId="166" fontId="48" fillId="0" borderId="7" xfId="1" applyNumberFormat="1" applyFont="1" applyBorder="1"/>
    <xf numFmtId="166" fontId="53" fillId="4" borderId="4" xfId="1" applyNumberFormat="1" applyFont="1" applyFill="1" applyBorder="1"/>
    <xf numFmtId="166" fontId="59" fillId="8" borderId="7" xfId="1" applyNumberFormat="1" applyFont="1" applyFill="1" applyBorder="1"/>
    <xf numFmtId="166" fontId="48" fillId="7" borderId="7" xfId="1" applyNumberFormat="1" applyFont="1" applyFill="1" applyBorder="1"/>
    <xf numFmtId="166" fontId="48" fillId="0" borderId="83" xfId="1" applyNumberFormat="1" applyFont="1" applyBorder="1"/>
    <xf numFmtId="166" fontId="48" fillId="0" borderId="29" xfId="1" applyNumberFormat="1" applyFont="1" applyBorder="1"/>
    <xf numFmtId="166" fontId="48" fillId="0" borderId="60" xfId="1" applyNumberFormat="1" applyFont="1" applyBorder="1"/>
    <xf numFmtId="166" fontId="48" fillId="0" borderId="45" xfId="1" applyNumberFormat="1" applyFont="1" applyBorder="1"/>
    <xf numFmtId="166" fontId="48" fillId="12" borderId="7" xfId="1" applyNumberFormat="1" applyFont="1" applyFill="1" applyBorder="1"/>
    <xf numFmtId="166" fontId="53" fillId="0" borderId="3" xfId="1" applyNumberFormat="1" applyFont="1" applyBorder="1"/>
    <xf numFmtId="0" fontId="53" fillId="0" borderId="55" xfId="43" applyFont="1" applyBorder="1" applyAlignment="1">
      <alignment wrapText="1"/>
    </xf>
    <xf numFmtId="166" fontId="53" fillId="0" borderId="11" xfId="1" applyNumberFormat="1" applyFont="1" applyBorder="1"/>
    <xf numFmtId="166" fontId="53" fillId="4" borderId="44" xfId="1" applyNumberFormat="1" applyFont="1" applyFill="1" applyBorder="1"/>
    <xf numFmtId="166" fontId="53" fillId="0" borderId="3" xfId="1" applyNumberFormat="1" applyFont="1" applyBorder="1" applyAlignment="1">
      <alignment horizontal="center" vertical="center" wrapText="1"/>
    </xf>
    <xf numFmtId="166" fontId="53" fillId="4" borderId="12" xfId="1" applyNumberFormat="1" applyFont="1" applyFill="1" applyBorder="1"/>
    <xf numFmtId="166" fontId="53" fillId="3" borderId="7" xfId="1" applyNumberFormat="1" applyFont="1" applyFill="1" applyBorder="1"/>
    <xf numFmtId="166" fontId="48" fillId="25" borderId="45" xfId="1" applyNumberFormat="1" applyFont="1" applyFill="1" applyBorder="1"/>
    <xf numFmtId="0" fontId="61" fillId="0" borderId="0" xfId="43" quotePrefix="1" applyFont="1"/>
    <xf numFmtId="166" fontId="61" fillId="25" borderId="60" xfId="1" applyNumberFormat="1" applyFont="1" applyFill="1" applyBorder="1"/>
    <xf numFmtId="9" fontId="61" fillId="0" borderId="60" xfId="4" applyFont="1" applyBorder="1" applyAlignment="1">
      <alignment wrapText="1"/>
    </xf>
    <xf numFmtId="3" fontId="61" fillId="25" borderId="60" xfId="43" applyNumberFormat="1" applyFont="1" applyFill="1" applyBorder="1"/>
    <xf numFmtId="9" fontId="61" fillId="0" borderId="83" xfId="4" applyFont="1" applyBorder="1" applyAlignment="1">
      <alignment wrapText="1"/>
    </xf>
    <xf numFmtId="9" fontId="61" fillId="25" borderId="60" xfId="2" applyFont="1" applyFill="1" applyBorder="1"/>
    <xf numFmtId="3" fontId="93" fillId="25" borderId="60" xfId="43" applyNumberFormat="1" applyFont="1" applyFill="1" applyBorder="1"/>
    <xf numFmtId="166" fontId="48" fillId="0" borderId="7" xfId="1" applyNumberFormat="1" applyFont="1" applyFill="1" applyBorder="1"/>
    <xf numFmtId="166" fontId="48" fillId="3" borderId="29" xfId="1" applyNumberFormat="1" applyFont="1" applyFill="1" applyBorder="1"/>
    <xf numFmtId="166" fontId="48" fillId="5" borderId="45" xfId="1" applyNumberFormat="1" applyFont="1" applyFill="1" applyBorder="1"/>
    <xf numFmtId="166" fontId="48" fillId="3" borderId="60" xfId="1" applyNumberFormat="1" applyFont="1" applyFill="1" applyBorder="1"/>
    <xf numFmtId="166" fontId="53" fillId="0" borderId="7" xfId="1" applyNumberFormat="1" applyFont="1" applyBorder="1"/>
    <xf numFmtId="166" fontId="48" fillId="3" borderId="83" xfId="1" applyNumberFormat="1" applyFont="1" applyFill="1" applyBorder="1"/>
    <xf numFmtId="166" fontId="53" fillId="0" borderId="13" xfId="1" applyNumberFormat="1" applyFont="1" applyBorder="1"/>
    <xf numFmtId="166" fontId="53" fillId="4" borderId="17" xfId="1" applyNumberFormat="1" applyFont="1" applyFill="1" applyBorder="1"/>
    <xf numFmtId="9" fontId="50" fillId="0" borderId="0" xfId="4" applyFont="1" applyAlignment="1">
      <alignment wrapText="1"/>
    </xf>
    <xf numFmtId="1" fontId="50" fillId="0" borderId="0" xfId="4" applyNumberFormat="1" applyFont="1" applyFill="1"/>
    <xf numFmtId="9" fontId="50" fillId="0" borderId="0" xfId="4" applyFont="1"/>
    <xf numFmtId="9" fontId="56" fillId="0" borderId="3" xfId="4" applyFont="1" applyBorder="1" applyAlignment="1">
      <alignment horizontal="center" vertical="center" wrapText="1"/>
    </xf>
    <xf numFmtId="9" fontId="50" fillId="3" borderId="4" xfId="4" applyFont="1" applyFill="1" applyBorder="1" applyAlignment="1">
      <alignment wrapText="1"/>
    </xf>
    <xf numFmtId="9" fontId="56" fillId="4" borderId="4" xfId="4" applyFont="1" applyFill="1" applyBorder="1"/>
    <xf numFmtId="9" fontId="50" fillId="0" borderId="7" xfId="4" applyFont="1" applyFill="1" applyBorder="1"/>
    <xf numFmtId="9" fontId="50" fillId="0" borderId="29" xfId="4" applyFont="1" applyFill="1" applyBorder="1"/>
    <xf numFmtId="9" fontId="56" fillId="4" borderId="7" xfId="4" applyFont="1" applyFill="1" applyBorder="1"/>
    <xf numFmtId="9" fontId="50" fillId="0" borderId="7" xfId="4" applyFont="1" applyBorder="1"/>
    <xf numFmtId="9" fontId="50" fillId="0" borderId="8" xfId="4" applyFont="1" applyFill="1" applyBorder="1"/>
    <xf numFmtId="9" fontId="50" fillId="0" borderId="8" xfId="4" applyFont="1" applyFill="1" applyBorder="1" applyAlignment="1">
      <alignment wrapText="1"/>
    </xf>
    <xf numFmtId="9" fontId="50" fillId="0" borderId="45" xfId="4" applyFont="1" applyBorder="1"/>
    <xf numFmtId="9" fontId="50" fillId="4" borderId="7" xfId="4" applyFont="1" applyFill="1" applyBorder="1" applyAlignment="1">
      <alignment wrapText="1"/>
    </xf>
    <xf numFmtId="9" fontId="50" fillId="0" borderId="7" xfId="4" applyFont="1" applyFill="1" applyBorder="1" applyAlignment="1">
      <alignment wrapText="1"/>
    </xf>
    <xf numFmtId="9" fontId="50" fillId="0" borderId="45" xfId="4" applyFont="1" applyFill="1" applyBorder="1"/>
    <xf numFmtId="3" fontId="50" fillId="7" borderId="7" xfId="43" applyNumberFormat="1" applyFont="1" applyFill="1" applyBorder="1"/>
    <xf numFmtId="3" fontId="50" fillId="7" borderId="7" xfId="43" applyNumberFormat="1" applyFont="1" applyFill="1" applyBorder="1" applyAlignment="1">
      <alignment wrapText="1"/>
    </xf>
    <xf numFmtId="3" fontId="60" fillId="8" borderId="7" xfId="43" applyNumberFormat="1" applyFont="1" applyFill="1" applyBorder="1"/>
    <xf numFmtId="9" fontId="60" fillId="8" borderId="7" xfId="4" applyFont="1" applyFill="1" applyBorder="1" applyAlignment="1">
      <alignment wrapText="1"/>
    </xf>
    <xf numFmtId="9" fontId="50" fillId="0" borderId="83" xfId="4" applyFont="1" applyFill="1" applyBorder="1"/>
    <xf numFmtId="3" fontId="50" fillId="0" borderId="29" xfId="43" applyNumberFormat="1" applyFont="1" applyBorder="1"/>
    <xf numFmtId="9" fontId="50" fillId="5" borderId="7" xfId="4" applyFont="1" applyFill="1" applyBorder="1" applyAlignment="1">
      <alignment wrapText="1"/>
    </xf>
    <xf numFmtId="9" fontId="50" fillId="0" borderId="45" xfId="4" applyFont="1" applyFill="1" applyBorder="1" applyAlignment="1">
      <alignment wrapText="1"/>
    </xf>
    <xf numFmtId="9" fontId="50" fillId="3" borderId="7" xfId="4" applyFont="1" applyFill="1" applyBorder="1" applyAlignment="1">
      <alignment wrapText="1"/>
    </xf>
    <xf numFmtId="9" fontId="50" fillId="0" borderId="31" xfId="4" applyFont="1" applyFill="1" applyBorder="1"/>
    <xf numFmtId="9" fontId="50" fillId="0" borderId="86" xfId="4" applyFont="1" applyFill="1" applyBorder="1"/>
    <xf numFmtId="9" fontId="50" fillId="0" borderId="25" xfId="4" applyFont="1" applyFill="1" applyBorder="1" applyAlignment="1">
      <alignment wrapText="1"/>
    </xf>
    <xf numFmtId="9" fontId="50" fillId="0" borderId="28" xfId="4" applyFont="1" applyFill="1" applyBorder="1"/>
    <xf numFmtId="9" fontId="50" fillId="0" borderId="30" xfId="4" applyFont="1" applyFill="1" applyBorder="1"/>
    <xf numFmtId="9" fontId="50" fillId="0" borderId="44" xfId="4" applyFont="1" applyFill="1" applyBorder="1"/>
    <xf numFmtId="9" fontId="50" fillId="0" borderId="62" xfId="4" applyFont="1" applyFill="1" applyBorder="1"/>
    <xf numFmtId="9" fontId="50" fillId="0" borderId="79" xfId="4" applyFont="1" applyFill="1" applyBorder="1"/>
    <xf numFmtId="1" fontId="50" fillId="0" borderId="7" xfId="4" applyNumberFormat="1" applyFont="1" applyFill="1" applyBorder="1"/>
    <xf numFmtId="9" fontId="56" fillId="0" borderId="3" xfId="4" applyFont="1" applyBorder="1"/>
    <xf numFmtId="9" fontId="56" fillId="0" borderId="11" xfId="4" applyFont="1" applyFill="1" applyBorder="1"/>
    <xf numFmtId="9" fontId="50" fillId="0" borderId="63" xfId="4" applyFont="1" applyFill="1" applyBorder="1" applyAlignment="1">
      <alignment wrapText="1"/>
    </xf>
    <xf numFmtId="9" fontId="56" fillId="0" borderId="11" xfId="4" applyFont="1" applyBorder="1"/>
    <xf numFmtId="9" fontId="56" fillId="4" borderId="12" xfId="4" applyFont="1" applyFill="1" applyBorder="1"/>
    <xf numFmtId="9" fontId="50" fillId="3" borderId="29" xfId="4" applyFont="1" applyFill="1" applyBorder="1" applyAlignment="1">
      <alignment wrapText="1"/>
    </xf>
    <xf numFmtId="9" fontId="50" fillId="3" borderId="45" xfId="4" applyFont="1" applyFill="1" applyBorder="1" applyAlignment="1">
      <alignment wrapText="1"/>
    </xf>
    <xf numFmtId="9" fontId="50" fillId="0" borderId="60" xfId="4" applyFont="1" applyFill="1" applyBorder="1"/>
    <xf numFmtId="9" fontId="50" fillId="0" borderId="7" xfId="4" applyFont="1" applyBorder="1" applyAlignment="1">
      <alignment wrapText="1"/>
    </xf>
    <xf numFmtId="9" fontId="50" fillId="0" borderId="45" xfId="4" applyFont="1" applyBorder="1" applyAlignment="1">
      <alignment wrapText="1"/>
    </xf>
    <xf numFmtId="9" fontId="50" fillId="0" borderId="60" xfId="4" applyFont="1" applyBorder="1" applyAlignment="1">
      <alignment wrapText="1"/>
    </xf>
    <xf numFmtId="9" fontId="50" fillId="0" borderId="83" xfId="4" applyFont="1" applyFill="1" applyBorder="1" applyAlignment="1">
      <alignment wrapText="1"/>
    </xf>
    <xf numFmtId="9" fontId="50" fillId="0" borderId="22" xfId="4" applyFont="1" applyBorder="1" applyAlignment="1">
      <alignment wrapText="1"/>
    </xf>
    <xf numFmtId="9" fontId="56" fillId="3" borderId="7" xfId="4" applyFont="1" applyFill="1" applyBorder="1"/>
    <xf numFmtId="3" fontId="50" fillId="25" borderId="45" xfId="43" applyNumberFormat="1" applyFont="1" applyFill="1" applyBorder="1"/>
    <xf numFmtId="9" fontId="93" fillId="0" borderId="60" xfId="4" applyFont="1" applyBorder="1" applyAlignment="1">
      <alignment wrapText="1"/>
    </xf>
    <xf numFmtId="9" fontId="93" fillId="3" borderId="7" xfId="4" applyFont="1" applyFill="1" applyBorder="1" applyAlignment="1">
      <alignment wrapText="1"/>
    </xf>
    <xf numFmtId="3" fontId="50" fillId="3" borderId="29" xfId="43" applyNumberFormat="1" applyFont="1" applyFill="1" applyBorder="1"/>
    <xf numFmtId="9" fontId="93" fillId="3" borderId="29" xfId="4" applyFont="1" applyFill="1" applyBorder="1" applyAlignment="1">
      <alignment wrapText="1"/>
    </xf>
    <xf numFmtId="9" fontId="50" fillId="5" borderId="60" xfId="4" applyFont="1" applyFill="1" applyBorder="1" applyAlignment="1">
      <alignment wrapText="1"/>
    </xf>
    <xf numFmtId="9" fontId="50" fillId="5" borderId="7" xfId="4" applyFont="1" applyFill="1" applyBorder="1"/>
    <xf numFmtId="9" fontId="50" fillId="5" borderId="45" xfId="4" applyFont="1" applyFill="1" applyBorder="1"/>
    <xf numFmtId="9" fontId="50" fillId="3" borderId="60" xfId="4" applyFont="1" applyFill="1" applyBorder="1"/>
    <xf numFmtId="3" fontId="50" fillId="6" borderId="7" xfId="43" applyNumberFormat="1" applyFont="1" applyFill="1" applyBorder="1"/>
    <xf numFmtId="9" fontId="50" fillId="0" borderId="24" xfId="4" applyFont="1" applyFill="1" applyBorder="1"/>
    <xf numFmtId="3" fontId="56" fillId="0" borderId="7" xfId="43" applyNumberFormat="1" applyFont="1" applyBorder="1"/>
    <xf numFmtId="9" fontId="50" fillId="3" borderId="60" xfId="4" applyFont="1" applyFill="1" applyBorder="1" applyAlignment="1">
      <alignment wrapText="1"/>
    </xf>
    <xf numFmtId="9" fontId="50" fillId="3" borderId="83" xfId="4" applyFont="1" applyFill="1" applyBorder="1" applyAlignment="1">
      <alignment wrapText="1"/>
    </xf>
    <xf numFmtId="9" fontId="50" fillId="3" borderId="24" xfId="4" applyFont="1" applyFill="1" applyBorder="1" applyAlignment="1">
      <alignment wrapText="1"/>
    </xf>
    <xf numFmtId="3" fontId="56" fillId="0" borderId="13" xfId="43" applyNumberFormat="1" applyFont="1" applyBorder="1"/>
    <xf numFmtId="3" fontId="56" fillId="0" borderId="14" xfId="43" applyNumberFormat="1" applyFont="1" applyBorder="1"/>
    <xf numFmtId="3" fontId="56" fillId="4" borderId="17" xfId="43" applyNumberFormat="1" applyFont="1" applyFill="1" applyBorder="1"/>
    <xf numFmtId="166" fontId="48" fillId="6" borderId="83" xfId="1" applyNumberFormat="1" applyFont="1" applyFill="1" applyBorder="1"/>
    <xf numFmtId="3" fontId="50" fillId="6" borderId="83" xfId="43" applyNumberFormat="1" applyFont="1" applyFill="1" applyBorder="1"/>
    <xf numFmtId="49" fontId="48" fillId="0" borderId="114" xfId="43" applyNumberFormat="1" applyFont="1" applyBorder="1" applyAlignment="1">
      <alignment horizontal="left" wrapText="1" indent="2"/>
    </xf>
    <xf numFmtId="166" fontId="48" fillId="0" borderId="83" xfId="1" applyNumberFormat="1" applyFont="1" applyFill="1" applyBorder="1"/>
    <xf numFmtId="3" fontId="48" fillId="0" borderId="21" xfId="43" applyNumberFormat="1" applyFont="1" applyBorder="1"/>
    <xf numFmtId="3" fontId="48" fillId="0" borderId="87" xfId="43" applyNumberFormat="1" applyFont="1" applyBorder="1"/>
    <xf numFmtId="9" fontId="48" fillId="0" borderId="48" xfId="4" applyFont="1" applyFill="1" applyBorder="1" applyAlignment="1">
      <alignment wrapText="1"/>
    </xf>
    <xf numFmtId="9" fontId="48" fillId="0" borderId="29" xfId="4" applyFont="1" applyFill="1" applyBorder="1" applyAlignment="1">
      <alignment wrapText="1"/>
    </xf>
    <xf numFmtId="166" fontId="78" fillId="10" borderId="73" xfId="1" applyNumberFormat="1" applyFont="1" applyFill="1" applyBorder="1"/>
    <xf numFmtId="9" fontId="48" fillId="21" borderId="86" xfId="4" applyFont="1" applyFill="1" applyBorder="1" applyAlignment="1">
      <alignment wrapText="1"/>
    </xf>
    <xf numFmtId="9" fontId="48" fillId="21" borderId="7" xfId="4" applyFont="1" applyFill="1" applyBorder="1" applyAlignment="1">
      <alignment wrapText="1"/>
    </xf>
    <xf numFmtId="9" fontId="48" fillId="21" borderId="45" xfId="4" applyFont="1" applyFill="1" applyBorder="1" applyAlignment="1">
      <alignment wrapText="1"/>
    </xf>
    <xf numFmtId="9" fontId="59" fillId="21" borderId="7" xfId="4" applyFont="1" applyFill="1" applyBorder="1"/>
    <xf numFmtId="9" fontId="50" fillId="0" borderId="21" xfId="4" applyFont="1" applyFill="1" applyBorder="1"/>
    <xf numFmtId="9" fontId="50" fillId="0" borderId="22" xfId="4" applyFont="1" applyFill="1" applyBorder="1" applyAlignment="1">
      <alignment wrapText="1"/>
    </xf>
    <xf numFmtId="9" fontId="50" fillId="0" borderId="68" xfId="4" applyFont="1" applyFill="1" applyBorder="1"/>
    <xf numFmtId="9" fontId="50" fillId="3" borderId="57" xfId="4" applyFont="1" applyFill="1" applyBorder="1" applyAlignment="1">
      <alignment wrapText="1"/>
    </xf>
    <xf numFmtId="9" fontId="50" fillId="0" borderId="29" xfId="4" applyFont="1" applyBorder="1" applyAlignment="1">
      <alignment wrapText="1"/>
    </xf>
    <xf numFmtId="9" fontId="93" fillId="0" borderId="7" xfId="4" applyFont="1" applyFill="1" applyBorder="1" applyAlignment="1">
      <alignment wrapText="1"/>
    </xf>
    <xf numFmtId="9" fontId="93" fillId="11" borderId="7" xfId="4" applyFont="1" applyFill="1" applyBorder="1" applyAlignment="1">
      <alignment wrapText="1"/>
    </xf>
    <xf numFmtId="9" fontId="50" fillId="6" borderId="83" xfId="4" applyFont="1" applyFill="1" applyBorder="1" applyAlignment="1">
      <alignment wrapText="1"/>
    </xf>
    <xf numFmtId="9" fontId="50" fillId="0" borderId="57" xfId="4" applyFont="1" applyFill="1" applyBorder="1"/>
    <xf numFmtId="9" fontId="50" fillId="22" borderId="7" xfId="4" applyFont="1" applyFill="1" applyBorder="1" applyAlignment="1">
      <alignment wrapText="1"/>
    </xf>
    <xf numFmtId="0" fontId="156" fillId="0" borderId="0" xfId="43" applyFont="1"/>
    <xf numFmtId="0" fontId="156" fillId="0" borderId="0" xfId="43" quotePrefix="1" applyFont="1"/>
    <xf numFmtId="3" fontId="61" fillId="0" borderId="120" xfId="43" applyNumberFormat="1" applyFont="1" applyBorder="1"/>
    <xf numFmtId="166" fontId="61" fillId="0" borderId="120" xfId="1" applyNumberFormat="1" applyFont="1" applyBorder="1"/>
    <xf numFmtId="3" fontId="93" fillId="0" borderId="120" xfId="43" applyNumberFormat="1" applyFont="1" applyBorder="1"/>
    <xf numFmtId="9" fontId="61" fillId="0" borderId="120" xfId="4" applyFont="1" applyFill="1" applyBorder="1" applyAlignment="1">
      <alignment wrapText="1"/>
    </xf>
    <xf numFmtId="9" fontId="61" fillId="21" borderId="120" xfId="4" applyFont="1" applyFill="1" applyBorder="1" applyAlignment="1">
      <alignment wrapText="1"/>
    </xf>
    <xf numFmtId="0" fontId="81" fillId="14" borderId="100" xfId="22" applyNumberFormat="1" applyFont="1" applyFill="1" applyBorder="1" applyAlignment="1">
      <alignment wrapText="1"/>
    </xf>
    <xf numFmtId="0" fontId="81" fillId="68" borderId="66" xfId="22" applyNumberFormat="1" applyFont="1" applyFill="1" applyBorder="1" applyAlignment="1">
      <alignment wrapText="1"/>
    </xf>
    <xf numFmtId="166" fontId="48" fillId="0" borderId="117" xfId="1" applyNumberFormat="1" applyFont="1" applyBorder="1"/>
    <xf numFmtId="166" fontId="53" fillId="0" borderId="14" xfId="1" applyNumberFormat="1" applyFont="1" applyBorder="1"/>
    <xf numFmtId="166" fontId="0" fillId="15" borderId="0" xfId="1" applyNumberFormat="1" applyFont="1" applyFill="1"/>
    <xf numFmtId="166" fontId="143" fillId="15" borderId="0" xfId="1" applyNumberFormat="1" applyFont="1" applyFill="1" applyAlignment="1">
      <alignment horizontal="left"/>
    </xf>
    <xf numFmtId="166" fontId="143" fillId="15" borderId="0" xfId="1" applyNumberFormat="1" applyFont="1" applyFill="1"/>
    <xf numFmtId="166" fontId="0" fillId="15" borderId="0" xfId="1" applyNumberFormat="1" applyFont="1" applyFill="1" applyAlignment="1">
      <alignment wrapText="1"/>
    </xf>
    <xf numFmtId="166" fontId="78" fillId="15" borderId="0" xfId="1" applyNumberFormat="1" applyFont="1" applyFill="1"/>
    <xf numFmtId="166" fontId="75" fillId="15" borderId="0" xfId="1" applyNumberFormat="1" applyFont="1" applyFill="1"/>
    <xf numFmtId="3" fontId="48" fillId="0" borderId="48" xfId="43" applyNumberFormat="1" applyFont="1" applyBorder="1"/>
    <xf numFmtId="9" fontId="48" fillId="0" borderId="48" xfId="4" applyFont="1" applyBorder="1" applyAlignment="1">
      <alignment wrapText="1"/>
    </xf>
    <xf numFmtId="0" fontId="48" fillId="5" borderId="118" xfId="43" applyFont="1" applyFill="1" applyBorder="1" applyAlignment="1">
      <alignment horizontal="left" wrapText="1" indent="3"/>
    </xf>
    <xf numFmtId="3" fontId="48" fillId="5" borderId="120" xfId="43" applyNumberFormat="1" applyFont="1" applyFill="1" applyBorder="1"/>
    <xf numFmtId="3" fontId="48" fillId="0" borderId="120" xfId="43" applyNumberFormat="1" applyFont="1" applyBorder="1"/>
    <xf numFmtId="166" fontId="48" fillId="0" borderId="120" xfId="1" applyNumberFormat="1" applyFont="1" applyBorder="1"/>
    <xf numFmtId="9" fontId="50" fillId="0" borderId="120" xfId="4" applyFont="1" applyBorder="1" applyAlignment="1">
      <alignment wrapText="1"/>
    </xf>
    <xf numFmtId="9" fontId="48" fillId="0" borderId="120" xfId="4" applyFont="1" applyBorder="1" applyAlignment="1">
      <alignment wrapText="1"/>
    </xf>
    <xf numFmtId="9" fontId="48" fillId="0" borderId="120" xfId="2" applyFont="1" applyFill="1" applyBorder="1"/>
    <xf numFmtId="9" fontId="48" fillId="11" borderId="24" xfId="4" applyFont="1" applyFill="1" applyBorder="1" applyAlignment="1">
      <alignment wrapText="1"/>
    </xf>
    <xf numFmtId="0" fontId="78" fillId="0" borderId="78" xfId="0" quotePrefix="1" applyFont="1" applyBorder="1"/>
    <xf numFmtId="3" fontId="50" fillId="0" borderId="7" xfId="43" applyNumberFormat="1" applyFont="1" applyBorder="1" applyAlignment="1">
      <alignment wrapText="1"/>
    </xf>
    <xf numFmtId="3" fontId="50" fillId="4" borderId="7" xfId="43" applyNumberFormat="1" applyFont="1" applyFill="1" applyBorder="1"/>
    <xf numFmtId="3" fontId="50" fillId="19" borderId="7" xfId="43" applyNumberFormat="1" applyFont="1" applyFill="1" applyBorder="1"/>
    <xf numFmtId="3" fontId="50" fillId="19" borderId="60" xfId="43" applyNumberFormat="1" applyFont="1" applyFill="1" applyBorder="1"/>
    <xf numFmtId="3" fontId="50" fillId="0" borderId="45" xfId="43" applyNumberFormat="1" applyFont="1" applyBorder="1" applyAlignment="1">
      <alignment wrapText="1"/>
    </xf>
    <xf numFmtId="3" fontId="50" fillId="0" borderId="60" xfId="43" applyNumberFormat="1" applyFont="1" applyBorder="1" applyAlignment="1">
      <alignment wrapText="1"/>
    </xf>
    <xf numFmtId="3" fontId="50" fillId="4" borderId="7" xfId="43" applyNumberFormat="1" applyFont="1" applyFill="1" applyBorder="1" applyAlignment="1">
      <alignment wrapText="1"/>
    </xf>
    <xf numFmtId="3" fontId="50" fillId="0" borderId="3" xfId="43" applyNumberFormat="1" applyFont="1" applyBorder="1" applyAlignment="1">
      <alignment wrapText="1"/>
    </xf>
    <xf numFmtId="3" fontId="50" fillId="0" borderId="62" xfId="43" applyNumberFormat="1" applyFont="1" applyBorder="1" applyAlignment="1">
      <alignment wrapText="1"/>
    </xf>
    <xf numFmtId="3" fontId="50" fillId="0" borderId="44" xfId="43" applyNumberFormat="1" applyFont="1" applyBorder="1"/>
    <xf numFmtId="3" fontId="50" fillId="3" borderId="7" xfId="43" applyNumberFormat="1" applyFont="1" applyFill="1" applyBorder="1" applyAlignment="1">
      <alignment wrapText="1"/>
    </xf>
    <xf numFmtId="166" fontId="48" fillId="3" borderId="7" xfId="2" applyNumberFormat="1" applyFont="1" applyFill="1" applyBorder="1"/>
    <xf numFmtId="166" fontId="48" fillId="3" borderId="4" xfId="1" applyNumberFormat="1" applyFont="1" applyFill="1" applyBorder="1" applyAlignment="1">
      <alignment wrapText="1"/>
    </xf>
    <xf numFmtId="3" fontId="48" fillId="0" borderId="7" xfId="43" applyNumberFormat="1" applyFont="1" applyBorder="1" applyAlignment="1">
      <alignment wrapText="1"/>
    </xf>
    <xf numFmtId="3" fontId="48" fillId="19" borderId="60" xfId="43" applyNumberFormat="1" applyFont="1" applyFill="1" applyBorder="1"/>
    <xf numFmtId="166" fontId="48" fillId="0" borderId="0" xfId="2" applyNumberFormat="1" applyFont="1" applyFill="1"/>
    <xf numFmtId="3" fontId="48" fillId="15" borderId="45" xfId="43" applyNumberFormat="1" applyFont="1" applyFill="1" applyBorder="1"/>
    <xf numFmtId="3" fontId="48" fillId="0" borderId="45" xfId="43" applyNumberFormat="1" applyFont="1" applyBorder="1" applyAlignment="1">
      <alignment wrapText="1"/>
    </xf>
    <xf numFmtId="9" fontId="48" fillId="0" borderId="22" xfId="2" applyFont="1" applyFill="1" applyBorder="1" applyAlignment="1"/>
    <xf numFmtId="9" fontId="53" fillId="0" borderId="13" xfId="2" applyFont="1" applyBorder="1"/>
    <xf numFmtId="0" fontId="84" fillId="24" borderId="0" xfId="0" applyFont="1" applyFill="1"/>
    <xf numFmtId="3" fontId="84" fillId="24" borderId="0" xfId="0" applyNumberFormat="1" applyFont="1" applyFill="1"/>
    <xf numFmtId="0" fontId="84" fillId="24" borderId="0" xfId="0" applyFont="1" applyFill="1" applyAlignment="1">
      <alignment horizontal="left" indent="2"/>
    </xf>
    <xf numFmtId="0" fontId="148" fillId="59" borderId="0" xfId="0" applyFont="1" applyFill="1"/>
    <xf numFmtId="0" fontId="159" fillId="24" borderId="0" xfId="0" applyFont="1" applyFill="1"/>
    <xf numFmtId="49" fontId="78" fillId="0" borderId="73" xfId="0" quotePrefix="1" applyNumberFormat="1" applyFont="1" applyBorder="1" applyAlignment="1">
      <alignment horizontal="left"/>
    </xf>
    <xf numFmtId="0" fontId="78" fillId="0" borderId="101" xfId="0" applyFont="1" applyBorder="1" applyAlignment="1">
      <alignment wrapText="1"/>
    </xf>
    <xf numFmtId="166" fontId="78" fillId="0" borderId="101" xfId="1" applyNumberFormat="1" applyFont="1" applyFill="1" applyBorder="1" applyAlignment="1">
      <alignment wrapText="1"/>
    </xf>
    <xf numFmtId="0" fontId="152" fillId="0" borderId="100" xfId="22" applyNumberFormat="1" applyFont="1" applyFill="1" applyBorder="1" applyAlignment="1">
      <alignment wrapText="1"/>
    </xf>
    <xf numFmtId="0" fontId="152" fillId="0" borderId="23" xfId="22" applyNumberFormat="1" applyFont="1" applyFill="1" applyBorder="1" applyAlignment="1">
      <alignment wrapText="1"/>
    </xf>
    <xf numFmtId="0" fontId="78" fillId="0" borderId="73" xfId="0" quotePrefix="1" applyFont="1" applyBorder="1"/>
    <xf numFmtId="0" fontId="62" fillId="0" borderId="73" xfId="0" applyFont="1" applyBorder="1" applyAlignment="1">
      <alignment horizontal="center" wrapText="1"/>
    </xf>
    <xf numFmtId="166" fontId="85" fillId="0" borderId="73" xfId="1" applyNumberFormat="1" applyFont="1" applyFill="1" applyBorder="1" applyAlignment="1">
      <alignment horizontal="center" wrapText="1"/>
    </xf>
    <xf numFmtId="9" fontId="48" fillId="0" borderId="70" xfId="4" applyFont="1" applyFill="1" applyBorder="1"/>
    <xf numFmtId="9" fontId="48" fillId="0" borderId="70" xfId="4" applyFont="1" applyFill="1" applyBorder="1" applyAlignment="1">
      <alignment wrapText="1"/>
    </xf>
    <xf numFmtId="9" fontId="61" fillId="0" borderId="7" xfId="4" applyFont="1" applyFill="1" applyBorder="1" applyAlignment="1">
      <alignment wrapText="1"/>
    </xf>
    <xf numFmtId="166" fontId="78" fillId="21" borderId="73" xfId="1" applyNumberFormat="1" applyFont="1" applyFill="1" applyBorder="1"/>
    <xf numFmtId="166" fontId="78" fillId="21" borderId="78" xfId="1" applyNumberFormat="1" applyFont="1" applyFill="1" applyBorder="1"/>
    <xf numFmtId="0" fontId="152" fillId="21" borderId="100" xfId="22" applyNumberFormat="1" applyFont="1" applyFill="1" applyBorder="1" applyAlignment="1">
      <alignment wrapText="1"/>
    </xf>
    <xf numFmtId="0" fontId="152" fillId="21" borderId="66" xfId="22" applyNumberFormat="1" applyFont="1" applyFill="1" applyBorder="1" applyAlignment="1">
      <alignment wrapText="1"/>
    </xf>
    <xf numFmtId="0" fontId="78" fillId="21" borderId="78" xfId="0" applyFont="1" applyFill="1" applyBorder="1" applyAlignment="1">
      <alignment wrapText="1"/>
    </xf>
    <xf numFmtId="0" fontId="78" fillId="21" borderId="73" xfId="0" applyFont="1" applyFill="1" applyBorder="1" applyAlignment="1">
      <alignment wrapText="1"/>
    </xf>
    <xf numFmtId="0" fontId="68" fillId="21" borderId="23" xfId="248" applyFont="1" applyFill="1" applyBorder="1" applyAlignment="1">
      <alignment horizontal="left" vertical="center" wrapText="1"/>
    </xf>
    <xf numFmtId="166" fontId="78" fillId="0" borderId="101" xfId="1" applyNumberFormat="1" applyFont="1" applyBorder="1"/>
    <xf numFmtId="9" fontId="48" fillId="0" borderId="7" xfId="4" quotePrefix="1" applyFont="1" applyFill="1" applyBorder="1" applyAlignment="1">
      <alignment wrapText="1"/>
    </xf>
    <xf numFmtId="0" fontId="152" fillId="19" borderId="100" xfId="22" applyNumberFormat="1" applyFont="1" applyFill="1" applyBorder="1" applyAlignment="1">
      <alignment wrapText="1"/>
    </xf>
    <xf numFmtId="166" fontId="78" fillId="19" borderId="73" xfId="1" applyNumberFormat="1" applyFont="1" applyFill="1" applyBorder="1"/>
    <xf numFmtId="166" fontId="48" fillId="0" borderId="119" xfId="1" applyNumberFormat="1" applyFont="1" applyBorder="1"/>
    <xf numFmtId="166" fontId="48" fillId="0" borderId="48" xfId="1" applyNumberFormat="1" applyFont="1" applyBorder="1"/>
    <xf numFmtId="3" fontId="48" fillId="0" borderId="0" xfId="43" applyNumberFormat="1" applyFont="1" applyAlignment="1">
      <alignment wrapText="1"/>
    </xf>
    <xf numFmtId="9" fontId="50" fillId="0" borderId="120" xfId="4" applyFont="1" applyFill="1" applyBorder="1"/>
    <xf numFmtId="3" fontId="50" fillId="0" borderId="120" xfId="43" applyNumberFormat="1" applyFont="1" applyBorder="1"/>
    <xf numFmtId="0" fontId="48" fillId="5" borderId="107" xfId="43" applyFont="1" applyFill="1" applyBorder="1" applyAlignment="1">
      <alignment horizontal="left" indent="3"/>
    </xf>
    <xf numFmtId="166" fontId="48" fillId="5" borderId="120" xfId="1" applyNumberFormat="1" applyFont="1" applyFill="1" applyBorder="1"/>
    <xf numFmtId="9" fontId="50" fillId="5" borderId="120" xfId="4" applyFont="1" applyFill="1" applyBorder="1"/>
    <xf numFmtId="3" fontId="50" fillId="5" borderId="120" xfId="43" applyNumberFormat="1" applyFont="1" applyFill="1" applyBorder="1"/>
    <xf numFmtId="9" fontId="48" fillId="5" borderId="120" xfId="4" applyFont="1" applyFill="1" applyBorder="1"/>
    <xf numFmtId="3" fontId="48" fillId="3" borderId="120" xfId="43" applyNumberFormat="1" applyFont="1" applyFill="1" applyBorder="1"/>
    <xf numFmtId="166" fontId="48" fillId="3" borderId="120" xfId="1" applyNumberFormat="1" applyFont="1" applyFill="1" applyBorder="1"/>
    <xf numFmtId="9" fontId="50" fillId="3" borderId="120" xfId="4" applyFont="1" applyFill="1" applyBorder="1"/>
    <xf numFmtId="9" fontId="48" fillId="3" borderId="120" xfId="4" applyFont="1" applyFill="1" applyBorder="1"/>
    <xf numFmtId="9" fontId="48" fillId="3" borderId="120" xfId="2" applyFont="1" applyFill="1" applyBorder="1"/>
    <xf numFmtId="3" fontId="50" fillId="3" borderId="120" xfId="43" applyNumberFormat="1" applyFont="1" applyFill="1" applyBorder="1"/>
    <xf numFmtId="9" fontId="48" fillId="3" borderId="120" xfId="4" applyFont="1" applyFill="1" applyBorder="1" applyAlignment="1">
      <alignment wrapText="1"/>
    </xf>
    <xf numFmtId="9" fontId="48" fillId="0" borderId="64" xfId="2" applyFont="1" applyBorder="1" applyAlignment="1">
      <alignment wrapText="1"/>
    </xf>
    <xf numFmtId="9" fontId="48" fillId="0" borderId="22" xfId="2" applyFont="1" applyBorder="1" applyAlignment="1">
      <alignment wrapText="1"/>
    </xf>
    <xf numFmtId="3" fontId="48" fillId="15" borderId="83" xfId="43" applyNumberFormat="1" applyFont="1" applyFill="1" applyBorder="1"/>
    <xf numFmtId="3" fontId="48" fillId="15" borderId="7" xfId="43" applyNumberFormat="1" applyFont="1" applyFill="1" applyBorder="1"/>
    <xf numFmtId="3" fontId="48" fillId="3" borderId="83" xfId="43" applyNumberFormat="1" applyFont="1" applyFill="1" applyBorder="1"/>
    <xf numFmtId="3" fontId="160" fillId="0" borderId="7" xfId="43" applyNumberFormat="1" applyFont="1" applyBorder="1"/>
    <xf numFmtId="3" fontId="58" fillId="0" borderId="0" xfId="43" applyNumberFormat="1" applyFont="1"/>
    <xf numFmtId="0" fontId="148" fillId="5" borderId="71" xfId="0" applyFont="1" applyFill="1" applyBorder="1" applyAlignment="1">
      <alignment horizontal="center" wrapText="1"/>
    </xf>
    <xf numFmtId="171" fontId="84" fillId="5" borderId="0" xfId="1" applyNumberFormat="1" applyFont="1" applyFill="1"/>
    <xf numFmtId="9" fontId="84" fillId="5" borderId="0" xfId="2" applyFont="1" applyFill="1"/>
    <xf numFmtId="0" fontId="84" fillId="5" borderId="71" xfId="0" applyFont="1" applyFill="1" applyBorder="1"/>
    <xf numFmtId="171" fontId="84" fillId="5" borderId="71" xfId="1" applyNumberFormat="1" applyFont="1" applyFill="1" applyBorder="1"/>
    <xf numFmtId="9" fontId="84" fillId="5" borderId="71" xfId="2" applyFont="1" applyFill="1" applyBorder="1"/>
    <xf numFmtId="171" fontId="148" fillId="5" borderId="0" xfId="0" applyNumberFormat="1" applyFont="1" applyFill="1"/>
    <xf numFmtId="0" fontId="161" fillId="24" borderId="0" xfId="0" applyFont="1" applyFill="1"/>
    <xf numFmtId="0" fontId="148" fillId="5" borderId="71" xfId="0" applyFont="1" applyFill="1" applyBorder="1" applyAlignment="1">
      <alignment wrapText="1"/>
    </xf>
    <xf numFmtId="171" fontId="148" fillId="5" borderId="0" xfId="1" applyNumberFormat="1" applyFont="1" applyFill="1"/>
    <xf numFmtId="0" fontId="162" fillId="24" borderId="0" xfId="0" applyFont="1" applyFill="1"/>
    <xf numFmtId="0" fontId="163" fillId="24" borderId="0" xfId="0" applyFont="1" applyFill="1"/>
    <xf numFmtId="3" fontId="84" fillId="5" borderId="0" xfId="0" applyNumberFormat="1" applyFont="1" applyFill="1"/>
    <xf numFmtId="167" fontId="84" fillId="5" borderId="0" xfId="2" applyNumberFormat="1" applyFont="1" applyFill="1"/>
    <xf numFmtId="3" fontId="84" fillId="5" borderId="71" xfId="0" applyNumberFormat="1" applyFont="1" applyFill="1" applyBorder="1"/>
    <xf numFmtId="3" fontId="148" fillId="5" borderId="0" xfId="0" applyNumberFormat="1" applyFont="1" applyFill="1"/>
    <xf numFmtId="3" fontId="148" fillId="5" borderId="0" xfId="0" applyNumberFormat="1" applyFont="1" applyFill="1" applyAlignment="1">
      <alignment wrapText="1"/>
    </xf>
    <xf numFmtId="167" fontId="148" fillId="5" borderId="0" xfId="2" applyNumberFormat="1" applyFont="1" applyFill="1"/>
    <xf numFmtId="3" fontId="53" fillId="4" borderId="68" xfId="43" applyNumberFormat="1" applyFont="1" applyFill="1" applyBorder="1"/>
    <xf numFmtId="166" fontId="53" fillId="3" borderId="68" xfId="1" applyNumberFormat="1" applyFont="1" applyFill="1" applyBorder="1"/>
    <xf numFmtId="3" fontId="53" fillId="4" borderId="83" xfId="43" applyNumberFormat="1" applyFont="1" applyFill="1" applyBorder="1"/>
    <xf numFmtId="166" fontId="122" fillId="0" borderId="0" xfId="4" applyNumberFormat="1" applyFont="1"/>
    <xf numFmtId="3" fontId="48" fillId="15" borderId="120" xfId="43" applyNumberFormat="1" applyFont="1" applyFill="1" applyBorder="1"/>
    <xf numFmtId="3" fontId="61" fillId="25" borderId="120" xfId="43" applyNumberFormat="1" applyFont="1" applyFill="1" applyBorder="1"/>
    <xf numFmtId="0" fontId="55" fillId="24" borderId="0" xfId="0" applyFont="1" applyFill="1"/>
    <xf numFmtId="3" fontId="55" fillId="24" borderId="0" xfId="0" applyNumberFormat="1" applyFont="1" applyFill="1" applyAlignment="1">
      <alignment horizontal="left" indent="2"/>
    </xf>
    <xf numFmtId="3" fontId="55" fillId="24" borderId="0" xfId="0" applyNumberFormat="1" applyFont="1" applyFill="1"/>
    <xf numFmtId="0" fontId="164" fillId="0" borderId="0" xfId="83" applyFont="1"/>
    <xf numFmtId="0" fontId="48" fillId="0" borderId="52" xfId="43" applyFont="1" applyBorder="1" applyAlignment="1">
      <alignment horizontal="left" wrapText="1" indent="2"/>
    </xf>
    <xf numFmtId="49" fontId="48" fillId="22" borderId="70" xfId="43" applyNumberFormat="1" applyFont="1" applyFill="1" applyBorder="1" applyAlignment="1">
      <alignment horizontal="left" wrapText="1" indent="4"/>
    </xf>
    <xf numFmtId="49" fontId="48" fillId="0" borderId="85" xfId="43" applyNumberFormat="1" applyFont="1" applyBorder="1" applyAlignment="1">
      <alignment horizontal="left" wrapText="1" indent="4"/>
    </xf>
    <xf numFmtId="9" fontId="48" fillId="3" borderId="68" xfId="4" applyFont="1" applyFill="1" applyBorder="1" applyAlignment="1">
      <alignment wrapText="1"/>
    </xf>
    <xf numFmtId="9" fontId="53" fillId="4" borderId="68" xfId="4" applyFont="1" applyFill="1" applyBorder="1"/>
    <xf numFmtId="9" fontId="48" fillId="0" borderId="120" xfId="4" applyFont="1" applyFill="1" applyBorder="1"/>
    <xf numFmtId="9" fontId="53" fillId="4" borderId="120" xfId="4" applyFont="1" applyFill="1" applyBorder="1"/>
    <xf numFmtId="9" fontId="48" fillId="0" borderId="120" xfId="4" applyFont="1" applyBorder="1"/>
    <xf numFmtId="9" fontId="48" fillId="0" borderId="79" xfId="4" applyFont="1" applyFill="1" applyBorder="1" applyAlignment="1">
      <alignment wrapText="1"/>
    </xf>
    <xf numFmtId="9" fontId="48" fillId="4" borderId="120" xfId="4" applyFont="1" applyFill="1" applyBorder="1" applyAlignment="1">
      <alignment wrapText="1"/>
    </xf>
    <xf numFmtId="9" fontId="48" fillId="0" borderId="120" xfId="4" applyFont="1" applyFill="1" applyBorder="1" applyAlignment="1">
      <alignment wrapText="1"/>
    </xf>
    <xf numFmtId="3" fontId="53" fillId="4" borderId="120" xfId="43" applyNumberFormat="1" applyFont="1" applyFill="1" applyBorder="1"/>
    <xf numFmtId="3" fontId="48" fillId="12" borderId="120" xfId="43" applyNumberFormat="1" applyFont="1" applyFill="1" applyBorder="1"/>
    <xf numFmtId="3" fontId="48" fillId="7" borderId="120" xfId="43" applyNumberFormat="1" applyFont="1" applyFill="1" applyBorder="1" applyAlignment="1">
      <alignment wrapText="1"/>
    </xf>
    <xf numFmtId="9" fontId="59" fillId="8" borderId="120" xfId="4" applyFont="1" applyFill="1" applyBorder="1" applyAlignment="1">
      <alignment wrapText="1"/>
    </xf>
    <xf numFmtId="9" fontId="59" fillId="8" borderId="81" xfId="4" applyFont="1" applyFill="1" applyBorder="1" applyAlignment="1">
      <alignment wrapText="1"/>
    </xf>
    <xf numFmtId="9" fontId="59" fillId="9" borderId="117" xfId="4" applyFont="1" applyFill="1" applyBorder="1"/>
    <xf numFmtId="9" fontId="48" fillId="0" borderId="81" xfId="4" applyFont="1" applyFill="1" applyBorder="1"/>
    <xf numFmtId="9" fontId="48" fillId="0" borderId="117" xfId="4" applyFont="1" applyFill="1" applyBorder="1"/>
    <xf numFmtId="9" fontId="48" fillId="5" borderId="120" xfId="4" applyFont="1" applyFill="1" applyBorder="1" applyAlignment="1">
      <alignment wrapText="1"/>
    </xf>
    <xf numFmtId="1" fontId="48" fillId="0" borderId="120" xfId="4" applyNumberFormat="1" applyFont="1" applyFill="1" applyBorder="1"/>
    <xf numFmtId="9" fontId="53" fillId="4" borderId="79" xfId="4" applyFont="1" applyFill="1" applyBorder="1"/>
    <xf numFmtId="9" fontId="53" fillId="4" borderId="72" xfId="4" applyFont="1" applyFill="1" applyBorder="1"/>
    <xf numFmtId="9" fontId="48" fillId="3" borderId="120" xfId="4" quotePrefix="1" applyFont="1" applyFill="1" applyBorder="1" applyAlignment="1">
      <alignment wrapText="1"/>
    </xf>
    <xf numFmtId="3" fontId="53" fillId="3" borderId="120" xfId="43" applyNumberFormat="1" applyFont="1" applyFill="1" applyBorder="1"/>
    <xf numFmtId="9" fontId="48" fillId="0" borderId="117" xfId="4" applyFont="1" applyBorder="1" applyAlignment="1">
      <alignment wrapText="1"/>
    </xf>
    <xf numFmtId="9" fontId="53" fillId="3" borderId="120" xfId="4" applyFont="1" applyFill="1" applyBorder="1"/>
    <xf numFmtId="9" fontId="61" fillId="0" borderId="120" xfId="4" applyFont="1" applyBorder="1" applyAlignment="1">
      <alignment wrapText="1"/>
    </xf>
    <xf numFmtId="9" fontId="48" fillId="0" borderId="120" xfId="4" quotePrefix="1" applyFont="1" applyBorder="1" applyAlignment="1">
      <alignment wrapText="1"/>
    </xf>
    <xf numFmtId="9" fontId="61" fillId="3" borderId="120" xfId="4" applyFont="1" applyFill="1" applyBorder="1" applyAlignment="1">
      <alignment wrapText="1"/>
    </xf>
    <xf numFmtId="3" fontId="53" fillId="0" borderId="120" xfId="43" applyNumberFormat="1" applyFont="1" applyBorder="1"/>
    <xf numFmtId="9" fontId="59" fillId="0" borderId="120" xfId="4" applyFont="1" applyFill="1" applyBorder="1" applyAlignment="1">
      <alignment wrapText="1"/>
    </xf>
    <xf numFmtId="3" fontId="48" fillId="0" borderId="60" xfId="43" applyNumberFormat="1" applyFont="1" applyBorder="1" applyAlignment="1">
      <alignment wrapText="1"/>
    </xf>
    <xf numFmtId="0" fontId="62" fillId="12" borderId="73" xfId="0" applyFont="1" applyFill="1" applyBorder="1" applyAlignment="1">
      <alignment horizontal="center" wrapText="1"/>
    </xf>
    <xf numFmtId="0" fontId="68" fillId="0" borderId="88" xfId="0" applyFont="1" applyBorder="1" applyAlignment="1">
      <alignment horizontal="left" vertical="top" wrapText="1"/>
    </xf>
    <xf numFmtId="166" fontId="68" fillId="15" borderId="0" xfId="1" applyNumberFormat="1" applyFont="1" applyFill="1" applyAlignment="1">
      <alignment horizontal="left" vertical="top" wrapText="1"/>
    </xf>
    <xf numFmtId="0" fontId="68" fillId="0" borderId="0" xfId="0" applyFont="1" applyAlignment="1">
      <alignment horizontal="left" vertical="top" wrapText="1"/>
    </xf>
    <xf numFmtId="0" fontId="62" fillId="12" borderId="73" xfId="0" applyFont="1" applyFill="1" applyBorder="1" applyAlignment="1">
      <alignment horizontal="center"/>
    </xf>
    <xf numFmtId="0" fontId="85" fillId="12" borderId="73" xfId="0" applyFont="1" applyFill="1" applyBorder="1" applyAlignment="1">
      <alignment horizontal="center" wrapText="1"/>
    </xf>
    <xf numFmtId="0" fontId="145" fillId="14" borderId="77" xfId="0" applyFont="1" applyFill="1" applyBorder="1" applyAlignment="1">
      <alignment horizontal="center" wrapText="1"/>
    </xf>
    <xf numFmtId="0" fontId="145" fillId="14" borderId="78" xfId="0" applyFont="1" applyFill="1" applyBorder="1" applyAlignment="1">
      <alignment horizontal="center" wrapText="1"/>
    </xf>
    <xf numFmtId="0" fontId="145" fillId="14" borderId="73" xfId="0" applyFont="1" applyFill="1" applyBorder="1" applyAlignment="1">
      <alignment horizontal="center" wrapText="1"/>
    </xf>
    <xf numFmtId="0" fontId="145" fillId="14" borderId="73" xfId="0" applyFont="1" applyFill="1" applyBorder="1" applyAlignment="1">
      <alignment horizontal="center"/>
    </xf>
    <xf numFmtId="0" fontId="62" fillId="26" borderId="73" xfId="0" applyFont="1" applyFill="1" applyBorder="1" applyAlignment="1">
      <alignment horizontal="center" wrapText="1"/>
    </xf>
    <xf numFmtId="0" fontId="62" fillId="26" borderId="77" xfId="0" applyFont="1" applyFill="1" applyBorder="1" applyAlignment="1">
      <alignment horizontal="center" wrapText="1"/>
    </xf>
    <xf numFmtId="0" fontId="62" fillId="26" borderId="78" xfId="0" applyFont="1" applyFill="1" applyBorder="1" applyAlignment="1">
      <alignment horizontal="center" wrapText="1"/>
    </xf>
    <xf numFmtId="0" fontId="141" fillId="0" borderId="73" xfId="0" applyFont="1" applyBorder="1" applyAlignment="1">
      <alignment horizontal="center" wrapText="1"/>
    </xf>
    <xf numFmtId="0" fontId="136" fillId="0" borderId="96" xfId="0" applyFont="1" applyBorder="1" applyAlignment="1">
      <alignment horizontal="center"/>
    </xf>
    <xf numFmtId="0" fontId="85" fillId="26" borderId="73" xfId="0" applyFont="1" applyFill="1" applyBorder="1" applyAlignment="1">
      <alignment horizontal="center" wrapText="1"/>
    </xf>
    <xf numFmtId="0" fontId="85" fillId="26" borderId="73" xfId="0" applyFont="1" applyFill="1" applyBorder="1" applyAlignment="1">
      <alignment horizontal="center"/>
    </xf>
    <xf numFmtId="0" fontId="85" fillId="12" borderId="73" xfId="0" applyFont="1" applyFill="1" applyBorder="1" applyAlignment="1">
      <alignment horizontal="center"/>
    </xf>
    <xf numFmtId="0" fontId="62" fillId="12" borderId="77" xfId="0" applyFont="1" applyFill="1" applyBorder="1" applyAlignment="1">
      <alignment horizontal="center" wrapText="1"/>
    </xf>
    <xf numFmtId="0" fontId="62" fillId="12" borderId="78" xfId="0" applyFont="1" applyFill="1" applyBorder="1" applyAlignment="1">
      <alignment horizontal="center" wrapText="1"/>
    </xf>
    <xf numFmtId="9" fontId="48" fillId="19" borderId="64" xfId="2" applyFont="1" applyFill="1" applyBorder="1" applyAlignment="1">
      <alignment horizontal="right" vertical="center"/>
    </xf>
    <xf numFmtId="9" fontId="48" fillId="19" borderId="22" xfId="2" applyFont="1" applyFill="1" applyBorder="1" applyAlignment="1">
      <alignment horizontal="right" vertical="center"/>
    </xf>
    <xf numFmtId="3" fontId="59" fillId="8" borderId="84" xfId="43" applyNumberFormat="1" applyFont="1" applyFill="1" applyBorder="1" applyAlignment="1">
      <alignment horizontal="right" vertical="center"/>
    </xf>
    <xf numFmtId="3" fontId="59" fillId="8" borderId="22" xfId="43" applyNumberFormat="1" applyFont="1" applyFill="1" applyBorder="1" applyAlignment="1">
      <alignment horizontal="right" vertical="center"/>
    </xf>
    <xf numFmtId="9" fontId="59" fillId="8" borderId="84" xfId="2" applyFont="1" applyFill="1" applyBorder="1" applyAlignment="1">
      <alignment horizontal="right" vertical="center"/>
    </xf>
    <xf numFmtId="9" fontId="59" fillId="8" borderId="22" xfId="2" applyFont="1" applyFill="1" applyBorder="1" applyAlignment="1">
      <alignment horizontal="right" vertical="center"/>
    </xf>
    <xf numFmtId="3" fontId="48" fillId="0" borderId="84" xfId="43" applyNumberFormat="1" applyFont="1" applyBorder="1" applyAlignment="1">
      <alignment horizontal="right" vertical="center"/>
    </xf>
    <xf numFmtId="3" fontId="48" fillId="0" borderId="22" xfId="43" applyNumberFormat="1" applyFont="1" applyBorder="1" applyAlignment="1">
      <alignment horizontal="right" vertical="center"/>
    </xf>
    <xf numFmtId="9" fontId="48" fillId="22" borderId="84" xfId="4" applyFont="1" applyFill="1" applyBorder="1" applyAlignment="1">
      <alignment horizontal="left" wrapText="1"/>
    </xf>
    <xf numFmtId="9" fontId="48" fillId="22" borderId="22" xfId="4" applyFont="1" applyFill="1" applyBorder="1" applyAlignment="1">
      <alignment horizontal="left" wrapText="1"/>
    </xf>
    <xf numFmtId="9" fontId="48" fillId="0" borderId="84" xfId="4" applyFont="1" applyFill="1" applyBorder="1" applyAlignment="1">
      <alignment horizontal="left" wrapText="1"/>
    </xf>
    <xf numFmtId="9" fontId="48" fillId="0" borderId="22" xfId="4" applyFont="1" applyFill="1" applyBorder="1" applyAlignment="1">
      <alignment horizontal="left" wrapText="1"/>
    </xf>
    <xf numFmtId="0" fontId="101" fillId="0" borderId="0" xfId="83" applyFont="1"/>
    <xf numFmtId="0" fontId="42" fillId="0" borderId="0" xfId="43"/>
    <xf numFmtId="0" fontId="100" fillId="0" borderId="0" xfId="83" applyFont="1"/>
    <xf numFmtId="0" fontId="55" fillId="24" borderId="0" xfId="0" applyFont="1" applyFill="1" applyAlignment="1">
      <alignment horizontal="left" vertical="top" wrapText="1" indent="2"/>
    </xf>
    <xf numFmtId="0" fontId="55" fillId="24" borderId="0" xfId="0" applyFont="1" applyFill="1" applyAlignment="1">
      <alignment horizontal="left" vertical="top" wrapText="1"/>
    </xf>
    <xf numFmtId="0" fontId="55" fillId="24" borderId="0" xfId="0" applyFont="1" applyFill="1" applyAlignment="1">
      <alignment horizontal="left" wrapText="1"/>
    </xf>
    <xf numFmtId="0" fontId="55" fillId="24" borderId="0" xfId="0" applyFont="1" applyFill="1" applyAlignment="1">
      <alignment horizontal="left"/>
    </xf>
  </cellXfs>
  <cellStyles count="276">
    <cellStyle name="20% - Accent1" xfId="118" builtinId="30" customBuiltin="1"/>
    <cellStyle name="20% - Accent1 2" xfId="178" xr:uid="{363495CB-4EFD-4075-8AF2-8C15E33F265E}"/>
    <cellStyle name="20% - Accent1 3" xfId="254" xr:uid="{E5B18DE7-613F-46E6-83F3-B8D166189AAE}"/>
    <cellStyle name="20% - Accent2" xfId="122" builtinId="34" customBuiltin="1"/>
    <cellStyle name="20% - Accent2 2" xfId="181" xr:uid="{A18B77CC-0EE2-4068-8D7D-EF36B82D4569}"/>
    <cellStyle name="20% - Accent2 3" xfId="257" xr:uid="{0B5741FD-8B26-42B3-AD92-C666C48C2E56}"/>
    <cellStyle name="20% - Accent3" xfId="126" builtinId="38" customBuiltin="1"/>
    <cellStyle name="20% - Accent3 2" xfId="184" xr:uid="{828B7FC4-D874-45AB-90C4-80E102CDA5BC}"/>
    <cellStyle name="20% - Accent3 3" xfId="260" xr:uid="{1E6C9157-3BCC-462D-A9DA-092044DD508A}"/>
    <cellStyle name="20% - Accent4" xfId="130" builtinId="42" customBuiltin="1"/>
    <cellStyle name="20% - Accent4 2" xfId="187" xr:uid="{D6C29F7D-F1D1-4B50-B51D-8C757C4F426E}"/>
    <cellStyle name="20% - Accent4 3" xfId="263" xr:uid="{C8AB55DE-1FCC-4428-9A86-267BA79876C2}"/>
    <cellStyle name="20% - Accent5" xfId="134" builtinId="46" customBuiltin="1"/>
    <cellStyle name="20% - Accent5 2" xfId="190" xr:uid="{FCD4D055-3930-49A6-8889-90B080C6E772}"/>
    <cellStyle name="20% - Accent5 3" xfId="266" xr:uid="{F587695F-375B-4967-B352-43DE04DA1E20}"/>
    <cellStyle name="20% - Accent6" xfId="138" builtinId="50" customBuiltin="1"/>
    <cellStyle name="20% - Accent6 2" xfId="193" xr:uid="{27DC87F4-78AB-4578-80CF-0B1BFA91BF76}"/>
    <cellStyle name="20% - Accent6 3" xfId="269" xr:uid="{6401CBB4-6642-461B-ACAA-8610AEB4F886}"/>
    <cellStyle name="20% no 1. izcēluma 2" xfId="148" xr:uid="{00000000-0005-0000-0000-000001000000}"/>
    <cellStyle name="20% no 1. izcēluma 3" xfId="221" xr:uid="{784540F9-359C-423E-BC1B-C1AEB3C33C54}"/>
    <cellStyle name="20% no 2. izcēluma 2" xfId="150" xr:uid="{00000000-0005-0000-0000-000003000000}"/>
    <cellStyle name="20% no 2. izcēluma 3" xfId="224" xr:uid="{825A49D2-CB0F-4EA0-883E-62C47A8A74EE}"/>
    <cellStyle name="20% no 3. izcēluma 2" xfId="152" xr:uid="{00000000-0005-0000-0000-000005000000}"/>
    <cellStyle name="20% no 3. izcēluma 3" xfId="227" xr:uid="{BDB0685F-E89F-4E5B-8878-13EC8CEB3F6B}"/>
    <cellStyle name="20% no 4. izcēluma 2" xfId="154" xr:uid="{00000000-0005-0000-0000-000007000000}"/>
    <cellStyle name="20% no 4. izcēluma 3" xfId="230" xr:uid="{A8DB4D5F-6BB0-4C95-BF37-19DF26094270}"/>
    <cellStyle name="20% no 5. izcēluma 2" xfId="156" xr:uid="{00000000-0005-0000-0000-000009000000}"/>
    <cellStyle name="20% no 5. izcēluma 3" xfId="233" xr:uid="{A32F06B0-3F09-44A7-8CC2-04FCC134D7A2}"/>
    <cellStyle name="20% no 6. izcēluma 2" xfId="158" xr:uid="{00000000-0005-0000-0000-00000B000000}"/>
    <cellStyle name="20% no 6. izcēluma 3" xfId="236" xr:uid="{D91FA401-D48B-4953-A089-E6168A38A39B}"/>
    <cellStyle name="40% - Accent1" xfId="119" builtinId="31" customBuiltin="1"/>
    <cellStyle name="40% - Accent1 2" xfId="179" xr:uid="{52F15773-EEB9-4FAB-B1D0-72EF0155F97D}"/>
    <cellStyle name="40% - Accent1 3" xfId="255" xr:uid="{3E5A396A-0448-4C32-9011-01F9C66BC61D}"/>
    <cellStyle name="40% - Accent2" xfId="123" builtinId="35" customBuiltin="1"/>
    <cellStyle name="40% - Accent2 2" xfId="182" xr:uid="{3B8FAB79-3B2B-45F3-A5EB-B230A3278B50}"/>
    <cellStyle name="40% - Accent2 3" xfId="258" xr:uid="{1181E458-A323-45CD-9455-A05C791EED05}"/>
    <cellStyle name="40% - Accent3" xfId="127" builtinId="39" customBuiltin="1"/>
    <cellStyle name="40% - Accent3 2" xfId="185" xr:uid="{2B662775-B899-4B35-8D7E-FCE4CD58456D}"/>
    <cellStyle name="40% - Accent3 3" xfId="261" xr:uid="{9AF3EAC6-520A-4CDF-9CAA-4E7F85768EEB}"/>
    <cellStyle name="40% - Accent4" xfId="131" builtinId="43" customBuiltin="1"/>
    <cellStyle name="40% - Accent4 2" xfId="188" xr:uid="{64C688F0-7CEF-4FE8-9E4F-59C5F7B42BEF}"/>
    <cellStyle name="40% - Accent4 3" xfId="264" xr:uid="{4CD6D80D-3FF9-4D61-B545-31BC888C668F}"/>
    <cellStyle name="40% - Accent5" xfId="135" builtinId="47" customBuiltin="1"/>
    <cellStyle name="40% - Accent5 2" xfId="191" xr:uid="{AF63A63F-2393-4DDD-B11E-1E8547F0F85D}"/>
    <cellStyle name="40% - Accent5 3" xfId="267" xr:uid="{549B5969-3EB4-4DD1-BDD8-95D7A6E0C93E}"/>
    <cellStyle name="40% - Accent6" xfId="139" builtinId="51" customBuiltin="1"/>
    <cellStyle name="40% - Accent6 2" xfId="194" xr:uid="{3A5C1458-F927-4ED5-9DF6-2B52D0C9B7BA}"/>
    <cellStyle name="40% - Accent6 3" xfId="270" xr:uid="{0D42A310-8352-4F0C-A4E1-061959AAB9CB}"/>
    <cellStyle name="40% no 1. izcēluma 2" xfId="149" xr:uid="{00000000-0005-0000-0000-00000D000000}"/>
    <cellStyle name="40% no 1. izcēluma 3" xfId="222" xr:uid="{79A19D2E-A8A2-4715-83EE-F09F8D21670E}"/>
    <cellStyle name="40% no 2. izcēluma 2" xfId="151" xr:uid="{00000000-0005-0000-0000-00000F000000}"/>
    <cellStyle name="40% no 2. izcēluma 3" xfId="225" xr:uid="{6D9775AC-6734-46A7-8000-8D06F849011F}"/>
    <cellStyle name="40% no 3. izcēluma 2" xfId="153" xr:uid="{00000000-0005-0000-0000-000011000000}"/>
    <cellStyle name="40% no 3. izcēluma 3" xfId="228" xr:uid="{1DBDB1B2-71C4-4862-AD1C-CDF14924E251}"/>
    <cellStyle name="40% no 4. izcēluma 2" xfId="155" xr:uid="{00000000-0005-0000-0000-000013000000}"/>
    <cellStyle name="40% no 4. izcēluma 3" xfId="231" xr:uid="{4A868E76-6305-44D7-A20B-7EEE03FAFAB6}"/>
    <cellStyle name="40% no 5. izcēluma 2" xfId="157" xr:uid="{00000000-0005-0000-0000-000015000000}"/>
    <cellStyle name="40% no 5. izcēluma 3" xfId="234" xr:uid="{4F8CC661-C589-4E31-9949-FDD729F9FFE2}"/>
    <cellStyle name="40% no 6. izcēluma 2" xfId="159" xr:uid="{00000000-0005-0000-0000-000017000000}"/>
    <cellStyle name="40% no 6. izcēluma 3" xfId="237" xr:uid="{21B6D52D-3270-4A1B-841E-69E38C4EE0ED}"/>
    <cellStyle name="60% - Accent1" xfId="120" builtinId="32" customBuiltin="1"/>
    <cellStyle name="60% - Accent1 2" xfId="180" xr:uid="{2FF805B4-7736-476D-9441-E38DA002F17C}"/>
    <cellStyle name="60% - Accent1 3" xfId="256" xr:uid="{1D71ECB8-1786-4327-A481-1DBC41CD12F6}"/>
    <cellStyle name="60% - Accent2" xfId="124" builtinId="36" customBuiltin="1"/>
    <cellStyle name="60% - Accent2 2" xfId="183" xr:uid="{C36BDC48-DDDB-44C7-9E4B-3FEFC6C7EE83}"/>
    <cellStyle name="60% - Accent2 3" xfId="259" xr:uid="{1FE7452F-6B7B-4BB2-8685-1812FF4DC364}"/>
    <cellStyle name="60% - Accent3" xfId="128" builtinId="40" customBuiltin="1"/>
    <cellStyle name="60% - Accent3 2" xfId="186" xr:uid="{129DABD0-E58B-4402-90C0-1CDA297E49E8}"/>
    <cellStyle name="60% - Accent3 3" xfId="262" xr:uid="{08802A62-7D09-45F3-ADFC-7526242635C2}"/>
    <cellStyle name="60% - Accent4" xfId="132" builtinId="44" customBuiltin="1"/>
    <cellStyle name="60% - Accent4 2" xfId="189" xr:uid="{4DF1C865-0303-4E8E-8163-9614765FC054}"/>
    <cellStyle name="60% - Accent4 3" xfId="265" xr:uid="{68A38B11-F7FC-4586-93CC-9F039F4577DA}"/>
    <cellStyle name="60% - Accent5" xfId="136" builtinId="48" customBuiltin="1"/>
    <cellStyle name="60% - Accent5 2" xfId="192" xr:uid="{49CE04F7-7C67-4035-B478-D5A0BC67A4F9}"/>
    <cellStyle name="60% - Accent5 3" xfId="268" xr:uid="{B7B32AEA-8954-41E2-ACA2-AF1C9415F3A5}"/>
    <cellStyle name="60% - Accent6" xfId="140" builtinId="52" customBuiltin="1"/>
    <cellStyle name="60% - Accent6 2" xfId="195" xr:uid="{E49FFC8E-C988-475A-9C83-E9CFCB701DBF}"/>
    <cellStyle name="60% - Accent6 3" xfId="271" xr:uid="{CE0272C9-98EC-4F79-8EFD-9FFA00968D36}"/>
    <cellStyle name="60% no 1. izcēluma 2" xfId="223" xr:uid="{BACF85F9-4A7D-4C85-89B8-81505C9E67CC}"/>
    <cellStyle name="60% no 2. izcēluma 2" xfId="226" xr:uid="{E8127104-1405-4FB8-A7A8-A9AC3EFE9E68}"/>
    <cellStyle name="60% no 3. izcēluma 2" xfId="229" xr:uid="{DF56DC40-6B6E-4ECB-9EB0-25F22FE902E7}"/>
    <cellStyle name="60% no 4. izcēluma 2" xfId="232" xr:uid="{B21BC850-C4D2-4CC5-A843-4B748E0B26A3}"/>
    <cellStyle name="60% no 5. izcēluma 2" xfId="235" xr:uid="{93DD5956-1773-4ED8-803E-11AD19B3C5C4}"/>
    <cellStyle name="60% no 6. izcēluma 2" xfId="238" xr:uid="{521FF28F-DC94-43B6-BBAC-663C1ED4DF4C}"/>
    <cellStyle name="Accent1" xfId="117" builtinId="29" customBuiltin="1"/>
    <cellStyle name="Accent2" xfId="121" builtinId="33" customBuiltin="1"/>
    <cellStyle name="Accent3" xfId="125" builtinId="37" customBuiltin="1"/>
    <cellStyle name="Accent4" xfId="129" builtinId="41" customBuiltin="1"/>
    <cellStyle name="Accent5" xfId="133" builtinId="45" customBuiltin="1"/>
    <cellStyle name="Accent6" xfId="137" builtinId="49" customBuiltin="1"/>
    <cellStyle name="Bad" xfId="107" builtinId="27" customBuiltin="1"/>
    <cellStyle name="Calculation" xfId="111" builtinId="22" customBuiltin="1"/>
    <cellStyle name="Check Cell" xfId="113" builtinId="23" customBuiltin="1"/>
    <cellStyle name="Comma" xfId="1" builtinId="3"/>
    <cellStyle name="Comma 2" xfId="217" xr:uid="{A6C95BC1-19F2-4D14-8F05-F1BCAFFD66B6}"/>
    <cellStyle name="Comma 2 2" xfId="25" xr:uid="{00000000-0005-0000-0000-000020000000}"/>
    <cellStyle name="Comma 2 3" xfId="275" xr:uid="{F9D5D71F-661B-4307-A0AF-6B2ED6BF2B9D}"/>
    <cellStyle name="Comma 3" xfId="30" xr:uid="{00000000-0005-0000-0000-000021000000}"/>
    <cellStyle name="Comma 3 2" xfId="98" xr:uid="{00000000-0005-0000-0000-000022000000}"/>
    <cellStyle name="Comma 3 3" xfId="12" xr:uid="{00000000-0005-0000-0000-000023000000}"/>
    <cellStyle name="Comma 4" xfId="249" xr:uid="{AC4A0D79-086A-4C7A-AFC2-E1C60832C341}"/>
    <cellStyle name="Comma 4 2" xfId="11" xr:uid="{00000000-0005-0000-0000-000024000000}"/>
    <cellStyle name="Comma 5" xfId="8" xr:uid="{00000000-0005-0000-0000-000025000000}"/>
    <cellStyle name="Comma 6" xfId="251" xr:uid="{20C29D04-42EB-4FAE-971A-CDD78EB55D47}"/>
    <cellStyle name="Comma 6 2" xfId="15" xr:uid="{00000000-0005-0000-0000-000026000000}"/>
    <cellStyle name="Comma 7" xfId="273" xr:uid="{5DB96E3C-C4BF-462A-82BC-319C1315BCE8}"/>
    <cellStyle name="Currency 2" xfId="214" xr:uid="{A0439C78-5394-45FD-B783-E1E5BD692DBF}"/>
    <cellStyle name="Datums" xfId="209" xr:uid="{177CD88D-07C8-4806-B238-51403151868B}"/>
    <cellStyle name="Excel Built-in Comma" xfId="69" xr:uid="{00000000-0005-0000-0000-000028000000}"/>
    <cellStyle name="Excel Built-in Normal" xfId="54" xr:uid="{00000000-0005-0000-0000-000029000000}"/>
    <cellStyle name="Excel Built-in Percent" xfId="68" xr:uid="{00000000-0005-0000-0000-00002A000000}"/>
    <cellStyle name="Explanatory Text" xfId="115" builtinId="53" customBuiltin="1"/>
    <cellStyle name="Explanatory Text 2" xfId="207" xr:uid="{A0498B9A-D992-4E78-BF25-546CAE2BE786}"/>
    <cellStyle name="Good" xfId="106" builtinId="26" customBuiltin="1"/>
    <cellStyle name="Heading 1" xfId="102" builtinId="16" customBuiltin="1"/>
    <cellStyle name="Heading 1 2" xfId="204" xr:uid="{E98B7448-A897-4EA1-9906-18A8FE0D192D}"/>
    <cellStyle name="Heading 2" xfId="103" builtinId="17" customBuiltin="1"/>
    <cellStyle name="Heading 2 2" xfId="208" xr:uid="{FF1DA6CD-3B3A-4E9F-90B0-39C524CC5C89}"/>
    <cellStyle name="Heading 3" xfId="104" builtinId="18" customBuiltin="1"/>
    <cellStyle name="Heading 3 2" xfId="211" xr:uid="{EC5204E5-D883-4752-94D0-7259464FE54C}"/>
    <cellStyle name="Heading 4" xfId="105" builtinId="19" customBuiltin="1"/>
    <cellStyle name="Heading 4 2" xfId="212" xr:uid="{5BE628C0-8046-4E7E-9D76-388CC31BADE7}"/>
    <cellStyle name="Hipersaite 2" xfId="41" xr:uid="{00000000-0005-0000-0000-00002C000000}"/>
    <cellStyle name="Hipersaite 3" xfId="91" xr:uid="{00000000-0005-0000-0000-00002D000000}"/>
    <cellStyle name="Hipersaite 4" xfId="197" xr:uid="{6744AC71-A348-4DB4-9CF9-D7854F4985EF}"/>
    <cellStyle name="Hyperlink" xfId="173" builtinId="8"/>
    <cellStyle name="Input" xfId="109" builtinId="20" customBuiltin="1"/>
    <cellStyle name="Komats 10" xfId="5" xr:uid="{00000000-0005-0000-0000-000037000000}"/>
    <cellStyle name="Komats 10 2" xfId="61" xr:uid="{00000000-0005-0000-0000-000038000000}"/>
    <cellStyle name="Komats 11" xfId="78" xr:uid="{00000000-0005-0000-0000-000039000000}"/>
    <cellStyle name="Komats 12" xfId="99" xr:uid="{00000000-0005-0000-0000-00003A000000}"/>
    <cellStyle name="Komats 13" xfId="23" xr:uid="{00000000-0005-0000-0000-00003B000000}"/>
    <cellStyle name="Komats 13 2" xfId="58" xr:uid="{00000000-0005-0000-0000-00003C000000}"/>
    <cellStyle name="Komats 14" xfId="145" xr:uid="{00000000-0005-0000-0000-00003D000000}"/>
    <cellStyle name="Komats 15" xfId="201" xr:uid="{B05EB464-085D-4EEA-BAF8-CC5AD2B4A2D0}"/>
    <cellStyle name="Komats 18" xfId="20" xr:uid="{00000000-0005-0000-0000-00003E000000}"/>
    <cellStyle name="Komats 18 2" xfId="36" xr:uid="{00000000-0005-0000-0000-00003F000000}"/>
    <cellStyle name="Komats 2" xfId="29" xr:uid="{00000000-0005-0000-0000-000040000000}"/>
    <cellStyle name="Komats 2 2" xfId="60" xr:uid="{00000000-0005-0000-0000-000041000000}"/>
    <cellStyle name="Komats 2 3" xfId="161" xr:uid="{00000000-0005-0000-0000-000042000000}"/>
    <cellStyle name="Komats 20" xfId="19" xr:uid="{00000000-0005-0000-0000-000043000000}"/>
    <cellStyle name="Komats 20 2" xfId="50" xr:uid="{00000000-0005-0000-0000-000044000000}"/>
    <cellStyle name="Komats 20 3" xfId="57" xr:uid="{00000000-0005-0000-0000-000045000000}"/>
    <cellStyle name="Komats 20 4" xfId="81" xr:uid="{00000000-0005-0000-0000-000046000000}"/>
    <cellStyle name="Komats 3" xfId="49" xr:uid="{00000000-0005-0000-0000-000047000000}"/>
    <cellStyle name="Komats 3 2" xfId="63" xr:uid="{00000000-0005-0000-0000-000048000000}"/>
    <cellStyle name="Komats 3 3" xfId="87" xr:uid="{00000000-0005-0000-0000-000049000000}"/>
    <cellStyle name="Komats 3 4" xfId="165" xr:uid="{00000000-0005-0000-0000-00004A000000}"/>
    <cellStyle name="Komats 4" xfId="24" xr:uid="{00000000-0005-0000-0000-00004B000000}"/>
    <cellStyle name="Komats 4 2" xfId="39" xr:uid="{00000000-0005-0000-0000-00004C000000}"/>
    <cellStyle name="Komats 4 3" xfId="59" xr:uid="{00000000-0005-0000-0000-00004D000000}"/>
    <cellStyle name="Komats 5" xfId="67" xr:uid="{00000000-0005-0000-0000-00004E000000}"/>
    <cellStyle name="Komats 6" xfId="22" xr:uid="{00000000-0005-0000-0000-00004F000000}"/>
    <cellStyle name="Komats 7" xfId="72" xr:uid="{00000000-0005-0000-0000-000050000000}"/>
    <cellStyle name="Komats 7 2" xfId="144" xr:uid="{00000000-0005-0000-0000-000051000000}"/>
    <cellStyle name="Komats 8" xfId="75" xr:uid="{00000000-0005-0000-0000-000052000000}"/>
    <cellStyle name="Komats 9" xfId="17" xr:uid="{00000000-0005-0000-0000-000053000000}"/>
    <cellStyle name="Komentāri" xfId="213" xr:uid="{01923C97-C140-46F8-BB35-E6786FEC1363}"/>
    <cellStyle name="Labs 2" xfId="27" xr:uid="{00000000-0005-0000-0000-000056000000}"/>
    <cellStyle name="Linked Cell" xfId="112" builtinId="24" customBuiltin="1"/>
    <cellStyle name="Neitrāls 2" xfId="219" xr:uid="{E6A96BF4-61AC-4D2C-811D-29F06C7D1AE5}"/>
    <cellStyle name="Neutral" xfId="108" builtinId="28" customBuiltin="1"/>
    <cellStyle name="Neutral 2" xfId="176" xr:uid="{3B14C34B-77DA-4AF7-A04A-380F8ABDA04A}"/>
    <cellStyle name="Normal" xfId="0" builtinId="0"/>
    <cellStyle name="Normal 10" xfId="18" xr:uid="{00000000-0005-0000-0000-000058000000}"/>
    <cellStyle name="Normal 11" xfId="245" xr:uid="{5575246C-A952-4A15-BADA-9F19CD9E65C6}"/>
    <cellStyle name="Normal 12" xfId="248" xr:uid="{1D4F9D85-0A78-43F9-9239-E886866C899F}"/>
    <cellStyle name="Normal 13" xfId="250" xr:uid="{70DA57D8-BE06-4782-A262-EFEB9F93E445}"/>
    <cellStyle name="Normal 14" xfId="252" xr:uid="{665D8E63-7A1E-4286-B974-6D3B17E8B04A}"/>
    <cellStyle name="Normal 2" xfId="42" xr:uid="{00000000-0005-0000-0000-000059000000}"/>
    <cellStyle name="Normal 2 2" xfId="7" xr:uid="{00000000-0005-0000-0000-00005A000000}"/>
    <cellStyle name="Normal 2 2 2" xfId="52" xr:uid="{00000000-0005-0000-0000-00005B000000}"/>
    <cellStyle name="Normal 2 2 2 2" xfId="16" xr:uid="{00000000-0005-0000-0000-00005C000000}"/>
    <cellStyle name="Normal 2 3" xfId="64" xr:uid="{00000000-0005-0000-0000-00005D000000}"/>
    <cellStyle name="Normal 2 4" xfId="167" xr:uid="{00000000-0005-0000-0000-00005E000000}"/>
    <cellStyle name="Normal 2 5" xfId="274" xr:uid="{700C907F-C361-4212-BDF9-43011535042A}"/>
    <cellStyle name="Normal 3" xfId="51" xr:uid="{00000000-0005-0000-0000-00005F000000}"/>
    <cellStyle name="Normal 3 2" xfId="45" xr:uid="{00000000-0005-0000-0000-000060000000}"/>
    <cellStyle name="Normal 3 3" xfId="37" xr:uid="{00000000-0005-0000-0000-000061000000}"/>
    <cellStyle name="Normal 3 4" xfId="162" xr:uid="{00000000-0005-0000-0000-000062000000}"/>
    <cellStyle name="Normal 4" xfId="10" xr:uid="{00000000-0005-0000-0000-000063000000}"/>
    <cellStyle name="Normal 4 2" xfId="47" xr:uid="{00000000-0005-0000-0000-000064000000}"/>
    <cellStyle name="Normal 4 3" xfId="168" xr:uid="{00000000-0005-0000-0000-000065000000}"/>
    <cellStyle name="Normal 4 3 2" xfId="199" xr:uid="{7941E8FE-1001-4537-B72B-74FF7E985732}"/>
    <cellStyle name="Normal 4 3 2 2" xfId="241" xr:uid="{07A6D629-704A-4AD3-960C-E38FF4D2C387}"/>
    <cellStyle name="Normal 4 3 3" xfId="203" xr:uid="{1EEB7F85-9DF1-4FF9-BB7F-7A0A3BDFEC8F}"/>
    <cellStyle name="Normal 4 3 4" xfId="240" xr:uid="{23EF9E90-9BAF-472E-B63C-4831EE5CD3B5}"/>
    <cellStyle name="Normal 5" xfId="38" xr:uid="{00000000-0005-0000-0000-000066000000}"/>
    <cellStyle name="Normal 5 2" xfId="46" xr:uid="{00000000-0005-0000-0000-000067000000}"/>
    <cellStyle name="Normal 6" xfId="70" xr:uid="{00000000-0005-0000-0000-000068000000}"/>
    <cellStyle name="Normal 6 2" xfId="97" xr:uid="{00000000-0005-0000-0000-000069000000}"/>
    <cellStyle name="Normal 7" xfId="175" xr:uid="{91F72C39-2101-4206-AB1D-117A4479389E}"/>
    <cellStyle name="Normal 7 2" xfId="216" xr:uid="{B39A0216-0C63-4619-93B3-621879552DDB}"/>
    <cellStyle name="Normal 8" xfId="206" xr:uid="{06CF81E4-4CEE-4FB3-98A1-BFD93CCD82A7}"/>
    <cellStyle name="Normal 9" xfId="243" xr:uid="{E2B71D29-652D-40F2-B8AC-0C8EC8E6795B}"/>
    <cellStyle name="Note 2" xfId="177" xr:uid="{AA97006D-4E69-4CC6-8481-354EBBA19CC9}"/>
    <cellStyle name="Note 3" xfId="215" xr:uid="{C0D84A79-D75B-4349-B990-6E2C649B60A1}"/>
    <cellStyle name="Note 4" xfId="253" xr:uid="{AF2C6C55-2CA7-4924-A4AC-240F6A75F761}"/>
    <cellStyle name="Output" xfId="110" builtinId="21" customBuiltin="1"/>
    <cellStyle name="Parastais_Lapa2" xfId="40" xr:uid="{00000000-0005-0000-0000-00006D000000}"/>
    <cellStyle name="Parasts 10" xfId="74" xr:uid="{00000000-0005-0000-0000-00006F000000}"/>
    <cellStyle name="Parasts 11" xfId="76" xr:uid="{00000000-0005-0000-0000-000070000000}"/>
    <cellStyle name="Parasts 12" xfId="77" xr:uid="{00000000-0005-0000-0000-000071000000}"/>
    <cellStyle name="Parasts 13" xfId="82" xr:uid="{00000000-0005-0000-0000-000072000000}"/>
    <cellStyle name="Parasts 14" xfId="84" xr:uid="{00000000-0005-0000-0000-000073000000}"/>
    <cellStyle name="Parasts 15" xfId="90" xr:uid="{00000000-0005-0000-0000-000074000000}"/>
    <cellStyle name="Parasts 15 2" xfId="94" xr:uid="{00000000-0005-0000-0000-000075000000}"/>
    <cellStyle name="Parasts 16" xfId="92" xr:uid="{00000000-0005-0000-0000-000076000000}"/>
    <cellStyle name="Parasts 17" xfId="96" xr:uid="{00000000-0005-0000-0000-000077000000}"/>
    <cellStyle name="Parasts 18" xfId="141" xr:uid="{00000000-0005-0000-0000-000078000000}"/>
    <cellStyle name="Parasts 19" xfId="146" xr:uid="{00000000-0005-0000-0000-000079000000}"/>
    <cellStyle name="Parasts 2" xfId="28" xr:uid="{00000000-0005-0000-0000-00007A000000}"/>
    <cellStyle name="Parasts 2 2" xfId="3" xr:uid="{00000000-0005-0000-0000-00007B000000}"/>
    <cellStyle name="Parasts 2 2 2" xfId="13" xr:uid="{00000000-0005-0000-0000-00007C000000}"/>
    <cellStyle name="Parasts 2 2 2 2" xfId="65" xr:uid="{00000000-0005-0000-0000-00007D000000}"/>
    <cellStyle name="Parasts 2 2 2 2 2 2" xfId="246" xr:uid="{AC96DA57-6BDC-46BB-80C2-D97C9371E98E}"/>
    <cellStyle name="Parasts 2 2 3" xfId="32" xr:uid="{00000000-0005-0000-0000-00007E000000}"/>
    <cellStyle name="Parasts 2 2 4" xfId="35" xr:uid="{00000000-0005-0000-0000-00007F000000}"/>
    <cellStyle name="Parasts 2 2 5" xfId="43" xr:uid="{00000000-0005-0000-0000-000080000000}"/>
    <cellStyle name="Parasts 2 2 5 2" xfId="83" xr:uid="{00000000-0005-0000-0000-000081000000}"/>
    <cellStyle name="Parasts 2 2 5 3" xfId="89" xr:uid="{00000000-0005-0000-0000-000082000000}"/>
    <cellStyle name="Parasts 2 2 5 4" xfId="93" xr:uid="{00000000-0005-0000-0000-000083000000}"/>
    <cellStyle name="Parasts 2 2 5 5" xfId="174" xr:uid="{00000000-0005-0000-0000-000084000000}"/>
    <cellStyle name="Parasts 2 3" xfId="86" xr:uid="{00000000-0005-0000-0000-000085000000}"/>
    <cellStyle name="Parasts 2 4" xfId="170" xr:uid="{00000000-0005-0000-0000-000086000000}"/>
    <cellStyle name="Parasts 2 5" xfId="272" xr:uid="{864894B5-703B-41B0-A3F8-C8987EA1DFC8}"/>
    <cellStyle name="Parasts 20" xfId="166" xr:uid="{00000000-0005-0000-0000-000087000000}"/>
    <cellStyle name="Parasts 20 2" xfId="198" xr:uid="{75C7A2B3-6BCE-4112-A10A-55E82BAF20CE}"/>
    <cellStyle name="Parasts 20 3" xfId="202" xr:uid="{9577B0DB-EFB8-4226-AE75-FBD61AB104D3}"/>
    <cellStyle name="Parasts 20 4" xfId="239" xr:uid="{96EF8392-9C93-4913-B028-411468475788}"/>
    <cellStyle name="Parasts 21" xfId="172" xr:uid="{00000000-0005-0000-0000-000088000000}"/>
    <cellStyle name="Parasts 22" xfId="196" xr:uid="{838BED57-F8F7-4C64-A2D0-8B3E18F8B431}"/>
    <cellStyle name="Parasts 23" xfId="200" xr:uid="{A9EB4556-2728-4537-8824-E4B437D8C3EC}"/>
    <cellStyle name="Parasts 24" xfId="218" xr:uid="{B555F44A-3B4B-4C67-8753-6B33B9A32A6D}"/>
    <cellStyle name="Parasts 24 2" xfId="244" xr:uid="{C7F7D1DA-786D-40A6-8C6D-C94B002410C9}"/>
    <cellStyle name="Parasts 3" xfId="33" xr:uid="{00000000-0005-0000-0000-000089000000}"/>
    <cellStyle name="Parasts 3 2" xfId="44" xr:uid="{00000000-0005-0000-0000-00008A000000}"/>
    <cellStyle name="Parasts 3 3" xfId="88" xr:uid="{00000000-0005-0000-0000-00008B000000}"/>
    <cellStyle name="Parasts 3 4" xfId="160" xr:uid="{00000000-0005-0000-0000-00008C000000}"/>
    <cellStyle name="Parasts 3 4 2" xfId="247" xr:uid="{AF31DD25-E13D-4B36-B8CB-BC7F8C6466B8}"/>
    <cellStyle name="Parasts 3 5" xfId="163" xr:uid="{00000000-0005-0000-0000-00008D000000}"/>
    <cellStyle name="Parasts 4" xfId="48" xr:uid="{00000000-0005-0000-0000-00008E000000}"/>
    <cellStyle name="Parasts 4 2" xfId="62" xr:uid="{00000000-0005-0000-0000-00008F000000}"/>
    <cellStyle name="Parasts 4 3" xfId="100" xr:uid="{00000000-0005-0000-0000-000090000000}"/>
    <cellStyle name="Parasts 4 4" xfId="164" xr:uid="{00000000-0005-0000-0000-000091000000}"/>
    <cellStyle name="Parasts 5" xfId="53" xr:uid="{00000000-0005-0000-0000-000092000000}"/>
    <cellStyle name="Parasts 6" xfId="55" xr:uid="{00000000-0005-0000-0000-000093000000}"/>
    <cellStyle name="Parasts 7" xfId="26" xr:uid="{00000000-0005-0000-0000-000094000000}"/>
    <cellStyle name="Parasts 8" xfId="66" xr:uid="{00000000-0005-0000-0000-000095000000}"/>
    <cellStyle name="Parasts 9" xfId="71" xr:uid="{00000000-0005-0000-0000-000096000000}"/>
    <cellStyle name="Parasts 9 2" xfId="143" xr:uid="{00000000-0005-0000-0000-000097000000}"/>
    <cellStyle name="Percent" xfId="2" builtinId="5"/>
    <cellStyle name="Percent 3 2" xfId="14" xr:uid="{00000000-0005-0000-0000-00009A000000}"/>
    <cellStyle name="Percent 4" xfId="9" xr:uid="{00000000-0005-0000-0000-00009B000000}"/>
    <cellStyle name="Piezīme 2" xfId="142" xr:uid="{00000000-0005-0000-0000-00009C000000}"/>
    <cellStyle name="Piezīme 3" xfId="147" xr:uid="{00000000-0005-0000-0000-00009D000000}"/>
    <cellStyle name="Piezīme 4" xfId="220" xr:uid="{31E00C30-DE24-4229-8B20-70128355722C}"/>
    <cellStyle name="Procenti 2" xfId="31" xr:uid="{00000000-0005-0000-0000-00009F000000}"/>
    <cellStyle name="Procenti 2 2" xfId="95" xr:uid="{00000000-0005-0000-0000-0000A0000000}"/>
    <cellStyle name="Procenti 2 3" xfId="4" xr:uid="{00000000-0005-0000-0000-0000A1000000}"/>
    <cellStyle name="Procenti 2 4" xfId="171" xr:uid="{00000000-0005-0000-0000-0000A2000000}"/>
    <cellStyle name="Procenti 3" xfId="34" xr:uid="{00000000-0005-0000-0000-0000A3000000}"/>
    <cellStyle name="Procenti 4" xfId="56" xr:uid="{00000000-0005-0000-0000-0000A4000000}"/>
    <cellStyle name="Procenti 5" xfId="6" xr:uid="{00000000-0005-0000-0000-0000A5000000}"/>
    <cellStyle name="Procenti 6" xfId="73" xr:uid="{00000000-0005-0000-0000-0000A6000000}"/>
    <cellStyle name="Procenti 7" xfId="80" xr:uid="{00000000-0005-0000-0000-0000A7000000}"/>
    <cellStyle name="Style 1" xfId="169" xr:uid="{00000000-0005-0000-0000-0000AA000000}"/>
    <cellStyle name="Tālruņa numurs" xfId="210" xr:uid="{B8C2BBA4-491B-4C8E-967C-8909EA0A9A6D}"/>
    <cellStyle name="Title" xfId="101" builtinId="15" customBuiltin="1"/>
    <cellStyle name="Title 2" xfId="205" xr:uid="{F7EDA3B8-B2E2-476D-9C0C-F20AEF5341CE}"/>
    <cellStyle name="Total" xfId="116" builtinId="25" customBuiltin="1"/>
    <cellStyle name="Valūta 2" xfId="21" xr:uid="{00000000-0005-0000-0000-0000AC000000}"/>
    <cellStyle name="Valūta 3" xfId="79" xr:uid="{00000000-0005-0000-0000-0000AD000000}"/>
    <cellStyle name="Valūta 4" xfId="242" xr:uid="{E97C5B63-0097-415C-A38C-0E0328028B59}"/>
    <cellStyle name="Virsraksts 2 2" xfId="85" xr:uid="{00000000-0005-0000-0000-0000B0000000}"/>
    <cellStyle name="Warning Text" xfId="114" builtinId="11" customBuiltin="1"/>
  </cellStyles>
  <dxfs count="12">
    <dxf>
      <font>
        <color theme="0"/>
      </font>
    </dxf>
    <dxf>
      <font>
        <color theme="0"/>
      </font>
      <fill>
        <patternFill>
          <bgColor theme="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i val="0"/>
      </font>
      <fill>
        <patternFill>
          <bgColor theme="0" tint="-4.9989318521683403E-2"/>
        </patternFill>
      </fill>
      <border>
        <left style="thin">
          <color auto="1"/>
        </left>
        <right style="thin">
          <color auto="1"/>
        </right>
        <top style="thin">
          <color auto="1"/>
        </top>
        <bottom style="thin">
          <color auto="1"/>
        </bottom>
      </border>
    </dxf>
    <dxf>
      <border>
        <left style="thin">
          <color auto="1"/>
        </left>
      </border>
    </dxf>
    <dxf>
      <font>
        <b val="0"/>
        <i val="0"/>
        <color theme="1"/>
      </font>
      <border diagonalUp="0" diagonalDown="0">
        <left/>
        <right/>
        <top style="thin">
          <color auto="1"/>
        </top>
        <bottom/>
        <vertical/>
        <horizontal/>
      </border>
    </dxf>
    <dxf>
      <font>
        <b/>
        <i val="0"/>
        <color auto="1"/>
      </font>
      <fill>
        <patternFill patternType="solid">
          <fgColor theme="1"/>
          <bgColor theme="0" tint="-4.9989318521683403E-2"/>
        </patternFill>
      </fill>
      <border>
        <left style="thin">
          <color auto="1"/>
        </left>
        <right style="thin">
          <color auto="1"/>
        </right>
        <top style="thin">
          <color auto="1"/>
        </top>
        <bottom style="thin">
          <color auto="1"/>
        </bottom>
      </border>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Cenas piedāvājums bez nodokļiem" pivot="0" count="5" xr9:uid="{871887C5-7C14-480F-844A-DDBD2B7AF061}">
      <tableStyleElement type="wholeTable" dxfId="11"/>
      <tableStyleElement type="headerRow" dxfId="10"/>
      <tableStyleElement type="totalRow" dxfId="9"/>
      <tableStyleElement type="lastColumn" dxfId="8"/>
      <tableStyleElement type="lastTotalCell" dxfId="7"/>
    </tableStyle>
  </tableStyles>
  <colors>
    <mruColors>
      <color rgb="FFFFFF99"/>
      <color rgb="FFFFFFCC"/>
      <color rgb="FF8E267F"/>
      <color rgb="FFFF8B8B"/>
      <color rgb="FF6CA644"/>
      <color rgb="FFFFCC66"/>
      <color rgb="FF0FA8C1"/>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251663631605779"/>
          <c:y val="0.1721415648019772"/>
          <c:w val="0.63943464094030245"/>
          <c:h val="0.79066176459061488"/>
        </c:manualLayout>
      </c:layout>
      <c:barChart>
        <c:barDir val="bar"/>
        <c:grouping val="clustered"/>
        <c:varyColors val="0"/>
        <c:ser>
          <c:idx val="0"/>
          <c:order val="0"/>
          <c:tx>
            <c:strRef>
              <c:f>Grafiki_budžeta_izpilde!$D$5</c:f>
              <c:strCache>
                <c:ptCount val="1"/>
                <c:pt idx="0">
                  <c:v>Ieņēmumu izpilde, %, 2024.g. 1.pusgads</c:v>
                </c:pt>
              </c:strCache>
            </c:strRef>
          </c:tx>
          <c:spPr>
            <a:solidFill>
              <a:schemeClr val="accent6"/>
            </a:solidFill>
            <a:ln>
              <a:noFill/>
            </a:ln>
            <a:effectLst>
              <a:outerShdw blurRad="57150" dist="19050" dir="5400000" algn="ctr" rotWithShape="0">
                <a:srgbClr val="000000">
                  <a:alpha val="63000"/>
                </a:srgbClr>
              </a:outerShdw>
            </a:effectLst>
          </c:spPr>
          <c:invertIfNegative val="0"/>
          <c:dPt>
            <c:idx val="0"/>
            <c:invertIfNegative val="0"/>
            <c:bubble3D val="0"/>
            <c:spPr>
              <a:solidFill>
                <a:srgbClr val="4D7731"/>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0BE-44CF-BB37-ECA97D4B58CE}"/>
              </c:ext>
            </c:extLst>
          </c:dPt>
          <c:dPt>
            <c:idx val="2"/>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A-0267-4B89-AC30-154C57F867CA}"/>
              </c:ext>
            </c:extLst>
          </c:dPt>
          <c:dPt>
            <c:idx val="3"/>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0267-4B89-AC30-154C57F867CA}"/>
              </c:ext>
            </c:extLst>
          </c:dPt>
          <c:dPt>
            <c:idx val="4"/>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C-0267-4B89-AC30-154C57F867CA}"/>
              </c:ext>
            </c:extLst>
          </c:dPt>
          <c:dPt>
            <c:idx val="10"/>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80BE-44CF-BB37-ECA97D4B58CE}"/>
              </c:ext>
            </c:extLst>
          </c:dPt>
          <c:dPt>
            <c:idx val="11"/>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80BE-44CF-BB37-ECA97D4B58CE}"/>
              </c:ext>
            </c:extLst>
          </c:dPt>
          <c:dPt>
            <c:idx val="14"/>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9265-42D9-A394-A928A8DBAB29}"/>
              </c:ext>
            </c:extLst>
          </c:dPt>
          <c:dPt>
            <c:idx val="15"/>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9265-42D9-A394-A928A8DBAB29}"/>
              </c:ext>
            </c:extLst>
          </c:dPt>
          <c:dPt>
            <c:idx val="16"/>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9265-42D9-A394-A928A8DBAB29}"/>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Grafiki_budžeta_izpilde!$A$6:$A$22</c:f>
              <c:strCache>
                <c:ptCount val="17"/>
                <c:pt idx="0">
                  <c:v>IEŅĒMUMI kopā</c:v>
                </c:pt>
                <c:pt idx="1">
                  <c:v>1. Nodokļu ieņēmumi</c:v>
                </c:pt>
                <c:pt idx="2">
                  <c:v>1.1. Iedzīvotāju ienākuma nodoklis</c:v>
                </c:pt>
                <c:pt idx="3">
                  <c:v>1.2. Nekustamā īpašuma nodokļu ieņēmumi</c:v>
                </c:pt>
                <c:pt idx="4">
                  <c:v>1.3. Dabas resursu nodoklis</c:v>
                </c:pt>
                <c:pt idx="5">
                  <c:v>2. Valsts (pašvaldību) un kancelejas nodevas</c:v>
                </c:pt>
                <c:pt idx="6">
                  <c:v>3. Naudas sodi un sankcijas</c:v>
                </c:pt>
                <c:pt idx="7">
                  <c:v>4. Pārējie nenodokļu ieņēmumi</c:v>
                </c:pt>
                <c:pt idx="8">
                  <c:v>5. Ieņēmumi no pašvaldības īpašuma pārdošanas</c:v>
                </c:pt>
                <c:pt idx="9">
                  <c:v>6. Valsts budžeta transferti un projektu finansējums</c:v>
                </c:pt>
                <c:pt idx="10">
                  <c:v>6.1. Valsts budžeta transferti</c:v>
                </c:pt>
                <c:pt idx="11">
                  <c:v>6.2. ES struktūrfondu līdzekļi un aktivitāšu līdzfin.</c:v>
                </c:pt>
                <c:pt idx="12">
                  <c:v>7. Pašvaldību budžeta transferti</c:v>
                </c:pt>
                <c:pt idx="13">
                  <c:v>8. Budžeta iestāžu ieņēmumi</c:v>
                </c:pt>
                <c:pt idx="14">
                  <c:v>8.1. Maksa par izglītības pakalpojumiem u.c. ieņēmumi</c:v>
                </c:pt>
                <c:pt idx="15">
                  <c:v>8.2. Ieņēmumi par nomu un īri</c:v>
                </c:pt>
                <c:pt idx="16">
                  <c:v>8.3. CKS ieņēmumi no dzīvokļu un komunālajiem pakalpojumiem</c:v>
                </c:pt>
              </c:strCache>
            </c:strRef>
          </c:cat>
          <c:val>
            <c:numRef>
              <c:f>Grafiki_budžeta_izpilde!$D$6:$D$22</c:f>
              <c:numCache>
                <c:formatCode>0%</c:formatCode>
                <c:ptCount val="17"/>
                <c:pt idx="0">
                  <c:v>0.52750798730977766</c:v>
                </c:pt>
                <c:pt idx="1">
                  <c:v>0.49303516184786506</c:v>
                </c:pt>
                <c:pt idx="2">
                  <c:v>0.4665813866350752</c:v>
                </c:pt>
                <c:pt idx="3">
                  <c:v>0.78525203988463377</c:v>
                </c:pt>
                <c:pt idx="4">
                  <c:v>0.57945671428571432</c:v>
                </c:pt>
                <c:pt idx="5">
                  <c:v>0.48937712574850295</c:v>
                </c:pt>
                <c:pt idx="6">
                  <c:v>1.4438996923076923</c:v>
                </c:pt>
                <c:pt idx="7">
                  <c:v>1.9842617238118587</c:v>
                </c:pt>
                <c:pt idx="8">
                  <c:v>2.0433200925702049</c:v>
                </c:pt>
                <c:pt idx="9">
                  <c:v>0.63524619996871623</c:v>
                </c:pt>
                <c:pt idx="10">
                  <c:v>0.63977076340761607</c:v>
                </c:pt>
                <c:pt idx="11">
                  <c:v>0.60070591546946361</c:v>
                </c:pt>
                <c:pt idx="12">
                  <c:v>0.43519335593220337</c:v>
                </c:pt>
                <c:pt idx="13">
                  <c:v>0.5330934786338235</c:v>
                </c:pt>
                <c:pt idx="14">
                  <c:v>0.59790680030449139</c:v>
                </c:pt>
                <c:pt idx="15">
                  <c:v>0.83556810155090355</c:v>
                </c:pt>
                <c:pt idx="16">
                  <c:v>0.49251940439032271</c:v>
                </c:pt>
              </c:numCache>
            </c:numRef>
          </c:val>
          <c:extLst>
            <c:ext xmlns:c16="http://schemas.microsoft.com/office/drawing/2014/chart" uri="{C3380CC4-5D6E-409C-BE32-E72D297353CC}">
              <c16:uniqueId val="{0000000C-80BE-44CF-BB37-ECA97D4B58CE}"/>
            </c:ext>
          </c:extLst>
        </c:ser>
        <c:dLbls>
          <c:dLblPos val="inEnd"/>
          <c:showLegendKey val="0"/>
          <c:showVal val="1"/>
          <c:showCatName val="0"/>
          <c:showSerName val="0"/>
          <c:showPercent val="0"/>
          <c:showBubbleSize val="0"/>
        </c:dLbls>
        <c:gapWidth val="87"/>
        <c:axId val="164840928"/>
        <c:axId val="164829888"/>
      </c:barChart>
      <c:catAx>
        <c:axId val="164840928"/>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b"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829888"/>
        <c:crosses val="autoZero"/>
        <c:auto val="1"/>
        <c:lblAlgn val="ctr"/>
        <c:lblOffset val="100"/>
        <c:noMultiLvlLbl val="0"/>
      </c:catAx>
      <c:valAx>
        <c:axId val="164829888"/>
        <c:scaling>
          <c:orientation val="minMax"/>
          <c:max val="2.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840928"/>
        <c:crosses val="autoZero"/>
        <c:crossBetween val="between"/>
        <c:majorUnit val="0.1"/>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251663631605779"/>
          <c:y val="0.13883188328223783"/>
          <c:w val="0.63943464094030245"/>
          <c:h val="0.82397161312193878"/>
        </c:manualLayout>
      </c:layout>
      <c:barChart>
        <c:barDir val="bar"/>
        <c:grouping val="clustered"/>
        <c:varyColors val="0"/>
        <c:ser>
          <c:idx val="0"/>
          <c:order val="0"/>
          <c:tx>
            <c:strRef>
              <c:f>Grafiki_budžeta_izpilde!$D$52</c:f>
              <c:strCache>
                <c:ptCount val="1"/>
                <c:pt idx="0">
                  <c:v>Izdevumu izpilde, %, 2024.g. 1.pusgads</c:v>
                </c:pt>
              </c:strCache>
            </c:strRef>
          </c:tx>
          <c:spPr>
            <a:solidFill>
              <a:schemeClr val="accent1">
                <a:lumMod val="75000"/>
              </a:schemeClr>
            </a:solidFill>
            <a:ln>
              <a:noFill/>
            </a:ln>
            <a:effectLst>
              <a:outerShdw blurRad="57150" dist="19050" dir="5400000" algn="ctr" rotWithShape="0">
                <a:srgbClr val="000000">
                  <a:alpha val="63000"/>
                </a:srgbClr>
              </a:outerShdw>
            </a:effectLst>
          </c:spPr>
          <c:invertIfNegative val="0"/>
          <c:dPt>
            <c:idx val="0"/>
            <c:invertIfNegative val="0"/>
            <c:bubble3D val="0"/>
            <c:spPr>
              <a:solidFill>
                <a:schemeClr val="accent1">
                  <a:lumMod val="5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B172-4793-95F1-0F2B152A96E2}"/>
              </c:ext>
            </c:extLst>
          </c:dPt>
          <c:dPt>
            <c:idx val="2"/>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A-94CE-4563-A697-1C7A35DD09B3}"/>
              </c:ext>
            </c:extLst>
          </c:dPt>
          <c:dPt>
            <c:idx val="3"/>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B-94CE-4563-A697-1C7A35DD09B3}"/>
              </c:ext>
            </c:extLst>
          </c:dPt>
          <c:dPt>
            <c:idx val="4"/>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C-94CE-4563-A697-1C7A35DD09B3}"/>
              </c:ext>
            </c:extLst>
          </c:dPt>
          <c:dPt>
            <c:idx val="10"/>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D-94CE-4563-A697-1C7A35DD09B3}"/>
              </c:ext>
            </c:extLst>
          </c:dPt>
          <c:dPt>
            <c:idx val="11"/>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F-94CE-4563-A697-1C7A35DD09B3}"/>
              </c:ext>
            </c:extLst>
          </c:dPt>
          <c:dPt>
            <c:idx val="12"/>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E-94CE-4563-A697-1C7A35DD09B3}"/>
              </c:ext>
            </c:extLst>
          </c:dPt>
          <c:dPt>
            <c:idx val="13"/>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8-E1C7-4C8C-9093-0D1697AC3B96}"/>
              </c:ext>
            </c:extLst>
          </c:dPt>
          <c:dPt>
            <c:idx val="17"/>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0-0032-4F42-BAE8-9E7DBA7C367A}"/>
              </c:ext>
            </c:extLst>
          </c:dPt>
          <c:dPt>
            <c:idx val="18"/>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0032-4F42-BAE8-9E7DBA7C367A}"/>
              </c:ext>
            </c:extLst>
          </c:dPt>
          <c:dPt>
            <c:idx val="19"/>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2-0032-4F42-BAE8-9E7DBA7C367A}"/>
              </c:ext>
            </c:extLst>
          </c:dPt>
          <c:dPt>
            <c:idx val="20"/>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0032-4F42-BAE8-9E7DBA7C367A}"/>
              </c:ext>
            </c:extLst>
          </c:dPt>
          <c:dPt>
            <c:idx val="21"/>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4-0032-4F42-BAE8-9E7DBA7C367A}"/>
              </c:ext>
            </c:extLst>
          </c:dPt>
          <c:dPt>
            <c:idx val="22"/>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1C50-496A-AC12-B5A391D1F2A9}"/>
              </c:ext>
            </c:extLst>
          </c:dPt>
          <c:dPt>
            <c:idx val="23"/>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7-1C50-496A-AC12-B5A391D1F2A9}"/>
              </c:ext>
            </c:extLst>
          </c:dPt>
          <c:dPt>
            <c:idx val="24"/>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9-1C50-496A-AC12-B5A391D1F2A9}"/>
              </c:ext>
            </c:extLst>
          </c:dPt>
          <c:dPt>
            <c:idx val="25"/>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1-16FE-4AEA-868F-03AA79B592A9}"/>
              </c:ext>
            </c:extLst>
          </c:dPt>
          <c:dPt>
            <c:idx val="26"/>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3-16FE-4AEA-868F-03AA79B592A9}"/>
              </c:ext>
            </c:extLst>
          </c:dPt>
          <c:dPt>
            <c:idx val="27"/>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5-16FE-4AEA-868F-03AA79B592A9}"/>
              </c:ext>
            </c:extLst>
          </c:dPt>
          <c:dPt>
            <c:idx val="28"/>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7-16FE-4AEA-868F-03AA79B592A9}"/>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Grafiki_budžeta_izpilde!$A$53:$A$82</c:f>
              <c:strCache>
                <c:ptCount val="30"/>
                <c:pt idx="0">
                  <c:v>IZDEVUMI kopā</c:v>
                </c:pt>
                <c:pt idx="1">
                  <c:v>1. Vispārējie valdības dienesti</c:v>
                </c:pt>
                <c:pt idx="2">
                  <c:v>1.1. Pārvalde, deputāti, komisijas</c:v>
                </c:pt>
                <c:pt idx="3">
                  <c:v>1.2. Aizņēmumu procentu maksājumi</c:v>
                </c:pt>
                <c:pt idx="4">
                  <c:v>1.3. Iemaksas PFIF</c:v>
                </c:pt>
                <c:pt idx="5">
                  <c:v>2. Sabiedriskā kārtība un drošība (bāze)</c:v>
                </c:pt>
                <c:pt idx="6">
                  <c:v>3. Sabiedriskās attiecības, laikraksts</c:v>
                </c:pt>
                <c:pt idx="7">
                  <c:v>4. Autoceļu fonds</c:v>
                </c:pt>
                <c:pt idx="8">
                  <c:v>5. Vides aizsardzība (DRN izlietojums)</c:v>
                </c:pt>
                <c:pt idx="9">
                  <c:v>6. Pašv. teritoriju un mājokļu apsaimniekošana</c:v>
                </c:pt>
                <c:pt idx="10">
                  <c:v>6.1. APN, NĪN, TPN, Būvvalde</c:v>
                </c:pt>
                <c:pt idx="11">
                  <c:v>6.2. CKS komunālie pakalpojumi</c:v>
                </c:pt>
                <c:pt idx="12">
                  <c:v>6.3. Teritorijas uzturēšana</c:v>
                </c:pt>
                <c:pt idx="13">
                  <c:v>6.4. Projekti</c:v>
                </c:pt>
                <c:pt idx="14">
                  <c:v>7. Atpūta, kultūra un reliģija</c:v>
                </c:pt>
                <c:pt idx="15">
                  <c:v>8. Sociālā aizsardzība</c:v>
                </c:pt>
                <c:pt idx="16">
                  <c:v>9. Izglītība</c:v>
                </c:pt>
                <c:pt idx="17">
                  <c:v>9.1. Norēķini ar pašvaldībām par izglītības iestāžu pakalp.</c:v>
                </c:pt>
                <c:pt idx="18">
                  <c:v>9.2. Ādažu PII "Strautiņš"</c:v>
                </c:pt>
                <c:pt idx="19">
                  <c:v>9.3. Kadagas PII "Mežavēji"</c:v>
                </c:pt>
                <c:pt idx="20">
                  <c:v>9.4. Carnikavas PII "Riekstiņš"</c:v>
                </c:pt>
                <c:pt idx="21">
                  <c:v>9.5. Siguļu PII "Piejūra"</c:v>
                </c:pt>
                <c:pt idx="22">
                  <c:v>9.6. Privātās izglītības iestādes</c:v>
                </c:pt>
                <c:pt idx="23">
                  <c:v>9.7. Carnikavas pamatskola</c:v>
                </c:pt>
                <c:pt idx="24">
                  <c:v>9.8. Ādažu vidusskola</c:v>
                </c:pt>
                <c:pt idx="25">
                  <c:v>9.9. Ādažu novada  Mākslu skola</c:v>
                </c:pt>
                <c:pt idx="26">
                  <c:v>9.10. Sporta skola</c:v>
                </c:pt>
                <c:pt idx="27">
                  <c:v>9.11. Izglītības un jauniešu lietu pārvalde </c:v>
                </c:pt>
                <c:pt idx="28">
                  <c:v>9.12. Projekti</c:v>
                </c:pt>
                <c:pt idx="29">
                  <c:v>10. Kredītu pamatsummas atmaksa</c:v>
                </c:pt>
              </c:strCache>
            </c:strRef>
          </c:cat>
          <c:val>
            <c:numRef>
              <c:f>Grafiki_budžeta_izpilde!$D$53:$D$82</c:f>
              <c:numCache>
                <c:formatCode>0%</c:formatCode>
                <c:ptCount val="30"/>
                <c:pt idx="0">
                  <c:v>0.41862331173454259</c:v>
                </c:pt>
                <c:pt idx="1">
                  <c:v>0.45072158307853338</c:v>
                </c:pt>
                <c:pt idx="2">
                  <c:v>0.38536820775164354</c:v>
                </c:pt>
                <c:pt idx="3">
                  <c:v>0.49315715259465304</c:v>
                </c:pt>
                <c:pt idx="4">
                  <c:v>0.46658134296155995</c:v>
                </c:pt>
                <c:pt idx="5">
                  <c:v>0.40661004410137008</c:v>
                </c:pt>
                <c:pt idx="6">
                  <c:v>0.43699008269982081</c:v>
                </c:pt>
                <c:pt idx="7">
                  <c:v>0.50351834689184083</c:v>
                </c:pt>
                <c:pt idx="8">
                  <c:v>3.1079613648053953E-2</c:v>
                </c:pt>
                <c:pt idx="9">
                  <c:v>0.37917235601772925</c:v>
                </c:pt>
                <c:pt idx="10">
                  <c:v>0.58718071409470185</c:v>
                </c:pt>
                <c:pt idx="11">
                  <c:v>0.39029639647991754</c:v>
                </c:pt>
                <c:pt idx="12">
                  <c:v>0.42692176805634907</c:v>
                </c:pt>
                <c:pt idx="13">
                  <c:v>0.21478627433934994</c:v>
                </c:pt>
                <c:pt idx="14">
                  <c:v>0.46944760001910307</c:v>
                </c:pt>
                <c:pt idx="15">
                  <c:v>0.35982493584019032</c:v>
                </c:pt>
                <c:pt idx="16">
                  <c:v>0.4198762546175096</c:v>
                </c:pt>
                <c:pt idx="17">
                  <c:v>0.80368133333333336</c:v>
                </c:pt>
                <c:pt idx="18">
                  <c:v>0.36310357395944171</c:v>
                </c:pt>
                <c:pt idx="19">
                  <c:v>0.36155694013807493</c:v>
                </c:pt>
                <c:pt idx="20">
                  <c:v>0.41582887767261656</c:v>
                </c:pt>
                <c:pt idx="21">
                  <c:v>0.39858568879642325</c:v>
                </c:pt>
                <c:pt idx="22">
                  <c:v>0.50235817446848685</c:v>
                </c:pt>
                <c:pt idx="23">
                  <c:v>0.47817767488145846</c:v>
                </c:pt>
                <c:pt idx="24">
                  <c:v>0.38803172082994081</c:v>
                </c:pt>
                <c:pt idx="25">
                  <c:v>0.47297974194298958</c:v>
                </c:pt>
                <c:pt idx="26">
                  <c:v>0.39568741595969303</c:v>
                </c:pt>
                <c:pt idx="27">
                  <c:v>0.36276174306734577</c:v>
                </c:pt>
                <c:pt idx="28">
                  <c:v>0.20606730330817163</c:v>
                </c:pt>
                <c:pt idx="29">
                  <c:v>0.51149539073356154</c:v>
                </c:pt>
              </c:numCache>
            </c:numRef>
          </c:val>
          <c:extLst>
            <c:ext xmlns:c16="http://schemas.microsoft.com/office/drawing/2014/chart" uri="{C3380CC4-5D6E-409C-BE32-E72D297353CC}">
              <c16:uniqueId val="{00000002-B172-4793-95F1-0F2B152A96E2}"/>
            </c:ext>
          </c:extLst>
        </c:ser>
        <c:dLbls>
          <c:dLblPos val="inEnd"/>
          <c:showLegendKey val="0"/>
          <c:showVal val="1"/>
          <c:showCatName val="0"/>
          <c:showSerName val="0"/>
          <c:showPercent val="0"/>
          <c:showBubbleSize val="0"/>
        </c:dLbls>
        <c:gapWidth val="87"/>
        <c:axId val="164840928"/>
        <c:axId val="164829888"/>
      </c:barChart>
      <c:catAx>
        <c:axId val="164840928"/>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b"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829888"/>
        <c:crosses val="autoZero"/>
        <c:auto val="1"/>
        <c:lblAlgn val="ctr"/>
        <c:lblOffset val="100"/>
        <c:noMultiLvlLbl val="0"/>
      </c:catAx>
      <c:valAx>
        <c:axId val="164829888"/>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840928"/>
        <c:crosses val="autoZero"/>
        <c:crossBetween val="between"/>
        <c:majorUnit val="0.1"/>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117154</xdr:colOff>
      <xdr:row>3</xdr:row>
      <xdr:rowOff>134814</xdr:rowOff>
    </xdr:from>
    <xdr:to>
      <xdr:col>18</xdr:col>
      <xdr:colOff>2714625</xdr:colOff>
      <xdr:row>27</xdr:row>
      <xdr:rowOff>60520</xdr:rowOff>
    </xdr:to>
    <xdr:graphicFrame macro="">
      <xdr:nvGraphicFramePr>
        <xdr:cNvPr id="2" name="Diagramma 9">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53341</xdr:colOff>
      <xdr:row>4</xdr:row>
      <xdr:rowOff>457412</xdr:rowOff>
    </xdr:from>
    <xdr:to>
      <xdr:col>12</xdr:col>
      <xdr:colOff>514352</xdr:colOff>
      <xdr:row>4</xdr:row>
      <xdr:rowOff>687917</xdr:rowOff>
    </xdr:to>
    <xdr:sp macro="" textlink="">
      <xdr:nvSpPr>
        <xdr:cNvPr id="3" name="TextBox 2">
          <a:extLst>
            <a:ext uri="{FF2B5EF4-FFF2-40B4-BE49-F238E27FC236}">
              <a16:creationId xmlns:a16="http://schemas.microsoft.com/office/drawing/2014/main" id="{00000000-0008-0000-0D00-000003000000}"/>
            </a:ext>
          </a:extLst>
        </xdr:cNvPr>
        <xdr:cNvSpPr txBox="1"/>
      </xdr:nvSpPr>
      <xdr:spPr>
        <a:xfrm>
          <a:off x="11378566" y="1143212"/>
          <a:ext cx="461011" cy="23050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lv-LV" sz="1100"/>
            <a:t>50%</a:t>
          </a:r>
        </a:p>
        <a:p>
          <a:pPr algn="ctr"/>
          <a:endParaRPr lang="lv-LV" sz="1100"/>
        </a:p>
      </xdr:txBody>
    </xdr:sp>
    <xdr:clientData/>
  </xdr:twoCellAnchor>
  <xdr:twoCellAnchor>
    <xdr:from>
      <xdr:col>4</xdr:col>
      <xdr:colOff>635422</xdr:colOff>
      <xdr:row>50</xdr:row>
      <xdr:rowOff>114935</xdr:rowOff>
    </xdr:from>
    <xdr:to>
      <xdr:col>18</xdr:col>
      <xdr:colOff>480695</xdr:colOff>
      <xdr:row>87</xdr:row>
      <xdr:rowOff>86358</xdr:rowOff>
    </xdr:to>
    <xdr:graphicFrame macro="">
      <xdr:nvGraphicFramePr>
        <xdr:cNvPr id="4" name="Diagramma 2">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0.4781</cdr:x>
      <cdr:y>0.17088</cdr:y>
    </cdr:from>
    <cdr:to>
      <cdr:x>0.4781</cdr:x>
      <cdr:y>0.9598</cdr:y>
    </cdr:to>
    <cdr:cxnSp macro="">
      <cdr:nvCxnSpPr>
        <cdr:cNvPr id="3" name="Taisns savienotājs 2">
          <a:extLst xmlns:a="http://schemas.openxmlformats.org/drawingml/2006/main">
            <a:ext uri="{FF2B5EF4-FFF2-40B4-BE49-F238E27FC236}">
              <a16:creationId xmlns:a16="http://schemas.microsoft.com/office/drawing/2014/main" id="{C1328137-0B74-BC0D-66FF-A2ECAD9C8885}"/>
            </a:ext>
          </a:extLst>
        </cdr:cNvPr>
        <cdr:cNvCxnSpPr/>
      </cdr:nvCxnSpPr>
      <cdr:spPr>
        <a:xfrm xmlns:a="http://schemas.openxmlformats.org/drawingml/2006/main">
          <a:off x="5860981" y="806539"/>
          <a:ext cx="0" cy="3723667"/>
        </a:xfrm>
        <a:prstGeom xmlns:a="http://schemas.openxmlformats.org/drawingml/2006/main" prst="line">
          <a:avLst/>
        </a:prstGeom>
        <a:ln xmlns:a="http://schemas.openxmlformats.org/drawingml/2006/main" w="15875">
          <a:solidFill>
            <a:schemeClr val="accent2">
              <a:alpha val="56000"/>
            </a:schemeClr>
          </a:solidFill>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0.64605</cdr:x>
      <cdr:y>0.13916</cdr:y>
    </cdr:from>
    <cdr:to>
      <cdr:x>0.64605</cdr:x>
      <cdr:y>0.97083</cdr:y>
    </cdr:to>
    <cdr:cxnSp macro="">
      <cdr:nvCxnSpPr>
        <cdr:cNvPr id="3" name="Taisns savienotājs 2">
          <a:extLst xmlns:a="http://schemas.openxmlformats.org/drawingml/2006/main">
            <a:ext uri="{FF2B5EF4-FFF2-40B4-BE49-F238E27FC236}">
              <a16:creationId xmlns:a16="http://schemas.microsoft.com/office/drawing/2014/main" id="{C1328137-0B74-BC0D-66FF-A2ECAD9C8885}"/>
            </a:ext>
          </a:extLst>
        </cdr:cNvPr>
        <cdr:cNvCxnSpPr/>
      </cdr:nvCxnSpPr>
      <cdr:spPr>
        <a:xfrm xmlns:a="http://schemas.openxmlformats.org/drawingml/2006/main">
          <a:off x="5520328" y="946246"/>
          <a:ext cx="0" cy="5655005"/>
        </a:xfrm>
        <a:prstGeom xmlns:a="http://schemas.openxmlformats.org/drawingml/2006/main" prst="line">
          <a:avLst/>
        </a:prstGeom>
        <a:ln xmlns:a="http://schemas.openxmlformats.org/drawingml/2006/main" w="15875">
          <a:solidFill>
            <a:schemeClr val="accent2">
              <a:alpha val="56000"/>
            </a:schemeClr>
          </a:solidFill>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0.60996</cdr:x>
      <cdr:y>0.087</cdr:y>
    </cdr:from>
    <cdr:to>
      <cdr:x>0.68242</cdr:x>
      <cdr:y>0.12723</cdr:y>
    </cdr:to>
    <cdr:sp macro="" textlink="">
      <cdr:nvSpPr>
        <cdr:cNvPr id="2" name="TextBox 10">
          <a:extLst xmlns:a="http://schemas.openxmlformats.org/drawingml/2006/main">
            <a:ext uri="{FF2B5EF4-FFF2-40B4-BE49-F238E27FC236}">
              <a16:creationId xmlns:a16="http://schemas.microsoft.com/office/drawing/2014/main" id="{BC28C77A-08BF-E957-991B-C0CDEA634669}"/>
            </a:ext>
          </a:extLst>
        </cdr:cNvPr>
        <cdr:cNvSpPr txBox="1"/>
      </cdr:nvSpPr>
      <cdr:spPr>
        <a:xfrm xmlns:a="http://schemas.openxmlformats.org/drawingml/2006/main">
          <a:off x="5211984" y="591559"/>
          <a:ext cx="619155" cy="273547"/>
        </a:xfrm>
        <a:prstGeom xmlns:a="http://schemas.openxmlformats.org/drawingml/2006/main" prst="rect">
          <a:avLst/>
        </a:prstGeom>
        <a:solidFill xmlns:a="http://schemas.openxmlformats.org/drawingml/2006/main">
          <a:schemeClr val="accent2">
            <a:lumMod val="40000"/>
            <a:lumOff val="60000"/>
          </a:schemeClr>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lv-LV" sz="1100"/>
            <a:t>50%</a:t>
          </a:r>
        </a:p>
        <a:p xmlns:a="http://schemas.openxmlformats.org/drawingml/2006/main">
          <a:pPr algn="ctr"/>
          <a:endParaRPr lang="lv-LV" sz="1100"/>
        </a:p>
      </cdr:txBody>
    </cdr:sp>
  </cdr:relSizeAnchor>
</c:userShapes>
</file>

<file path=xl/persons/person.xml><?xml version="1.0" encoding="utf-8"?>
<personList xmlns="http://schemas.microsoft.com/office/spreadsheetml/2018/threadedcomments" xmlns:x="http://schemas.openxmlformats.org/spreadsheetml/2006/main">
  <person displayName="Sarmīte Mūze" id="{02F7BB29-550A-492C-A530-4BF9B1B1D35D}" userId="S::sarmite@Adazi.lv::8598d0af-cc0e-44bc-8069-881eee5df3f5" providerId="AD"/>
</personList>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304" dT="2023-12-19T14:49:09.93" personId="{02F7BB29-550A-492C-A530-4BF9B1B1D35D}" id="{712FF9CB-9A1B-4EC0-9195-561C5058F9CD}">
    <text>2. Zemsvītras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192B1-81F0-4FC0-97F9-946F07D61EF1}">
  <sheetPr codeName="Lapa6" filterMode="1">
    <tabColor rgb="FF8E267F"/>
  </sheetPr>
  <dimension ref="A1:W463"/>
  <sheetViews>
    <sheetView topLeftCell="A352" zoomScale="140" zoomScaleNormal="140" zoomScaleSheetLayoutView="150" workbookViewId="0">
      <selection activeCell="I378" sqref="I378"/>
    </sheetView>
  </sheetViews>
  <sheetFormatPr defaultRowHeight="11.4" outlineLevelRow="1" outlineLevelCol="1" x14ac:dyDescent="0.2"/>
  <cols>
    <col min="1" max="1" width="3.625" customWidth="1"/>
    <col min="2" max="2" width="3.375" style="603" customWidth="1" outlineLevel="1"/>
    <col min="3" max="3" width="3.75" customWidth="1"/>
    <col min="4" max="5" width="1.75" customWidth="1"/>
    <col min="6" max="6" width="7.75" customWidth="1" outlineLevel="1"/>
    <col min="7" max="7" width="6.75" customWidth="1" outlineLevel="1"/>
    <col min="8" max="8" width="75.125" customWidth="1"/>
    <col min="9" max="9" width="16.625" customWidth="1"/>
    <col min="10" max="10" width="0.875" customWidth="1"/>
    <col min="11" max="12" width="16.625" customWidth="1"/>
    <col min="13" max="13" width="16.625" style="7" customWidth="1"/>
    <col min="14" max="14" width="37" style="46" customWidth="1"/>
    <col min="15" max="15" width="13.375" style="894" customWidth="1"/>
    <col min="16" max="16" width="15.375" customWidth="1"/>
    <col min="17" max="17" width="21.375" customWidth="1"/>
    <col min="18" max="18" width="13.375" customWidth="1"/>
    <col min="19" max="19" width="11" customWidth="1"/>
  </cols>
  <sheetData>
    <row r="1" spans="7:19" ht="12" x14ac:dyDescent="0.2">
      <c r="M1" s="188"/>
      <c r="P1" s="168"/>
      <c r="Q1" s="50"/>
    </row>
    <row r="2" spans="7:19" ht="12" x14ac:dyDescent="0.25">
      <c r="G2" s="375"/>
      <c r="H2" s="193"/>
      <c r="K2" s="190">
        <v>2023</v>
      </c>
      <c r="L2" s="190">
        <v>2024</v>
      </c>
      <c r="M2" s="526" t="s">
        <v>1085</v>
      </c>
      <c r="N2" s="514" t="s">
        <v>1086</v>
      </c>
      <c r="P2" s="573" t="s">
        <v>893</v>
      </c>
      <c r="Q2" s="381">
        <f>6321274.62+1109</f>
        <v>6322383.6200000001</v>
      </c>
      <c r="R2" s="51"/>
      <c r="S2" s="11"/>
    </row>
    <row r="3" spans="7:19" ht="12" x14ac:dyDescent="0.25">
      <c r="G3" s="157"/>
      <c r="H3" s="9"/>
      <c r="I3" s="190" t="s">
        <v>375</v>
      </c>
      <c r="K3" s="449" t="e">
        <f>#REF!</f>
        <v>#REF!</v>
      </c>
      <c r="L3" s="450" t="e">
        <f>#REF!</f>
        <v>#REF!</v>
      </c>
      <c r="M3" s="167" t="e">
        <f>L3-K3</f>
        <v>#REF!</v>
      </c>
      <c r="N3" s="515" t="e">
        <f>L3/K3-1</f>
        <v>#REF!</v>
      </c>
      <c r="O3" s="895"/>
      <c r="P3" s="576" t="s">
        <v>894</v>
      </c>
      <c r="Q3" s="384">
        <v>1254148.94</v>
      </c>
      <c r="R3" s="51"/>
      <c r="S3" s="11"/>
    </row>
    <row r="4" spans="7:19" ht="12" x14ac:dyDescent="0.25">
      <c r="G4" s="157"/>
      <c r="H4" s="9"/>
      <c r="I4" s="190" t="s">
        <v>376</v>
      </c>
      <c r="K4" s="451" t="e">
        <f>#REF!</f>
        <v>#REF!</v>
      </c>
      <c r="L4" s="450" t="e">
        <f>#REF!</f>
        <v>#REF!</v>
      </c>
      <c r="M4" s="167" t="e">
        <f>L4-K4</f>
        <v>#REF!</v>
      </c>
      <c r="N4" s="515" t="e">
        <f>L4/K4-1</f>
        <v>#REF!</v>
      </c>
      <c r="O4" s="895"/>
      <c r="P4" s="573" t="s">
        <v>895</v>
      </c>
      <c r="Q4" s="154">
        <f>Q2-Q3</f>
        <v>5068234.68</v>
      </c>
      <c r="R4" s="51"/>
      <c r="S4" s="11"/>
    </row>
    <row r="5" spans="7:19" ht="12" x14ac:dyDescent="0.25">
      <c r="G5" s="378"/>
      <c r="H5" s="379"/>
      <c r="I5" s="379"/>
      <c r="K5" s="452" t="e">
        <f>K3-K4</f>
        <v>#REF!</v>
      </c>
      <c r="L5" s="452" t="e">
        <f>L3-L4</f>
        <v>#REF!</v>
      </c>
      <c r="M5" s="525" t="e">
        <f>M3-M4</f>
        <v>#REF!</v>
      </c>
      <c r="N5" s="515" t="e">
        <f>L5/K5-1</f>
        <v>#REF!</v>
      </c>
      <c r="O5" s="896"/>
      <c r="P5" s="574" t="s">
        <v>896</v>
      </c>
      <c r="Q5" s="385">
        <v>223431.10000000027</v>
      </c>
      <c r="R5" s="51" t="s">
        <v>1122</v>
      </c>
      <c r="S5" s="11"/>
    </row>
    <row r="6" spans="7:19" ht="12" x14ac:dyDescent="0.25">
      <c r="G6" s="157"/>
      <c r="H6" s="126"/>
      <c r="I6" s="5"/>
      <c r="L6" s="376"/>
      <c r="N6" s="377"/>
      <c r="O6" s="896"/>
      <c r="P6" s="575" t="s">
        <v>898</v>
      </c>
      <c r="Q6" s="458">
        <f>SUM(Q4:Q5)</f>
        <v>5291665.78</v>
      </c>
      <c r="R6" s="51">
        <v>1037000</v>
      </c>
      <c r="S6" s="11"/>
    </row>
    <row r="7" spans="7:19" ht="12" x14ac:dyDescent="0.25">
      <c r="G7" s="386"/>
      <c r="H7" s="5"/>
      <c r="I7" s="190" t="s">
        <v>897</v>
      </c>
      <c r="K7" s="47"/>
      <c r="L7" s="459">
        <f>Q6+R6</f>
        <v>6328665.7800000003</v>
      </c>
      <c r="M7" s="7">
        <f>6233969</f>
        <v>6233969</v>
      </c>
      <c r="N7" s="407"/>
      <c r="Q7" s="172"/>
      <c r="S7" s="11"/>
    </row>
    <row r="8" spans="7:19" ht="12" x14ac:dyDescent="0.25">
      <c r="G8" s="387"/>
      <c r="H8" s="579"/>
      <c r="I8" s="579" t="s">
        <v>565</v>
      </c>
      <c r="K8" s="122"/>
      <c r="L8" s="578" t="e">
        <f>L5+L7</f>
        <v>#REF!</v>
      </c>
      <c r="M8" s="7">
        <f>M7-L7</f>
        <v>-94696.780000000261</v>
      </c>
      <c r="R8" s="51"/>
      <c r="S8" s="11"/>
    </row>
    <row r="9" spans="7:19" ht="12" x14ac:dyDescent="0.25">
      <c r="I9" s="5"/>
      <c r="L9" s="376"/>
      <c r="P9" s="171"/>
      <c r="Q9" s="172">
        <v>528541.26</v>
      </c>
      <c r="R9" s="51" t="s">
        <v>1164</v>
      </c>
      <c r="S9" s="11"/>
    </row>
    <row r="10" spans="7:19" ht="12" x14ac:dyDescent="0.25">
      <c r="I10" s="190" t="s">
        <v>1094</v>
      </c>
      <c r="K10" s="380"/>
      <c r="L10" s="450" t="e">
        <f>#REF!</f>
        <v>#REF!</v>
      </c>
      <c r="Q10" s="172"/>
      <c r="R10" s="51"/>
      <c r="S10" s="11"/>
    </row>
    <row r="11" spans="7:19" ht="12" x14ac:dyDescent="0.25">
      <c r="H11" s="382"/>
      <c r="I11" s="382"/>
      <c r="J11" s="51"/>
      <c r="K11" s="383"/>
      <c r="L11" s="453" t="e">
        <f>L8-L10</f>
        <v>#REF!</v>
      </c>
      <c r="Q11" s="172"/>
      <c r="R11" s="51"/>
      <c r="S11" s="11"/>
    </row>
    <row r="12" spans="7:19" ht="12" x14ac:dyDescent="0.25">
      <c r="I12" s="5"/>
      <c r="K12" s="748"/>
      <c r="L12" s="376"/>
      <c r="Q12" s="172"/>
      <c r="S12" s="11"/>
    </row>
    <row r="13" spans="7:19" x14ac:dyDescent="0.2">
      <c r="G13" s="387"/>
      <c r="H13" s="6"/>
      <c r="I13" s="47" t="s">
        <v>1111</v>
      </c>
      <c r="L13" s="450">
        <f>K29</f>
        <v>1571151.29</v>
      </c>
      <c r="Q13" s="144"/>
      <c r="R13" s="51"/>
      <c r="S13" s="11"/>
    </row>
    <row r="14" spans="7:19" x14ac:dyDescent="0.2">
      <c r="G14" s="387"/>
      <c r="I14" s="47" t="s">
        <v>942</v>
      </c>
      <c r="L14" s="450">
        <f>K30</f>
        <v>1567975.8785999999</v>
      </c>
      <c r="M14" s="129"/>
      <c r="Q14" s="169"/>
      <c r="S14" s="11"/>
    </row>
    <row r="15" spans="7:19" ht="12" x14ac:dyDescent="0.25">
      <c r="G15" s="386"/>
      <c r="H15" s="388"/>
      <c r="I15" s="388" t="s">
        <v>534</v>
      </c>
      <c r="K15" s="123"/>
      <c r="L15" s="454" t="e">
        <f>L11-L13-L14</f>
        <v>#REF!</v>
      </c>
      <c r="Q15" s="144"/>
      <c r="R15" s="51"/>
      <c r="S15" s="11"/>
    </row>
    <row r="16" spans="7:19" x14ac:dyDescent="0.2">
      <c r="L16" s="450"/>
      <c r="N16" s="10"/>
      <c r="Q16" s="144"/>
      <c r="S16" s="11"/>
    </row>
    <row r="17" spans="1:19" x14ac:dyDescent="0.2">
      <c r="I17" s="47" t="s">
        <v>944</v>
      </c>
      <c r="L17" s="450"/>
      <c r="N17" s="10"/>
      <c r="Q17" s="144"/>
      <c r="S17" s="11"/>
    </row>
    <row r="18" spans="1:19" ht="12" x14ac:dyDescent="0.25">
      <c r="G18" s="11"/>
      <c r="I18" s="572" t="s">
        <v>1096</v>
      </c>
      <c r="J18" s="66"/>
      <c r="K18" s="66"/>
      <c r="L18" s="571">
        <f>K32</f>
        <v>1245588.19</v>
      </c>
      <c r="M18" s="581"/>
      <c r="N18" s="10"/>
      <c r="Q18" s="7"/>
      <c r="S18" s="11"/>
    </row>
    <row r="19" spans="1:19" x14ac:dyDescent="0.2">
      <c r="G19" s="11"/>
      <c r="H19" s="170"/>
      <c r="I19" s="471" t="s">
        <v>1106</v>
      </c>
      <c r="J19" s="66"/>
      <c r="K19" s="66"/>
      <c r="L19" s="577" t="e">
        <f>L15-L18</f>
        <v>#REF!</v>
      </c>
      <c r="M19" s="129"/>
      <c r="N19" s="10"/>
      <c r="Q19" s="7"/>
      <c r="S19" s="11"/>
    </row>
    <row r="20" spans="1:19" x14ac:dyDescent="0.2">
      <c r="G20" s="11"/>
      <c r="H20" s="170"/>
      <c r="I20" s="572" t="s">
        <v>1097</v>
      </c>
      <c r="J20" s="66"/>
      <c r="K20" s="66"/>
      <c r="L20" s="571"/>
      <c r="M20" s="129"/>
      <c r="N20" s="10"/>
      <c r="Q20" s="7"/>
      <c r="S20" s="11"/>
    </row>
    <row r="21" spans="1:19" x14ac:dyDescent="0.2">
      <c r="G21" s="11"/>
      <c r="H21" s="170"/>
      <c r="I21" s="572" t="s">
        <v>1098</v>
      </c>
      <c r="J21" s="66"/>
      <c r="K21" s="66"/>
      <c r="L21" s="571"/>
      <c r="M21" s="129"/>
      <c r="N21" s="10"/>
      <c r="Q21" s="7"/>
      <c r="S21" s="11"/>
    </row>
    <row r="22" spans="1:19" x14ac:dyDescent="0.2">
      <c r="G22" s="11"/>
      <c r="I22" s="47"/>
      <c r="L22" s="450"/>
      <c r="M22" s="129"/>
      <c r="N22" s="10"/>
      <c r="Q22" s="7"/>
      <c r="S22" s="11"/>
    </row>
    <row r="23" spans="1:19" hidden="1" x14ac:dyDescent="0.2">
      <c r="F23" s="11"/>
      <c r="I23" s="47" t="s">
        <v>577</v>
      </c>
      <c r="L23" s="450">
        <f>K31-K32</f>
        <v>3625851.32</v>
      </c>
      <c r="M23" s="10"/>
      <c r="N23"/>
      <c r="O23"/>
      <c r="P23" s="7"/>
      <c r="R23" s="11"/>
    </row>
    <row r="24" spans="1:19" hidden="1" x14ac:dyDescent="0.2">
      <c r="G24" s="11"/>
      <c r="I24" s="47"/>
      <c r="L24" s="450"/>
      <c r="M24" s="129"/>
      <c r="N24" s="10"/>
      <c r="O24"/>
      <c r="Q24" s="7"/>
      <c r="S24" s="11"/>
    </row>
    <row r="25" spans="1:19" ht="12" hidden="1" x14ac:dyDescent="0.25">
      <c r="H25" s="389"/>
      <c r="I25" s="389" t="s">
        <v>899</v>
      </c>
      <c r="K25" s="165"/>
      <c r="L25" s="582" t="e">
        <f>L15-L18-L23</f>
        <v>#REF!</v>
      </c>
      <c r="O25"/>
      <c r="Q25" s="7"/>
      <c r="R25" s="51"/>
      <c r="S25" s="11"/>
    </row>
    <row r="26" spans="1:19" hidden="1" x14ac:dyDescent="0.2">
      <c r="L26" s="7"/>
      <c r="O26"/>
    </row>
    <row r="27" spans="1:19" hidden="1" x14ac:dyDescent="0.2">
      <c r="L27" s="7"/>
      <c r="O27"/>
    </row>
    <row r="28" spans="1:19" ht="24" collapsed="1" x14ac:dyDescent="0.25">
      <c r="A28" s="463"/>
      <c r="C28" s="560"/>
      <c r="D28" s="561"/>
      <c r="E28" s="561"/>
      <c r="F28" s="561"/>
      <c r="G28" s="561"/>
      <c r="H28" s="464"/>
      <c r="I28" s="460" t="s">
        <v>360</v>
      </c>
      <c r="J28" s="374"/>
      <c r="K28" s="134" t="s">
        <v>233</v>
      </c>
      <c r="L28" s="164" t="s">
        <v>359</v>
      </c>
      <c r="M28" s="189" t="s">
        <v>314</v>
      </c>
    </row>
    <row r="29" spans="1:19" x14ac:dyDescent="0.2">
      <c r="A29" s="463"/>
      <c r="C29" s="562"/>
      <c r="D29" s="4"/>
      <c r="E29" s="4"/>
      <c r="F29" s="4"/>
      <c r="G29" s="4"/>
      <c r="H29" s="468" t="s">
        <v>943</v>
      </c>
      <c r="I29" s="461">
        <f>SUM(K29:M29)</f>
        <v>4636410.87</v>
      </c>
      <c r="K29" s="180">
        <f>K80</f>
        <v>1571151.29</v>
      </c>
      <c r="L29" s="180">
        <f>L80</f>
        <v>1545504.03</v>
      </c>
      <c r="M29" s="180">
        <f>M80</f>
        <v>1519755.5499999998</v>
      </c>
    </row>
    <row r="30" spans="1:19" x14ac:dyDescent="0.2">
      <c r="A30" s="463"/>
      <c r="C30" s="562"/>
      <c r="D30" s="4"/>
      <c r="E30" s="4"/>
      <c r="F30" s="4"/>
      <c r="G30" s="4"/>
      <c r="H30" s="468" t="s">
        <v>942</v>
      </c>
      <c r="I30" s="461">
        <f>SUM(K30:M30)</f>
        <v>1601615.8785999999</v>
      </c>
      <c r="K30" s="180">
        <f>K163</f>
        <v>1567975.8785999999</v>
      </c>
      <c r="L30" s="180">
        <f>L163</f>
        <v>33640</v>
      </c>
      <c r="M30" s="180">
        <f>M163</f>
        <v>0</v>
      </c>
    </row>
    <row r="31" spans="1:19" x14ac:dyDescent="0.2">
      <c r="A31" s="463"/>
      <c r="C31" s="562"/>
      <c r="D31" s="4"/>
      <c r="E31" s="4"/>
      <c r="F31" s="4"/>
      <c r="G31" s="4"/>
      <c r="H31" s="468" t="s">
        <v>944</v>
      </c>
      <c r="I31" s="461">
        <f>SUM(K31:M31)</f>
        <v>6746604.3399999999</v>
      </c>
      <c r="K31" s="180">
        <f>K340</f>
        <v>4871439.51</v>
      </c>
      <c r="L31" s="180">
        <f>L340</f>
        <v>1875164.83</v>
      </c>
      <c r="M31" s="180">
        <f>M340</f>
        <v>0</v>
      </c>
    </row>
    <row r="32" spans="1:19" x14ac:dyDescent="0.2">
      <c r="A32" s="463"/>
      <c r="C32" s="562"/>
      <c r="D32" s="4"/>
      <c r="E32" s="4"/>
      <c r="F32" s="4"/>
      <c r="G32" s="4"/>
      <c r="H32" s="563" t="s">
        <v>1096</v>
      </c>
      <c r="I32" s="564">
        <f>I347</f>
        <v>3120753.02</v>
      </c>
      <c r="J32" s="565"/>
      <c r="K32" s="566">
        <f t="shared" ref="K32:M34" si="0">K347</f>
        <v>1245588.19</v>
      </c>
      <c r="L32" s="564">
        <f t="shared" si="0"/>
        <v>1875164.83</v>
      </c>
      <c r="M32" s="564">
        <f t="shared" si="0"/>
        <v>0</v>
      </c>
    </row>
    <row r="33" spans="1:21" x14ac:dyDescent="0.2">
      <c r="A33" s="463"/>
      <c r="C33" s="562"/>
      <c r="D33" s="4"/>
      <c r="E33" s="4"/>
      <c r="F33" s="4"/>
      <c r="G33" s="4"/>
      <c r="H33" s="563" t="s">
        <v>1097</v>
      </c>
      <c r="I33" s="564">
        <f>I348</f>
        <v>2771742.3200000003</v>
      </c>
      <c r="J33" s="565"/>
      <c r="K33" s="566">
        <f t="shared" si="0"/>
        <v>2771742.3200000003</v>
      </c>
      <c r="L33" s="564">
        <f t="shared" si="0"/>
        <v>0</v>
      </c>
      <c r="M33" s="564">
        <f t="shared" si="0"/>
        <v>0</v>
      </c>
    </row>
    <row r="34" spans="1:21" x14ac:dyDescent="0.2">
      <c r="A34" s="463"/>
      <c r="C34" s="562"/>
      <c r="D34" s="4"/>
      <c r="E34" s="4"/>
      <c r="F34" s="4"/>
      <c r="G34" s="4"/>
      <c r="H34" s="563" t="s">
        <v>1098</v>
      </c>
      <c r="I34" s="564">
        <f>I349</f>
        <v>854109</v>
      </c>
      <c r="J34" s="565"/>
      <c r="K34" s="566">
        <f t="shared" si="0"/>
        <v>854109</v>
      </c>
      <c r="L34" s="564">
        <f t="shared" si="0"/>
        <v>0</v>
      </c>
      <c r="M34" s="564">
        <f t="shared" si="0"/>
        <v>0</v>
      </c>
    </row>
    <row r="35" spans="1:21" ht="12" x14ac:dyDescent="0.25">
      <c r="A35" s="463"/>
      <c r="C35" s="562"/>
      <c r="D35" s="4"/>
      <c r="E35" s="4"/>
      <c r="F35" s="4"/>
      <c r="G35" s="4"/>
      <c r="H35" s="468" t="s">
        <v>1099</v>
      </c>
      <c r="I35" s="469">
        <f>SUM(I29:I31)</f>
        <v>12984631.0886</v>
      </c>
      <c r="J35" s="5"/>
      <c r="K35" s="470">
        <f>SUM(K29:K31)</f>
        <v>8010566.6786000002</v>
      </c>
      <c r="L35" s="470">
        <f>SUM(L29:L31)</f>
        <v>3454308.8600000003</v>
      </c>
      <c r="M35" s="470">
        <f>SUM(M29:M31)</f>
        <v>1519755.5499999998</v>
      </c>
    </row>
    <row r="36" spans="1:21" x14ac:dyDescent="0.2">
      <c r="A36" s="463"/>
      <c r="C36" s="465"/>
      <c r="D36" s="466"/>
      <c r="E36" s="466"/>
      <c r="F36" s="466"/>
      <c r="G36" s="466"/>
      <c r="H36" s="467" t="s">
        <v>945</v>
      </c>
      <c r="I36" s="462">
        <f>SUM(K36:M36)</f>
        <v>1086497.67</v>
      </c>
      <c r="J36" s="121"/>
      <c r="K36" s="457">
        <f>K377</f>
        <v>1086497.67</v>
      </c>
      <c r="L36" s="457">
        <f>L377</f>
        <v>0</v>
      </c>
      <c r="M36" s="457">
        <f>M377</f>
        <v>0</v>
      </c>
    </row>
    <row r="37" spans="1:21" x14ac:dyDescent="0.2">
      <c r="H37" s="567"/>
      <c r="I37" s="568"/>
      <c r="J37" s="121"/>
      <c r="K37" s="569"/>
      <c r="L37" s="569"/>
      <c r="M37" s="569"/>
    </row>
    <row r="38" spans="1:21" ht="13.2" x14ac:dyDescent="0.25">
      <c r="D38" s="456"/>
      <c r="E38" s="456"/>
      <c r="F38" s="455" t="s">
        <v>940</v>
      </c>
      <c r="G38" s="456"/>
    </row>
    <row r="39" spans="1:21" ht="12" x14ac:dyDescent="0.25">
      <c r="B39" s="1056"/>
      <c r="C39" s="1043" t="s">
        <v>310</v>
      </c>
      <c r="D39" s="1043" t="s">
        <v>263</v>
      </c>
      <c r="E39" s="1043" t="s">
        <v>264</v>
      </c>
      <c r="F39" s="1043" t="s">
        <v>562</v>
      </c>
      <c r="G39" s="1043" t="s">
        <v>535</v>
      </c>
      <c r="H39" s="1043" t="s">
        <v>603</v>
      </c>
      <c r="I39" s="1043" t="s">
        <v>360</v>
      </c>
      <c r="J39" s="135"/>
      <c r="K39" s="1047" t="s">
        <v>543</v>
      </c>
      <c r="L39" s="1047"/>
      <c r="M39" s="1047"/>
    </row>
    <row r="40" spans="1:21" s="6" customFormat="1" ht="24" x14ac:dyDescent="0.25">
      <c r="B40" s="1056"/>
      <c r="C40" s="1043"/>
      <c r="D40" s="1043"/>
      <c r="E40" s="1043"/>
      <c r="F40" s="1043"/>
      <c r="G40" s="1043"/>
      <c r="H40" s="1043"/>
      <c r="I40" s="1043"/>
      <c r="J40" s="135"/>
      <c r="K40" s="134" t="s">
        <v>233</v>
      </c>
      <c r="L40" s="164" t="s">
        <v>359</v>
      </c>
      <c r="M40" s="189" t="s">
        <v>314</v>
      </c>
      <c r="N40" s="46"/>
      <c r="O40" s="894"/>
      <c r="P40"/>
      <c r="Q40"/>
      <c r="R40"/>
      <c r="S40"/>
      <c r="T40"/>
      <c r="U40"/>
    </row>
    <row r="41" spans="1:21" s="6" customFormat="1" ht="22.8" x14ac:dyDescent="0.2">
      <c r="B41" s="604" t="s">
        <v>344</v>
      </c>
      <c r="C41" s="124">
        <v>1</v>
      </c>
      <c r="D41" s="138"/>
      <c r="E41" s="138"/>
      <c r="F41" s="216" t="s">
        <v>221</v>
      </c>
      <c r="G41" s="124" t="s">
        <v>900</v>
      </c>
      <c r="H41" s="656" t="s">
        <v>547</v>
      </c>
      <c r="I41" s="484">
        <v>10621</v>
      </c>
      <c r="J41" s="645"/>
      <c r="K41" s="646">
        <f>I41-L41-M41</f>
        <v>0</v>
      </c>
      <c r="L41" s="484">
        <v>10621</v>
      </c>
      <c r="M41" s="591"/>
      <c r="N41" s="3" t="s">
        <v>901</v>
      </c>
      <c r="O41" s="897"/>
      <c r="Q41" s="143" t="s">
        <v>274</v>
      </c>
      <c r="R41" s="143"/>
      <c r="S41" s="11"/>
    </row>
    <row r="42" spans="1:21" ht="13.2" x14ac:dyDescent="0.25">
      <c r="B42" s="603" t="s">
        <v>1081</v>
      </c>
      <c r="C42" s="124">
        <v>2</v>
      </c>
      <c r="D42" s="136"/>
      <c r="E42" s="127"/>
      <c r="F42" s="216" t="s">
        <v>221</v>
      </c>
      <c r="G42" s="147" t="s">
        <v>900</v>
      </c>
      <c r="H42" s="657" t="s">
        <v>902</v>
      </c>
      <c r="I42" s="484">
        <f>K42+L42+M42</f>
        <v>207440</v>
      </c>
      <c r="J42" s="485"/>
      <c r="K42" s="650">
        <f>207440-L42</f>
        <v>127440</v>
      </c>
      <c r="L42" s="484">
        <v>80000</v>
      </c>
      <c r="M42" s="145"/>
      <c r="N42" s="3"/>
      <c r="O42" s="897"/>
      <c r="P42" s="6"/>
      <c r="Q42" s="6"/>
      <c r="R42" s="6"/>
      <c r="S42" s="6"/>
      <c r="T42" s="6"/>
      <c r="U42" s="6"/>
    </row>
    <row r="43" spans="1:21" ht="13.2" x14ac:dyDescent="0.25">
      <c r="B43" s="603" t="s">
        <v>344</v>
      </c>
      <c r="C43" s="124">
        <v>3</v>
      </c>
      <c r="D43" s="136"/>
      <c r="E43" s="127"/>
      <c r="F43" s="216" t="s">
        <v>221</v>
      </c>
      <c r="G43" s="147" t="s">
        <v>900</v>
      </c>
      <c r="H43" s="657" t="s">
        <v>1072</v>
      </c>
      <c r="I43" s="484">
        <v>14066.82</v>
      </c>
      <c r="J43" s="485"/>
      <c r="K43" s="646">
        <f t="shared" ref="K43:K79" si="1">I43-L43-M43</f>
        <v>11534.789999999999</v>
      </c>
      <c r="L43" s="484">
        <v>2532.0300000000002</v>
      </c>
      <c r="M43" s="139"/>
      <c r="N43" s="3" t="s">
        <v>903</v>
      </c>
      <c r="O43" s="897"/>
      <c r="P43" s="6"/>
      <c r="Q43" s="6"/>
      <c r="R43" s="6"/>
      <c r="S43" s="6"/>
      <c r="T43" s="6"/>
      <c r="U43" s="6"/>
    </row>
    <row r="44" spans="1:21" ht="13.2" x14ac:dyDescent="0.25">
      <c r="B44" s="603" t="s">
        <v>1082</v>
      </c>
      <c r="C44" s="124">
        <v>4</v>
      </c>
      <c r="D44" s="136"/>
      <c r="E44" s="127"/>
      <c r="F44" s="216" t="s">
        <v>904</v>
      </c>
      <c r="G44" s="147" t="s">
        <v>900</v>
      </c>
      <c r="H44" s="657" t="s">
        <v>905</v>
      </c>
      <c r="I44" s="484">
        <v>168527</v>
      </c>
      <c r="J44" s="485"/>
      <c r="K44" s="646">
        <f t="shared" si="1"/>
        <v>0</v>
      </c>
      <c r="L44" s="484">
        <v>168527</v>
      </c>
      <c r="M44" s="139"/>
      <c r="N44" s="3"/>
      <c r="O44" s="897"/>
      <c r="P44" s="6"/>
      <c r="Q44" s="6"/>
      <c r="R44" s="6"/>
      <c r="S44" s="6"/>
      <c r="T44" s="6"/>
      <c r="U44" s="6"/>
    </row>
    <row r="45" spans="1:21" ht="23.4" x14ac:dyDescent="0.25">
      <c r="B45" s="603" t="s">
        <v>1082</v>
      </c>
      <c r="C45" s="124">
        <v>5</v>
      </c>
      <c r="D45" s="136"/>
      <c r="E45" s="127"/>
      <c r="F45" s="216" t="s">
        <v>1211</v>
      </c>
      <c r="G45" s="147" t="s">
        <v>900</v>
      </c>
      <c r="H45" s="657" t="s">
        <v>1076</v>
      </c>
      <c r="I45" s="484">
        <v>637343</v>
      </c>
      <c r="J45" s="485"/>
      <c r="K45" s="646">
        <f>637343*0.15</f>
        <v>95601.45</v>
      </c>
      <c r="L45" s="484"/>
      <c r="M45" s="646">
        <f>637343*0.85</f>
        <v>541741.54999999993</v>
      </c>
      <c r="N45" s="3" t="s">
        <v>906</v>
      </c>
      <c r="O45" s="897"/>
      <c r="P45" s="6"/>
      <c r="Q45" s="6"/>
      <c r="R45" s="6"/>
      <c r="S45" s="6"/>
      <c r="T45" s="6"/>
      <c r="U45" s="6"/>
    </row>
    <row r="46" spans="1:21" ht="23.4" x14ac:dyDescent="0.25">
      <c r="B46" s="603" t="s">
        <v>1081</v>
      </c>
      <c r="C46" s="124">
        <v>6</v>
      </c>
      <c r="D46" s="136"/>
      <c r="E46" s="127"/>
      <c r="F46" s="216" t="s">
        <v>221</v>
      </c>
      <c r="G46" s="147" t="s">
        <v>900</v>
      </c>
      <c r="H46" s="657" t="s">
        <v>861</v>
      </c>
      <c r="I46" s="484">
        <f>36598*1.21</f>
        <v>44283.58</v>
      </c>
      <c r="J46" s="485"/>
      <c r="K46" s="646">
        <v>44284</v>
      </c>
      <c r="L46" s="484"/>
      <c r="M46" s="139"/>
      <c r="N46" s="3" t="s">
        <v>1073</v>
      </c>
      <c r="O46" s="897"/>
      <c r="P46" s="6"/>
      <c r="Q46" s="6"/>
      <c r="R46" s="6"/>
      <c r="S46" s="6"/>
      <c r="T46" s="6"/>
      <c r="U46" s="6"/>
    </row>
    <row r="47" spans="1:21" ht="13.2" x14ac:dyDescent="0.25">
      <c r="B47" s="603" t="s">
        <v>1082</v>
      </c>
      <c r="C47" s="124">
        <v>7</v>
      </c>
      <c r="D47" s="136"/>
      <c r="E47" s="127"/>
      <c r="F47" s="216" t="s">
        <v>221</v>
      </c>
      <c r="G47" s="147" t="s">
        <v>900</v>
      </c>
      <c r="H47" s="657" t="s">
        <v>907</v>
      </c>
      <c r="I47" s="484">
        <f>105000-5500-14500</f>
        <v>85000</v>
      </c>
      <c r="J47" s="485"/>
      <c r="K47" s="646">
        <f t="shared" si="1"/>
        <v>85000</v>
      </c>
      <c r="L47" s="484"/>
      <c r="M47" s="145"/>
      <c r="N47" s="3" t="s">
        <v>908</v>
      </c>
      <c r="O47" s="897"/>
      <c r="P47" s="6"/>
      <c r="Q47" s="6"/>
      <c r="R47" s="6"/>
      <c r="S47" s="6"/>
      <c r="T47" s="6"/>
      <c r="U47" s="6"/>
    </row>
    <row r="48" spans="1:21" x14ac:dyDescent="0.2">
      <c r="B48" s="603" t="s">
        <v>1081</v>
      </c>
      <c r="C48" s="124">
        <v>8</v>
      </c>
      <c r="D48" s="127"/>
      <c r="E48" s="127"/>
      <c r="F48" s="215" t="s">
        <v>580</v>
      </c>
      <c r="G48" s="147" t="s">
        <v>900</v>
      </c>
      <c r="H48" s="657" t="s">
        <v>576</v>
      </c>
      <c r="I48" s="486">
        <v>50458</v>
      </c>
      <c r="J48" s="485"/>
      <c r="K48" s="646">
        <f t="shared" si="1"/>
        <v>0</v>
      </c>
      <c r="L48" s="484">
        <v>50458</v>
      </c>
      <c r="M48" s="139"/>
      <c r="N48" s="2" t="s">
        <v>1078</v>
      </c>
    </row>
    <row r="49" spans="2:23" x14ac:dyDescent="0.2">
      <c r="B49" s="603" t="s">
        <v>1081</v>
      </c>
      <c r="C49" s="124">
        <v>9</v>
      </c>
      <c r="D49" s="127"/>
      <c r="E49" s="127"/>
      <c r="F49" s="215" t="s">
        <v>507</v>
      </c>
      <c r="G49" s="147" t="s">
        <v>900</v>
      </c>
      <c r="H49" s="594" t="s">
        <v>332</v>
      </c>
      <c r="I49" s="139">
        <f>389-389</f>
        <v>0</v>
      </c>
      <c r="J49" s="149"/>
      <c r="K49" s="180">
        <f t="shared" si="1"/>
        <v>0</v>
      </c>
      <c r="L49" s="139"/>
      <c r="M49" s="139"/>
      <c r="N49" s="3" t="s">
        <v>1074</v>
      </c>
      <c r="W49" t="s">
        <v>274</v>
      </c>
    </row>
    <row r="50" spans="2:23" s="9" customFormat="1" x14ac:dyDescent="0.2">
      <c r="B50" s="603" t="s">
        <v>344</v>
      </c>
      <c r="C50" s="124">
        <v>10</v>
      </c>
      <c r="D50" s="148"/>
      <c r="E50" s="148"/>
      <c r="F50" s="141" t="s">
        <v>539</v>
      </c>
      <c r="G50" s="147" t="s">
        <v>900</v>
      </c>
      <c r="H50" s="657" t="s">
        <v>540</v>
      </c>
      <c r="I50" s="484">
        <v>145650</v>
      </c>
      <c r="J50" s="485"/>
      <c r="K50" s="646">
        <f>145650-L50-M50</f>
        <v>27000</v>
      </c>
      <c r="L50" s="484">
        <v>118650</v>
      </c>
      <c r="M50" s="139"/>
      <c r="N50" s="2"/>
      <c r="O50" s="894"/>
      <c r="P50"/>
      <c r="Q50"/>
      <c r="R50"/>
      <c r="S50"/>
      <c r="T50"/>
      <c r="U50"/>
    </row>
    <row r="51" spans="2:23" x14ac:dyDescent="0.2">
      <c r="B51" s="603" t="s">
        <v>344</v>
      </c>
      <c r="C51" s="124">
        <v>11</v>
      </c>
      <c r="D51" s="127"/>
      <c r="E51" s="127"/>
      <c r="F51" s="141" t="s">
        <v>453</v>
      </c>
      <c r="G51" s="147" t="s">
        <v>900</v>
      </c>
      <c r="H51" s="657" t="s">
        <v>541</v>
      </c>
      <c r="I51" s="484">
        <v>397337</v>
      </c>
      <c r="J51" s="485"/>
      <c r="K51" s="646">
        <f>397337-L51-M51</f>
        <v>6875</v>
      </c>
      <c r="L51" s="484">
        <v>390462</v>
      </c>
      <c r="M51" s="139"/>
      <c r="N51" s="2"/>
      <c r="O51" s="898"/>
      <c r="P51" s="9"/>
      <c r="Q51" s="9"/>
      <c r="R51" s="9"/>
      <c r="S51" s="9"/>
      <c r="T51" s="9"/>
      <c r="U51" s="9"/>
    </row>
    <row r="52" spans="2:23" x14ac:dyDescent="0.2">
      <c r="C52" s="124">
        <v>12</v>
      </c>
      <c r="D52" s="127"/>
      <c r="E52" s="127"/>
      <c r="F52" s="216" t="s">
        <v>221</v>
      </c>
      <c r="G52" s="147" t="s">
        <v>900</v>
      </c>
      <c r="H52" s="657" t="s">
        <v>1114</v>
      </c>
      <c r="I52" s="484">
        <v>7900</v>
      </c>
      <c r="J52" s="485"/>
      <c r="K52" s="646">
        <f>I52-L52</f>
        <v>2765</v>
      </c>
      <c r="L52" s="484">
        <v>5135</v>
      </c>
      <c r="M52" s="139"/>
      <c r="N52" s="2"/>
      <c r="O52" s="898"/>
      <c r="P52" s="9"/>
      <c r="Q52" s="9"/>
      <c r="R52" s="9"/>
      <c r="S52" s="9"/>
      <c r="T52" s="9"/>
      <c r="U52" s="9"/>
    </row>
    <row r="53" spans="2:23" ht="13.2" x14ac:dyDescent="0.25">
      <c r="B53" s="603" t="s">
        <v>1081</v>
      </c>
      <c r="C53" s="124">
        <v>13</v>
      </c>
      <c r="D53" s="136"/>
      <c r="E53" s="127"/>
      <c r="F53" s="216" t="s">
        <v>221</v>
      </c>
      <c r="G53" s="147" t="s">
        <v>900</v>
      </c>
      <c r="H53" s="657" t="s">
        <v>572</v>
      </c>
      <c r="I53" s="752">
        <v>9000</v>
      </c>
      <c r="J53" s="485"/>
      <c r="K53" s="646">
        <f t="shared" si="1"/>
        <v>9000</v>
      </c>
      <c r="L53" s="484"/>
      <c r="M53" s="139"/>
      <c r="N53" s="3" t="s">
        <v>851</v>
      </c>
      <c r="O53" s="897"/>
      <c r="P53" s="6"/>
      <c r="Q53" s="6"/>
      <c r="R53" s="6"/>
      <c r="S53" s="6"/>
      <c r="T53" s="6"/>
      <c r="U53" s="6"/>
    </row>
    <row r="54" spans="2:23" ht="22.8" x14ac:dyDescent="0.2">
      <c r="B54" s="603" t="s">
        <v>1081</v>
      </c>
      <c r="C54" s="124">
        <v>14</v>
      </c>
      <c r="D54" s="124"/>
      <c r="E54" s="124"/>
      <c r="F54" s="141" t="s">
        <v>221</v>
      </c>
      <c r="G54" s="124" t="s">
        <v>900</v>
      </c>
      <c r="H54" s="663" t="s">
        <v>1140</v>
      </c>
      <c r="I54" s="753">
        <v>12020</v>
      </c>
      <c r="J54" s="485"/>
      <c r="K54" s="646">
        <f t="shared" si="1"/>
        <v>6010</v>
      </c>
      <c r="L54" s="484">
        <f>12020/2</f>
        <v>6010</v>
      </c>
      <c r="M54" s="139"/>
      <c r="N54" s="391" t="s">
        <v>852</v>
      </c>
    </row>
    <row r="55" spans="2:23" ht="22.8" x14ac:dyDescent="0.2">
      <c r="B55" s="603" t="s">
        <v>1081</v>
      </c>
      <c r="C55" s="124">
        <v>15</v>
      </c>
      <c r="D55" s="124"/>
      <c r="E55" s="124"/>
      <c r="F55" s="141" t="s">
        <v>221</v>
      </c>
      <c r="G55" s="147" t="s">
        <v>900</v>
      </c>
      <c r="H55" s="657" t="s">
        <v>1139</v>
      </c>
      <c r="I55" s="753">
        <v>30655</v>
      </c>
      <c r="J55" s="485"/>
      <c r="K55" s="646">
        <f t="shared" si="1"/>
        <v>0</v>
      </c>
      <c r="L55" s="484">
        <v>30655</v>
      </c>
      <c r="M55" s="139"/>
      <c r="N55" s="1044" t="s">
        <v>853</v>
      </c>
      <c r="O55" s="1045"/>
      <c r="P55" s="1046"/>
      <c r="Q55" s="1046"/>
      <c r="R55" s="1046"/>
    </row>
    <row r="56" spans="2:23" s="9" customFormat="1" x14ac:dyDescent="0.2">
      <c r="B56" s="603" t="s">
        <v>1082</v>
      </c>
      <c r="C56" s="124">
        <v>16</v>
      </c>
      <c r="D56" s="148"/>
      <c r="E56" s="148"/>
      <c r="F56" s="141" t="s">
        <v>490</v>
      </c>
      <c r="G56" s="147" t="s">
        <v>900</v>
      </c>
      <c r="H56" s="392" t="s">
        <v>542</v>
      </c>
      <c r="I56" s="139"/>
      <c r="J56" s="149"/>
      <c r="K56" s="595">
        <f t="shared" si="1"/>
        <v>0</v>
      </c>
      <c r="L56" s="139"/>
      <c r="M56" s="145"/>
      <c r="N56" s="393" t="s">
        <v>909</v>
      </c>
      <c r="O56" s="898"/>
    </row>
    <row r="57" spans="2:23" s="9" customFormat="1" x14ac:dyDescent="0.2">
      <c r="B57" s="605"/>
      <c r="C57" s="148">
        <v>17</v>
      </c>
      <c r="D57" s="148"/>
      <c r="E57" s="141"/>
      <c r="F57" s="147" t="s">
        <v>363</v>
      </c>
      <c r="G57" s="147" t="s">
        <v>1120</v>
      </c>
      <c r="H57" s="486" t="s">
        <v>1121</v>
      </c>
      <c r="I57" s="485">
        <f>K57</f>
        <v>1037000</v>
      </c>
      <c r="J57" s="646"/>
      <c r="K57" s="665">
        <v>1037000</v>
      </c>
      <c r="L57" s="486"/>
      <c r="M57" s="3"/>
      <c r="O57" s="898"/>
    </row>
    <row r="58" spans="2:23" s="9" customFormat="1" x14ac:dyDescent="0.2">
      <c r="B58" s="603" t="s">
        <v>344</v>
      </c>
      <c r="C58" s="124">
        <v>18</v>
      </c>
      <c r="D58" s="148"/>
      <c r="E58" s="148"/>
      <c r="F58" s="141" t="s">
        <v>303</v>
      </c>
      <c r="G58" s="147" t="s">
        <v>303</v>
      </c>
      <c r="H58" s="671" t="s">
        <v>1079</v>
      </c>
      <c r="I58" s="486">
        <f>K58+L58+M58</f>
        <v>546771</v>
      </c>
      <c r="J58" s="485"/>
      <c r="K58" s="646"/>
      <c r="L58" s="665">
        <v>382739</v>
      </c>
      <c r="M58" s="486">
        <v>164032</v>
      </c>
      <c r="N58" s="3"/>
      <c r="O58" s="898"/>
    </row>
    <row r="59" spans="2:23" ht="22.8" x14ac:dyDescent="0.2">
      <c r="B59" s="603" t="s">
        <v>1082</v>
      </c>
      <c r="C59" s="124">
        <v>19</v>
      </c>
      <c r="D59" s="127" t="s">
        <v>377</v>
      </c>
      <c r="E59" s="127">
        <v>288</v>
      </c>
      <c r="F59" s="215" t="s">
        <v>455</v>
      </c>
      <c r="G59" s="147" t="s">
        <v>900</v>
      </c>
      <c r="H59" s="657" t="s">
        <v>544</v>
      </c>
      <c r="I59" s="484"/>
      <c r="J59" s="485"/>
      <c r="K59" s="646">
        <f t="shared" si="1"/>
        <v>0</v>
      </c>
      <c r="L59" s="484"/>
      <c r="M59" s="484"/>
      <c r="N59" s="3" t="s">
        <v>910</v>
      </c>
    </row>
    <row r="60" spans="2:23" ht="22.8" x14ac:dyDescent="0.2">
      <c r="B60" s="603" t="s">
        <v>344</v>
      </c>
      <c r="C60" s="124">
        <v>20</v>
      </c>
      <c r="D60" s="127" t="s">
        <v>378</v>
      </c>
      <c r="E60" s="127">
        <v>288</v>
      </c>
      <c r="F60" s="215" t="s">
        <v>545</v>
      </c>
      <c r="G60" s="147" t="s">
        <v>900</v>
      </c>
      <c r="H60" s="657" t="s">
        <v>546</v>
      </c>
      <c r="I60" s="484"/>
      <c r="J60" s="485"/>
      <c r="K60" s="646">
        <f t="shared" si="1"/>
        <v>0</v>
      </c>
      <c r="L60" s="484"/>
      <c r="M60" s="484"/>
      <c r="N60" s="3" t="s">
        <v>910</v>
      </c>
    </row>
    <row r="61" spans="2:23" ht="22.8" x14ac:dyDescent="0.2">
      <c r="B61" s="603" t="s">
        <v>344</v>
      </c>
      <c r="C61" s="124">
        <v>21</v>
      </c>
      <c r="D61" s="127"/>
      <c r="E61" s="127"/>
      <c r="F61" s="215" t="s">
        <v>623</v>
      </c>
      <c r="G61" s="147" t="s">
        <v>900</v>
      </c>
      <c r="H61" s="657" t="s">
        <v>911</v>
      </c>
      <c r="I61" s="484">
        <v>10250</v>
      </c>
      <c r="J61" s="485"/>
      <c r="K61" s="646">
        <v>10250</v>
      </c>
      <c r="L61" s="484"/>
      <c r="M61" s="484"/>
      <c r="N61" s="10"/>
    </row>
    <row r="62" spans="2:23" ht="22.8" x14ac:dyDescent="0.2">
      <c r="B62" s="603" t="s">
        <v>1081</v>
      </c>
      <c r="C62" s="124">
        <v>22</v>
      </c>
      <c r="D62" s="127"/>
      <c r="E62" s="127"/>
      <c r="F62" s="215" t="s">
        <v>449</v>
      </c>
      <c r="G62" s="124" t="s">
        <v>643</v>
      </c>
      <c r="H62" s="657" t="s">
        <v>912</v>
      </c>
      <c r="I62" s="484"/>
      <c r="J62" s="485"/>
      <c r="K62" s="646">
        <f t="shared" si="1"/>
        <v>0</v>
      </c>
      <c r="L62" s="139"/>
      <c r="M62" s="139"/>
      <c r="N62" s="10"/>
    </row>
    <row r="63" spans="2:23" x14ac:dyDescent="0.2">
      <c r="B63" s="603" t="s">
        <v>344</v>
      </c>
      <c r="C63" s="124">
        <v>23</v>
      </c>
      <c r="D63" s="127"/>
      <c r="E63" s="127"/>
      <c r="F63" s="215" t="s">
        <v>511</v>
      </c>
      <c r="G63" s="147" t="s">
        <v>900</v>
      </c>
      <c r="H63" s="394" t="s">
        <v>510</v>
      </c>
      <c r="I63" s="139"/>
      <c r="J63" s="149"/>
      <c r="K63" s="595">
        <f t="shared" si="1"/>
        <v>0</v>
      </c>
      <c r="L63" s="139"/>
      <c r="M63" s="145"/>
      <c r="N63" s="393" t="s">
        <v>909</v>
      </c>
    </row>
    <row r="64" spans="2:23" x14ac:dyDescent="0.2">
      <c r="B64" s="603" t="s">
        <v>1082</v>
      </c>
      <c r="C64" s="124">
        <v>24</v>
      </c>
      <c r="D64" s="127"/>
      <c r="E64" s="127"/>
      <c r="F64" s="141" t="s">
        <v>227</v>
      </c>
      <c r="G64" s="124" t="s">
        <v>210</v>
      </c>
      <c r="H64" s="657" t="s">
        <v>1077</v>
      </c>
      <c r="I64" s="484">
        <f>K64+L64+M64</f>
        <v>34497</v>
      </c>
      <c r="J64" s="485"/>
      <c r="K64" s="646">
        <v>3515</v>
      </c>
      <c r="L64" s="484"/>
      <c r="M64" s="486">
        <v>30982</v>
      </c>
      <c r="N64" s="3"/>
    </row>
    <row r="65" spans="2:14" ht="22.8" x14ac:dyDescent="0.2">
      <c r="B65" s="603" t="s">
        <v>1082</v>
      </c>
      <c r="C65" s="124">
        <v>25</v>
      </c>
      <c r="D65" s="124"/>
      <c r="E65" s="124"/>
      <c r="F65" s="141" t="s">
        <v>227</v>
      </c>
      <c r="G65" s="124" t="s">
        <v>210</v>
      </c>
      <c r="H65" s="657" t="s">
        <v>877</v>
      </c>
      <c r="I65" s="484">
        <v>870000</v>
      </c>
      <c r="J65" s="485"/>
      <c r="K65" s="646">
        <f>I65*0.1</f>
        <v>87000</v>
      </c>
      <c r="L65" s="484"/>
      <c r="M65" s="486">
        <f>870000*0.9</f>
        <v>783000</v>
      </c>
      <c r="N65" s="10"/>
    </row>
    <row r="66" spans="2:14" x14ac:dyDescent="0.2">
      <c r="B66" s="603" t="s">
        <v>344</v>
      </c>
      <c r="C66" s="124">
        <v>26</v>
      </c>
      <c r="D66" s="124"/>
      <c r="E66" s="124"/>
      <c r="F66" s="141" t="s">
        <v>447</v>
      </c>
      <c r="G66" s="124" t="s">
        <v>554</v>
      </c>
      <c r="H66" s="657" t="s">
        <v>809</v>
      </c>
      <c r="I66" s="486">
        <v>3000</v>
      </c>
      <c r="J66" s="485"/>
      <c r="K66" s="646">
        <f t="shared" si="1"/>
        <v>3000</v>
      </c>
      <c r="L66" s="484"/>
      <c r="M66" s="484"/>
    </row>
    <row r="67" spans="2:14" ht="22.8" x14ac:dyDescent="0.2">
      <c r="B67" s="603" t="s">
        <v>1081</v>
      </c>
      <c r="C67" s="124">
        <v>27</v>
      </c>
      <c r="D67" s="124"/>
      <c r="E67" s="124"/>
      <c r="F67" s="141" t="s">
        <v>523</v>
      </c>
      <c r="G67" s="124" t="s">
        <v>825</v>
      </c>
      <c r="H67" s="657" t="s">
        <v>823</v>
      </c>
      <c r="I67" s="486">
        <v>500</v>
      </c>
      <c r="J67" s="485"/>
      <c r="K67" s="646">
        <f t="shared" si="1"/>
        <v>500</v>
      </c>
      <c r="L67" s="484"/>
      <c r="M67" s="484"/>
      <c r="N67" s="10" t="s">
        <v>1068</v>
      </c>
    </row>
    <row r="68" spans="2:14" ht="22.8" x14ac:dyDescent="0.2">
      <c r="B68" s="603" t="s">
        <v>1081</v>
      </c>
      <c r="C68" s="124">
        <v>28</v>
      </c>
      <c r="D68" s="124"/>
      <c r="E68" s="124"/>
      <c r="F68" s="141" t="s">
        <v>523</v>
      </c>
      <c r="G68" s="124" t="s">
        <v>825</v>
      </c>
      <c r="H68" s="657" t="s">
        <v>533</v>
      </c>
      <c r="I68" s="486">
        <v>2500</v>
      </c>
      <c r="J68" s="485"/>
      <c r="K68" s="646">
        <f>I68-L68-M68</f>
        <v>2500</v>
      </c>
      <c r="L68" s="484"/>
      <c r="M68" s="484"/>
      <c r="N68" s="10" t="s">
        <v>1068</v>
      </c>
    </row>
    <row r="69" spans="2:14" x14ac:dyDescent="0.2">
      <c r="B69" s="603" t="s">
        <v>344</v>
      </c>
      <c r="C69" s="124">
        <v>29</v>
      </c>
      <c r="D69" s="124"/>
      <c r="E69" s="124"/>
      <c r="F69" s="141" t="s">
        <v>491</v>
      </c>
      <c r="G69" s="124" t="s">
        <v>900</v>
      </c>
      <c r="H69" s="657" t="s">
        <v>1075</v>
      </c>
      <c r="I69" s="868">
        <v>10013</v>
      </c>
      <c r="J69" s="149"/>
      <c r="K69" s="180">
        <f t="shared" si="1"/>
        <v>10013</v>
      </c>
      <c r="L69" s="139"/>
      <c r="M69" s="139"/>
      <c r="N69" s="10"/>
    </row>
    <row r="70" spans="2:14" x14ac:dyDescent="0.2">
      <c r="B70" s="603" t="s">
        <v>1081</v>
      </c>
      <c r="C70" s="124">
        <v>30</v>
      </c>
      <c r="D70" s="127"/>
      <c r="E70" s="127"/>
      <c r="F70" s="215" t="s">
        <v>355</v>
      </c>
      <c r="G70" s="124" t="s">
        <v>241</v>
      </c>
      <c r="H70" s="678" t="s">
        <v>596</v>
      </c>
      <c r="I70" s="139">
        <v>749.05</v>
      </c>
      <c r="J70" s="149"/>
      <c r="K70" s="180">
        <f t="shared" si="1"/>
        <v>749.05</v>
      </c>
      <c r="L70" s="139"/>
      <c r="M70" s="139"/>
      <c r="N70" s="3" t="s">
        <v>913</v>
      </c>
    </row>
    <row r="71" spans="2:14" x14ac:dyDescent="0.2">
      <c r="B71" s="603" t="s">
        <v>1081</v>
      </c>
      <c r="C71" s="124">
        <v>31</v>
      </c>
      <c r="D71" s="127"/>
      <c r="E71" s="127"/>
      <c r="F71" s="215" t="s">
        <v>354</v>
      </c>
      <c r="G71" s="124" t="s">
        <v>241</v>
      </c>
      <c r="H71" s="678" t="s">
        <v>317</v>
      </c>
      <c r="I71" s="484">
        <v>1049</v>
      </c>
      <c r="J71" s="485"/>
      <c r="K71" s="646">
        <f t="shared" si="1"/>
        <v>1049</v>
      </c>
      <c r="L71" s="484"/>
      <c r="M71" s="139"/>
      <c r="N71" s="3" t="s">
        <v>913</v>
      </c>
    </row>
    <row r="72" spans="2:14" ht="22.8" x14ac:dyDescent="0.2">
      <c r="B72" s="603" t="s">
        <v>1081</v>
      </c>
      <c r="C72" s="124">
        <v>32</v>
      </c>
      <c r="D72" s="127"/>
      <c r="E72" s="127"/>
      <c r="F72" s="215" t="s">
        <v>495</v>
      </c>
      <c r="G72" s="124" t="s">
        <v>241</v>
      </c>
      <c r="H72" s="678" t="s">
        <v>557</v>
      </c>
      <c r="I72" s="484">
        <v>65</v>
      </c>
      <c r="J72" s="485"/>
      <c r="K72" s="646">
        <f t="shared" si="1"/>
        <v>65</v>
      </c>
      <c r="L72" s="484"/>
      <c r="M72" s="139"/>
      <c r="N72" s="3" t="s">
        <v>913</v>
      </c>
    </row>
    <row r="73" spans="2:14" x14ac:dyDescent="0.2">
      <c r="B73" s="603" t="s">
        <v>1082</v>
      </c>
      <c r="C73" s="124">
        <v>33</v>
      </c>
      <c r="D73" s="127"/>
      <c r="E73" s="127"/>
      <c r="F73" s="215" t="s">
        <v>260</v>
      </c>
      <c r="G73" s="124" t="s">
        <v>241</v>
      </c>
      <c r="H73" s="671" t="s">
        <v>358</v>
      </c>
      <c r="I73" s="484"/>
      <c r="J73" s="485"/>
      <c r="K73" s="646">
        <f t="shared" si="1"/>
        <v>0</v>
      </c>
      <c r="L73" s="484"/>
      <c r="M73" s="139"/>
      <c r="N73" s="3" t="s">
        <v>914</v>
      </c>
    </row>
    <row r="74" spans="2:14" x14ac:dyDescent="0.2">
      <c r="B74" s="603" t="s">
        <v>344</v>
      </c>
      <c r="C74" s="124">
        <v>34</v>
      </c>
      <c r="D74" s="127"/>
      <c r="E74" s="127"/>
      <c r="F74" s="215" t="s">
        <v>342</v>
      </c>
      <c r="G74" s="124" t="s">
        <v>241</v>
      </c>
      <c r="H74" s="671" t="s">
        <v>343</v>
      </c>
      <c r="I74" s="484"/>
      <c r="J74" s="485"/>
      <c r="K74" s="646">
        <f t="shared" si="1"/>
        <v>0</v>
      </c>
      <c r="L74" s="484"/>
      <c r="M74" s="139"/>
      <c r="N74" s="3" t="s">
        <v>914</v>
      </c>
    </row>
    <row r="75" spans="2:14" x14ac:dyDescent="0.2">
      <c r="B75" s="603" t="s">
        <v>1082</v>
      </c>
      <c r="C75" s="124">
        <v>35</v>
      </c>
      <c r="D75" s="127"/>
      <c r="E75" s="127"/>
      <c r="F75" s="215" t="s">
        <v>283</v>
      </c>
      <c r="G75" s="124" t="s">
        <v>193</v>
      </c>
      <c r="H75" s="671" t="s">
        <v>316</v>
      </c>
      <c r="I75" s="484">
        <v>14485</v>
      </c>
      <c r="J75" s="485"/>
      <c r="K75" s="646">
        <f t="shared" si="1"/>
        <v>0</v>
      </c>
      <c r="L75" s="484">
        <v>14485</v>
      </c>
      <c r="M75" s="139"/>
      <c r="N75" s="2"/>
    </row>
    <row r="76" spans="2:14" x14ac:dyDescent="0.2">
      <c r="B76" s="603" t="s">
        <v>1082</v>
      </c>
      <c r="C76" s="124">
        <v>36</v>
      </c>
      <c r="D76" s="127"/>
      <c r="E76" s="127"/>
      <c r="F76" s="215" t="s">
        <v>341</v>
      </c>
      <c r="G76" s="124" t="s">
        <v>193</v>
      </c>
      <c r="H76" s="671" t="s">
        <v>559</v>
      </c>
      <c r="I76" s="484">
        <v>266093</v>
      </c>
      <c r="J76" s="485"/>
      <c r="K76" s="646">
        <f t="shared" si="1"/>
        <v>0</v>
      </c>
      <c r="L76" s="484">
        <v>266093</v>
      </c>
      <c r="M76" s="139"/>
      <c r="N76" s="10"/>
    </row>
    <row r="77" spans="2:14" x14ac:dyDescent="0.2">
      <c r="B77" s="603" t="s">
        <v>344</v>
      </c>
      <c r="C77" s="124">
        <v>37</v>
      </c>
      <c r="D77" s="127"/>
      <c r="E77" s="127"/>
      <c r="F77" s="215" t="s">
        <v>351</v>
      </c>
      <c r="G77" s="124" t="s">
        <v>307</v>
      </c>
      <c r="H77" s="671" t="s">
        <v>365</v>
      </c>
      <c r="I77" s="484">
        <v>3668</v>
      </c>
      <c r="J77" s="485"/>
      <c r="K77" s="646">
        <f t="shared" si="1"/>
        <v>0</v>
      </c>
      <c r="L77" s="484">
        <v>3668</v>
      </c>
      <c r="M77" s="139"/>
      <c r="N77" s="10"/>
    </row>
    <row r="78" spans="2:14" x14ac:dyDescent="0.2">
      <c r="B78" s="603" t="s">
        <v>344</v>
      </c>
      <c r="C78" s="124">
        <v>38</v>
      </c>
      <c r="D78" s="127"/>
      <c r="E78" s="127"/>
      <c r="F78" s="215" t="s">
        <v>498</v>
      </c>
      <c r="G78" s="124" t="s">
        <v>307</v>
      </c>
      <c r="H78" s="671" t="s">
        <v>560</v>
      </c>
      <c r="I78" s="484">
        <v>3165</v>
      </c>
      <c r="J78" s="485"/>
      <c r="K78" s="646">
        <f t="shared" si="1"/>
        <v>0</v>
      </c>
      <c r="L78" s="484">
        <v>3165</v>
      </c>
      <c r="M78" s="139"/>
      <c r="N78" s="10"/>
    </row>
    <row r="79" spans="2:14" x14ac:dyDescent="0.2">
      <c r="B79" s="603" t="s">
        <v>344</v>
      </c>
      <c r="C79" s="124">
        <v>39</v>
      </c>
      <c r="D79" s="127"/>
      <c r="E79" s="127"/>
      <c r="F79" s="215" t="s">
        <v>864</v>
      </c>
      <c r="G79" s="124" t="s">
        <v>307</v>
      </c>
      <c r="H79" s="671" t="s">
        <v>915</v>
      </c>
      <c r="I79" s="484">
        <v>12304</v>
      </c>
      <c r="J79" s="485"/>
      <c r="K79" s="646">
        <f t="shared" si="1"/>
        <v>0</v>
      </c>
      <c r="L79" s="484">
        <v>12304</v>
      </c>
      <c r="M79" s="139"/>
      <c r="N79" s="10"/>
    </row>
    <row r="80" spans="2:14" ht="12" x14ac:dyDescent="0.25">
      <c r="D80" s="56"/>
      <c r="E80" s="56"/>
      <c r="F80" s="128"/>
      <c r="G80" s="128"/>
      <c r="H80" s="133" t="s">
        <v>605</v>
      </c>
      <c r="I80" s="181">
        <f>SUM(I41:I79)</f>
        <v>4636410.45</v>
      </c>
      <c r="J80" s="182"/>
      <c r="K80" s="181">
        <f>SUM(K41:K79)</f>
        <v>1571151.29</v>
      </c>
      <c r="L80" s="181">
        <f>SUM(L41:L79)</f>
        <v>1545504.03</v>
      </c>
      <c r="M80" s="181">
        <f>SUM(M41:M79)</f>
        <v>1519755.5499999998</v>
      </c>
    </row>
    <row r="81" spans="2:18" ht="12" x14ac:dyDescent="0.25">
      <c r="D81" s="56"/>
      <c r="E81" s="56"/>
      <c r="F81" s="128"/>
      <c r="G81" s="128"/>
      <c r="H81" s="190"/>
      <c r="I81" s="182"/>
      <c r="J81" s="182"/>
      <c r="K81" s="182"/>
      <c r="L81" s="182"/>
      <c r="M81" s="182"/>
    </row>
    <row r="82" spans="2:18" ht="12" hidden="1" outlineLevel="1" x14ac:dyDescent="0.25">
      <c r="B82" s="372" t="s">
        <v>1082</v>
      </c>
      <c r="D82" s="56"/>
      <c r="E82" s="56"/>
      <c r="F82" s="128"/>
      <c r="G82" s="128"/>
      <c r="H82" s="190"/>
      <c r="I82" s="511">
        <f>SUMIF($B$41:$B$79,$B82,I$41:I$79)</f>
        <v>2075945</v>
      </c>
      <c r="J82" s="182"/>
      <c r="K82" s="511">
        <f t="shared" ref="K82:M84" si="2">SUMIF($B$41:$B$79,$B82,K$41:K$79)</f>
        <v>271116.45</v>
      </c>
      <c r="L82" s="511">
        <f t="shared" si="2"/>
        <v>449105</v>
      </c>
      <c r="M82" s="511">
        <f t="shared" si="2"/>
        <v>1355723.5499999998</v>
      </c>
      <c r="O82"/>
    </row>
    <row r="83" spans="2:18" ht="12" hidden="1" outlineLevel="1" x14ac:dyDescent="0.25">
      <c r="B83" s="372" t="s">
        <v>344</v>
      </c>
      <c r="D83" s="56"/>
      <c r="E83" s="56"/>
      <c r="F83" s="128"/>
      <c r="G83" s="128"/>
      <c r="H83" s="190"/>
      <c r="I83" s="511">
        <f>SUMIF($B$41:$B$79,$B83,I$41:I$79)</f>
        <v>1156845.82</v>
      </c>
      <c r="J83" s="182"/>
      <c r="K83" s="511">
        <f t="shared" si="2"/>
        <v>68672.790000000008</v>
      </c>
      <c r="L83" s="511">
        <f t="shared" si="2"/>
        <v>924141.03</v>
      </c>
      <c r="M83" s="511">
        <f t="shared" si="2"/>
        <v>164032</v>
      </c>
      <c r="O83"/>
    </row>
    <row r="84" spans="2:18" ht="12" hidden="1" outlineLevel="1" x14ac:dyDescent="0.25">
      <c r="B84" s="372" t="s">
        <v>1081</v>
      </c>
      <c r="D84" s="56"/>
      <c r="E84" s="56"/>
      <c r="F84" s="128"/>
      <c r="G84" s="128"/>
      <c r="H84" s="190"/>
      <c r="I84" s="511">
        <f>SUMIF($B$41:$B$79,$B84,I$41:I$79)</f>
        <v>358719.63</v>
      </c>
      <c r="J84" s="182"/>
      <c r="K84" s="511">
        <f t="shared" si="2"/>
        <v>191597.05</v>
      </c>
      <c r="L84" s="511">
        <f t="shared" si="2"/>
        <v>167123</v>
      </c>
      <c r="M84" s="511">
        <f t="shared" si="2"/>
        <v>0</v>
      </c>
      <c r="O84"/>
    </row>
    <row r="85" spans="2:18" ht="12" collapsed="1" x14ac:dyDescent="0.25">
      <c r="D85" s="56"/>
      <c r="E85" s="56"/>
      <c r="F85" s="128"/>
      <c r="G85" s="128"/>
      <c r="H85" s="190"/>
      <c r="I85" s="182"/>
      <c r="J85" s="182"/>
      <c r="K85" s="182"/>
      <c r="L85" s="182"/>
      <c r="M85" s="182"/>
    </row>
    <row r="86" spans="2:18" ht="13.2" x14ac:dyDescent="0.25">
      <c r="F86" s="455" t="s">
        <v>1070</v>
      </c>
      <c r="I86" s="107"/>
      <c r="J86" s="149"/>
      <c r="K86" s="107"/>
      <c r="L86" s="107"/>
      <c r="M86" s="107"/>
      <c r="O86" s="899"/>
    </row>
    <row r="87" spans="2:18" ht="12" x14ac:dyDescent="0.25">
      <c r="B87" s="1057"/>
      <c r="C87" s="1043" t="s">
        <v>310</v>
      </c>
      <c r="D87" s="1043" t="s">
        <v>263</v>
      </c>
      <c r="E87" s="1043" t="s">
        <v>264</v>
      </c>
      <c r="F87" s="1043" t="s">
        <v>562</v>
      </c>
      <c r="G87" s="1047" t="s">
        <v>535</v>
      </c>
      <c r="H87" s="1043" t="s">
        <v>604</v>
      </c>
      <c r="I87" s="1048" t="s">
        <v>360</v>
      </c>
      <c r="J87" s="183"/>
      <c r="K87" s="1060" t="s">
        <v>543</v>
      </c>
      <c r="L87" s="1060"/>
      <c r="M87" s="1060"/>
    </row>
    <row r="88" spans="2:18" ht="24.6" thickBot="1" x14ac:dyDescent="0.3">
      <c r="B88" s="1057"/>
      <c r="C88" s="1043"/>
      <c r="D88" s="1043"/>
      <c r="E88" s="1043"/>
      <c r="F88" s="1043"/>
      <c r="G88" s="1047"/>
      <c r="H88" s="1043"/>
      <c r="I88" s="1048"/>
      <c r="J88" s="183"/>
      <c r="K88" s="164" t="s">
        <v>233</v>
      </c>
      <c r="L88" s="164" t="s">
        <v>359</v>
      </c>
      <c r="M88" s="184" t="s">
        <v>314</v>
      </c>
    </row>
    <row r="89" spans="2:18" ht="24" thickTop="1" thickBot="1" x14ac:dyDescent="0.25">
      <c r="B89" s="603" t="s">
        <v>344</v>
      </c>
      <c r="C89" s="425"/>
      <c r="D89" s="429"/>
      <c r="E89" s="429"/>
      <c r="F89" s="437" t="s">
        <v>488</v>
      </c>
      <c r="G89" s="429" t="s">
        <v>163</v>
      </c>
      <c r="H89" s="679" t="s">
        <v>674</v>
      </c>
      <c r="I89" s="680">
        <f>K89</f>
        <v>15000</v>
      </c>
      <c r="J89" s="681"/>
      <c r="K89" s="680">
        <v>15000</v>
      </c>
      <c r="L89" s="439"/>
      <c r="M89" s="439"/>
      <c r="N89" s="408"/>
    </row>
    <row r="90" spans="2:18" ht="12" thickTop="1" x14ac:dyDescent="0.2">
      <c r="B90" s="603" t="s">
        <v>1082</v>
      </c>
      <c r="C90" s="433"/>
      <c r="D90" s="402"/>
      <c r="E90" s="402"/>
      <c r="F90" s="403" t="s">
        <v>221</v>
      </c>
      <c r="G90" s="402" t="s">
        <v>900</v>
      </c>
      <c r="H90" s="682" t="s">
        <v>1069</v>
      </c>
      <c r="I90" s="754">
        <f>SUM(K90:M90)</f>
        <v>30000</v>
      </c>
      <c r="J90" s="485"/>
      <c r="K90" s="683">
        <v>30000</v>
      </c>
      <c r="L90" s="684"/>
      <c r="M90" s="406"/>
      <c r="N90" s="408" t="s">
        <v>1071</v>
      </c>
      <c r="R90">
        <v>35000</v>
      </c>
    </row>
    <row r="91" spans="2:18" x14ac:dyDescent="0.2">
      <c r="B91" s="603" t="s">
        <v>1081</v>
      </c>
      <c r="C91" s="124"/>
      <c r="D91" s="402"/>
      <c r="E91" s="402"/>
      <c r="F91" s="403" t="s">
        <v>221</v>
      </c>
      <c r="G91" s="402" t="s">
        <v>900</v>
      </c>
      <c r="H91" s="682" t="s">
        <v>211</v>
      </c>
      <c r="I91" s="685">
        <f>SUM(K91:M91)</f>
        <v>900</v>
      </c>
      <c r="J91" s="485"/>
      <c r="K91" s="684">
        <v>900</v>
      </c>
      <c r="L91" s="684"/>
      <c r="M91" s="406"/>
    </row>
    <row r="92" spans="2:18" ht="22.8" x14ac:dyDescent="0.2">
      <c r="B92" s="603" t="s">
        <v>1081</v>
      </c>
      <c r="C92" s="124"/>
      <c r="D92" s="124"/>
      <c r="E92" s="124"/>
      <c r="F92" s="141" t="s">
        <v>221</v>
      </c>
      <c r="G92" s="124" t="s">
        <v>900</v>
      </c>
      <c r="H92" s="657" t="s">
        <v>855</v>
      </c>
      <c r="I92" s="664">
        <f>SUM(K92:M92)</f>
        <v>900</v>
      </c>
      <c r="J92" s="485"/>
      <c r="K92" s="484">
        <v>900</v>
      </c>
      <c r="L92" s="484"/>
      <c r="M92" s="132"/>
      <c r="N92" s="407"/>
    </row>
    <row r="93" spans="2:18" ht="22.8" x14ac:dyDescent="0.2">
      <c r="B93" s="603" t="s">
        <v>1081</v>
      </c>
      <c r="C93" s="124"/>
      <c r="D93" s="124"/>
      <c r="E93" s="124"/>
      <c r="F93" s="141" t="s">
        <v>221</v>
      </c>
      <c r="G93" s="124" t="s">
        <v>900</v>
      </c>
      <c r="H93" s="657" t="s">
        <v>1031</v>
      </c>
      <c r="I93" s="664">
        <f>K93+L93</f>
        <v>25000</v>
      </c>
      <c r="J93" s="485"/>
      <c r="K93" s="484">
        <v>9000</v>
      </c>
      <c r="L93" s="486">
        <v>16000</v>
      </c>
      <c r="M93" s="132"/>
      <c r="N93" s="407"/>
    </row>
    <row r="94" spans="2:18" x14ac:dyDescent="0.2">
      <c r="B94" s="603" t="s">
        <v>1081</v>
      </c>
      <c r="C94" s="124"/>
      <c r="D94" s="124" t="s">
        <v>379</v>
      </c>
      <c r="E94" s="124"/>
      <c r="F94" s="141" t="s">
        <v>508</v>
      </c>
      <c r="G94" s="124" t="s">
        <v>900</v>
      </c>
      <c r="H94" s="657" t="s">
        <v>537</v>
      </c>
      <c r="I94" s="686">
        <f t="shared" ref="I94:I105" si="3">SUM(K94:M94)</f>
        <v>40000</v>
      </c>
      <c r="J94" s="485"/>
      <c r="K94" s="484">
        <v>40000</v>
      </c>
      <c r="L94" s="446"/>
      <c r="M94" s="446"/>
      <c r="N94" s="408"/>
    </row>
    <row r="95" spans="2:18" ht="34.200000000000003" x14ac:dyDescent="0.2">
      <c r="C95" s="445"/>
      <c r="D95" s="445"/>
      <c r="E95" s="445"/>
      <c r="F95" s="141" t="s">
        <v>508</v>
      </c>
      <c r="G95" s="124" t="s">
        <v>900</v>
      </c>
      <c r="H95" s="688" t="s">
        <v>1138</v>
      </c>
      <c r="I95" s="686">
        <f>SUM(K95:M95)</f>
        <v>5094</v>
      </c>
      <c r="J95" s="485"/>
      <c r="K95" s="689">
        <v>5094</v>
      </c>
      <c r="L95" s="446"/>
      <c r="M95" s="446"/>
      <c r="N95" s="408"/>
    </row>
    <row r="96" spans="2:18" ht="23.4" thickBot="1" x14ac:dyDescent="0.25">
      <c r="B96" s="603" t="s">
        <v>1081</v>
      </c>
      <c r="C96" s="399"/>
      <c r="D96" s="399" t="s">
        <v>380</v>
      </c>
      <c r="E96" s="399"/>
      <c r="F96" s="410" t="s">
        <v>508</v>
      </c>
      <c r="G96" s="399" t="s">
        <v>900</v>
      </c>
      <c r="H96" s="690" t="s">
        <v>538</v>
      </c>
      <c r="I96" s="691">
        <f t="shared" si="3"/>
        <v>10000</v>
      </c>
      <c r="J96" s="487"/>
      <c r="K96" s="691">
        <v>10000</v>
      </c>
      <c r="L96" s="412"/>
      <c r="M96" s="412"/>
      <c r="N96" s="408"/>
    </row>
    <row r="97" spans="2:18" ht="12" thickTop="1" x14ac:dyDescent="0.2">
      <c r="B97" s="603" t="s">
        <v>1081</v>
      </c>
      <c r="C97" s="402"/>
      <c r="D97" s="402"/>
      <c r="E97" s="402"/>
      <c r="F97" s="403" t="s">
        <v>222</v>
      </c>
      <c r="G97" s="402" t="s">
        <v>548</v>
      </c>
      <c r="H97" s="682" t="s">
        <v>569</v>
      </c>
      <c r="I97" s="684">
        <f t="shared" si="3"/>
        <v>44880</v>
      </c>
      <c r="J97" s="485"/>
      <c r="K97" s="684">
        <v>44880</v>
      </c>
      <c r="L97" s="406"/>
      <c r="M97" s="406"/>
      <c r="N97" s="408" t="s">
        <v>918</v>
      </c>
    </row>
    <row r="98" spans="2:18" ht="22.8" x14ac:dyDescent="0.2">
      <c r="B98" s="603" t="s">
        <v>1081</v>
      </c>
      <c r="C98" s="124"/>
      <c r="D98" s="124"/>
      <c r="E98" s="124"/>
      <c r="F98" s="141" t="s">
        <v>222</v>
      </c>
      <c r="G98" s="124" t="s">
        <v>548</v>
      </c>
      <c r="H98" s="657" t="s">
        <v>549</v>
      </c>
      <c r="I98" s="132">
        <f t="shared" si="3"/>
        <v>4700</v>
      </c>
      <c r="J98" s="485"/>
      <c r="K98" s="484">
        <v>4700</v>
      </c>
      <c r="L98" s="132"/>
      <c r="M98" s="132"/>
      <c r="N98" s="408" t="s">
        <v>775</v>
      </c>
    </row>
    <row r="99" spans="2:18" x14ac:dyDescent="0.2">
      <c r="B99" s="603" t="s">
        <v>1081</v>
      </c>
      <c r="C99" s="124"/>
      <c r="D99" s="124"/>
      <c r="E99" s="124"/>
      <c r="F99" s="141" t="s">
        <v>222</v>
      </c>
      <c r="G99" s="124" t="s">
        <v>548</v>
      </c>
      <c r="H99" s="657" t="s">
        <v>550</v>
      </c>
      <c r="I99" s="132">
        <f t="shared" si="3"/>
        <v>9050</v>
      </c>
      <c r="J99" s="485"/>
      <c r="K99" s="484">
        <v>9050</v>
      </c>
      <c r="L99" s="132"/>
      <c r="M99" s="132"/>
      <c r="N99" s="408" t="s">
        <v>775</v>
      </c>
    </row>
    <row r="100" spans="2:18" x14ac:dyDescent="0.2">
      <c r="B100" s="603" t="s">
        <v>1081</v>
      </c>
      <c r="C100" s="124"/>
      <c r="D100" s="124"/>
      <c r="E100" s="124"/>
      <c r="F100" s="141" t="s">
        <v>222</v>
      </c>
      <c r="G100" s="124" t="s">
        <v>548</v>
      </c>
      <c r="H100" s="657" t="s">
        <v>1015</v>
      </c>
      <c r="I100" s="750">
        <f t="shared" si="3"/>
        <v>10000</v>
      </c>
      <c r="J100" s="485"/>
      <c r="K100" s="484">
        <v>10000</v>
      </c>
      <c r="L100" s="446"/>
      <c r="M100" s="446"/>
      <c r="N100" s="408"/>
    </row>
    <row r="101" spans="2:18" x14ac:dyDescent="0.2">
      <c r="B101" s="603" t="s">
        <v>1081</v>
      </c>
      <c r="C101" s="124"/>
      <c r="D101" s="124"/>
      <c r="E101" s="124"/>
      <c r="F101" s="141" t="s">
        <v>222</v>
      </c>
      <c r="G101" s="124" t="s">
        <v>548</v>
      </c>
      <c r="H101" s="657" t="s">
        <v>208</v>
      </c>
      <c r="I101" s="750">
        <f t="shared" si="3"/>
        <v>59375</v>
      </c>
      <c r="J101" s="692"/>
      <c r="K101" s="693">
        <v>59375</v>
      </c>
      <c r="L101" s="409"/>
      <c r="M101" s="409"/>
      <c r="N101" s="408" t="s">
        <v>919</v>
      </c>
    </row>
    <row r="102" spans="2:18" ht="22.8" x14ac:dyDescent="0.2">
      <c r="C102" s="124"/>
      <c r="D102" s="124"/>
      <c r="E102" s="124"/>
      <c r="F102" s="141" t="s">
        <v>222</v>
      </c>
      <c r="G102" s="124" t="s">
        <v>548</v>
      </c>
      <c r="H102" s="657" t="s">
        <v>1163</v>
      </c>
      <c r="I102" s="686">
        <f>SUM(K102:M102)</f>
        <v>20700</v>
      </c>
      <c r="J102" s="692"/>
      <c r="K102" s="693">
        <f>80075-K101</f>
        <v>20700</v>
      </c>
      <c r="L102" s="409"/>
      <c r="M102" s="409"/>
      <c r="N102" s="408"/>
    </row>
    <row r="103" spans="2:18" ht="22.8" x14ac:dyDescent="0.2">
      <c r="C103" s="124"/>
      <c r="D103" s="124"/>
      <c r="E103" s="124"/>
      <c r="F103" s="141" t="s">
        <v>222</v>
      </c>
      <c r="G103" s="124" t="s">
        <v>548</v>
      </c>
      <c r="H103" s="657" t="s">
        <v>1141</v>
      </c>
      <c r="I103" s="686">
        <f t="shared" si="3"/>
        <v>26310</v>
      </c>
      <c r="J103" s="692"/>
      <c r="K103" s="693">
        <v>26310</v>
      </c>
      <c r="L103" s="409"/>
      <c r="M103" s="409"/>
      <c r="N103" s="408" t="s">
        <v>779</v>
      </c>
    </row>
    <row r="104" spans="2:18" x14ac:dyDescent="0.2">
      <c r="B104" s="603" t="s">
        <v>1082</v>
      </c>
      <c r="C104" s="124"/>
      <c r="D104" s="124"/>
      <c r="E104" s="124"/>
      <c r="F104" s="141" t="s">
        <v>222</v>
      </c>
      <c r="G104" s="124" t="s">
        <v>548</v>
      </c>
      <c r="H104" s="657" t="s">
        <v>522</v>
      </c>
      <c r="I104" s="664">
        <f t="shared" si="3"/>
        <v>0</v>
      </c>
      <c r="J104" s="485"/>
      <c r="K104" s="486">
        <f>42500-42500</f>
        <v>0</v>
      </c>
      <c r="L104" s="132"/>
      <c r="M104" s="132"/>
      <c r="N104" s="408" t="s">
        <v>779</v>
      </c>
      <c r="R104">
        <v>29874.9</v>
      </c>
    </row>
    <row r="105" spans="2:18" ht="12" thickBot="1" x14ac:dyDescent="0.25">
      <c r="B105" s="603" t="s">
        <v>344</v>
      </c>
      <c r="C105" s="399"/>
      <c r="D105" s="399"/>
      <c r="E105" s="399"/>
      <c r="F105" s="410" t="s">
        <v>222</v>
      </c>
      <c r="G105" s="399" t="s">
        <v>548</v>
      </c>
      <c r="H105" s="690" t="s">
        <v>778</v>
      </c>
      <c r="I105" s="694">
        <f t="shared" si="3"/>
        <v>0</v>
      </c>
      <c r="J105" s="487"/>
      <c r="K105" s="695">
        <f>60000-60000</f>
        <v>0</v>
      </c>
      <c r="L105" s="412"/>
      <c r="M105" s="412"/>
      <c r="N105" s="408" t="s">
        <v>780</v>
      </c>
      <c r="R105">
        <v>7048.25</v>
      </c>
    </row>
    <row r="106" spans="2:18" ht="34.799999999999997" thickTop="1" x14ac:dyDescent="0.2">
      <c r="B106" s="603" t="s">
        <v>1081</v>
      </c>
      <c r="C106" s="402"/>
      <c r="D106" s="402"/>
      <c r="E106" s="402"/>
      <c r="F106" s="403" t="s">
        <v>240</v>
      </c>
      <c r="G106" s="402" t="s">
        <v>241</v>
      </c>
      <c r="H106" s="696" t="s">
        <v>1119</v>
      </c>
      <c r="I106" s="756">
        <f>K106</f>
        <v>7841</v>
      </c>
      <c r="J106" s="485"/>
      <c r="K106" s="683">
        <v>7841</v>
      </c>
      <c r="L106" s="406"/>
      <c r="M106" s="406"/>
      <c r="N106" s="408"/>
    </row>
    <row r="107" spans="2:18" x14ac:dyDescent="0.2">
      <c r="B107" s="603" t="s">
        <v>1081</v>
      </c>
      <c r="C107" s="124"/>
      <c r="D107" s="124"/>
      <c r="E107" s="124"/>
      <c r="F107" s="141" t="s">
        <v>240</v>
      </c>
      <c r="G107" s="124" t="s">
        <v>241</v>
      </c>
      <c r="H107" s="696" t="s">
        <v>566</v>
      </c>
      <c r="I107" s="752">
        <f>SUM(K107:M107)</f>
        <v>23000</v>
      </c>
      <c r="J107" s="485"/>
      <c r="K107" s="484">
        <v>23000</v>
      </c>
      <c r="L107" s="132"/>
      <c r="M107" s="132"/>
      <c r="N107" s="407"/>
    </row>
    <row r="108" spans="2:18" ht="22.8" x14ac:dyDescent="0.2">
      <c r="B108" s="603" t="s">
        <v>1081</v>
      </c>
      <c r="C108" s="124"/>
      <c r="D108" s="124"/>
      <c r="E108" s="124"/>
      <c r="F108" s="141" t="s">
        <v>240</v>
      </c>
      <c r="G108" s="124" t="s">
        <v>241</v>
      </c>
      <c r="H108" s="696" t="s">
        <v>920</v>
      </c>
      <c r="I108" s="752">
        <f>SUM(K108:M108)</f>
        <v>2320</v>
      </c>
      <c r="J108" s="485"/>
      <c r="K108" s="484">
        <v>2320</v>
      </c>
      <c r="L108" s="132"/>
      <c r="M108" s="132"/>
      <c r="N108" s="407"/>
    </row>
    <row r="109" spans="2:18" x14ac:dyDescent="0.2">
      <c r="B109" s="603" t="s">
        <v>1081</v>
      </c>
      <c r="C109" s="124"/>
      <c r="D109" s="124"/>
      <c r="E109" s="124"/>
      <c r="F109" s="141" t="s">
        <v>240</v>
      </c>
      <c r="G109" s="124" t="s">
        <v>241</v>
      </c>
      <c r="H109" s="656" t="s">
        <v>840</v>
      </c>
      <c r="I109" s="752">
        <f>SUM(K109:M109)</f>
        <v>39360</v>
      </c>
      <c r="J109" s="485"/>
      <c r="K109" s="484">
        <v>39360</v>
      </c>
      <c r="L109" s="132"/>
      <c r="M109" s="132"/>
      <c r="N109" s="413" t="s">
        <v>841</v>
      </c>
    </row>
    <row r="110" spans="2:18" x14ac:dyDescent="0.2">
      <c r="B110" s="603" t="s">
        <v>1081</v>
      </c>
      <c r="C110" s="124"/>
      <c r="D110" s="124"/>
      <c r="E110" s="124"/>
      <c r="F110" s="141" t="s">
        <v>240</v>
      </c>
      <c r="G110" s="124" t="s">
        <v>241</v>
      </c>
      <c r="H110" s="656" t="s">
        <v>846</v>
      </c>
      <c r="I110" s="752">
        <f>K110</f>
        <v>500</v>
      </c>
      <c r="J110" s="485"/>
      <c r="K110" s="486">
        <f>3650-3650+500</f>
        <v>500</v>
      </c>
      <c r="L110" s="132"/>
      <c r="M110" s="132"/>
      <c r="N110" s="413" t="s">
        <v>839</v>
      </c>
    </row>
    <row r="111" spans="2:18" x14ac:dyDescent="0.2">
      <c r="B111" s="603" t="s">
        <v>1081</v>
      </c>
      <c r="C111" s="124"/>
      <c r="D111" s="124"/>
      <c r="E111" s="124"/>
      <c r="F111" s="141" t="s">
        <v>240</v>
      </c>
      <c r="G111" s="124" t="s">
        <v>241</v>
      </c>
      <c r="H111" s="656" t="s">
        <v>845</v>
      </c>
      <c r="I111" s="752">
        <f>K111</f>
        <v>1000</v>
      </c>
      <c r="J111" s="485"/>
      <c r="K111" s="484">
        <v>1000</v>
      </c>
      <c r="L111" s="132"/>
      <c r="M111" s="132"/>
      <c r="N111" s="414" t="s">
        <v>847</v>
      </c>
    </row>
    <row r="112" spans="2:18" ht="12" thickBot="1" x14ac:dyDescent="0.25">
      <c r="B112" s="603" t="s">
        <v>1081</v>
      </c>
      <c r="C112" s="399"/>
      <c r="D112" s="399"/>
      <c r="E112" s="399"/>
      <c r="F112" s="410" t="s">
        <v>240</v>
      </c>
      <c r="G112" s="399" t="s">
        <v>241</v>
      </c>
      <c r="H112" s="697" t="s">
        <v>532</v>
      </c>
      <c r="I112" s="751">
        <f>SUM(K112:M112)</f>
        <v>3000</v>
      </c>
      <c r="J112" s="487"/>
      <c r="K112" s="691">
        <v>3000</v>
      </c>
      <c r="L112" s="412"/>
      <c r="M112" s="412"/>
      <c r="N112" s="414" t="s">
        <v>849</v>
      </c>
    </row>
    <row r="113" spans="2:23" ht="12" thickTop="1" x14ac:dyDescent="0.2">
      <c r="B113" s="603" t="s">
        <v>1081</v>
      </c>
      <c r="C113" s="124"/>
      <c r="D113" s="124"/>
      <c r="E113" s="124"/>
      <c r="F113" s="141" t="s">
        <v>921</v>
      </c>
      <c r="G113" s="124" t="s">
        <v>922</v>
      </c>
      <c r="H113" s="656" t="s">
        <v>675</v>
      </c>
      <c r="I113" s="752">
        <f>SUM(K113:M113)</f>
        <v>4000</v>
      </c>
      <c r="J113" s="485"/>
      <c r="K113" s="484">
        <v>4000</v>
      </c>
      <c r="L113" s="484"/>
      <c r="M113" s="132"/>
      <c r="N113" s="407"/>
    </row>
    <row r="114" spans="2:23" ht="12" thickBot="1" x14ac:dyDescent="0.25">
      <c r="B114" s="603" t="s">
        <v>1081</v>
      </c>
      <c r="C114" s="399"/>
      <c r="D114" s="399"/>
      <c r="E114" s="399"/>
      <c r="F114" s="410" t="s">
        <v>921</v>
      </c>
      <c r="G114" s="399" t="s">
        <v>922</v>
      </c>
      <c r="H114" s="697" t="s">
        <v>923</v>
      </c>
      <c r="I114" s="751">
        <f>SUM(K114:M114)</f>
        <v>61541</v>
      </c>
      <c r="J114" s="487"/>
      <c r="K114" s="691">
        <f>32970+10931</f>
        <v>43901</v>
      </c>
      <c r="L114" s="691">
        <v>17640</v>
      </c>
      <c r="M114" s="412"/>
      <c r="N114" s="407"/>
    </row>
    <row r="115" spans="2:23" ht="23.4" thickTop="1" x14ac:dyDescent="0.2">
      <c r="B115" s="603" t="s">
        <v>1081</v>
      </c>
      <c r="C115" s="402"/>
      <c r="D115" s="402"/>
      <c r="E115" s="402"/>
      <c r="F115" s="403" t="s">
        <v>499</v>
      </c>
      <c r="G115" s="402" t="s">
        <v>366</v>
      </c>
      <c r="H115" s="682" t="s">
        <v>771</v>
      </c>
      <c r="I115" s="684">
        <f>SUM(K115:M115)</f>
        <v>40600</v>
      </c>
      <c r="J115" s="485"/>
      <c r="K115" s="684">
        <v>40600</v>
      </c>
      <c r="L115" s="406"/>
      <c r="M115" s="406"/>
      <c r="N115" s="407"/>
    </row>
    <row r="116" spans="2:23" ht="17.399999999999999" customHeight="1" thickBot="1" x14ac:dyDescent="0.25">
      <c r="B116" s="603" t="s">
        <v>1081</v>
      </c>
      <c r="C116" s="399"/>
      <c r="D116" s="399"/>
      <c r="E116" s="399"/>
      <c r="F116" s="410" t="s">
        <v>499</v>
      </c>
      <c r="G116" s="399" t="s">
        <v>366</v>
      </c>
      <c r="H116" s="690" t="s">
        <v>526</v>
      </c>
      <c r="I116" s="691">
        <f>SUM(K116:M116)</f>
        <v>38526</v>
      </c>
      <c r="J116" s="487"/>
      <c r="K116" s="691">
        <v>38526</v>
      </c>
      <c r="L116" s="412"/>
      <c r="M116" s="412"/>
      <c r="N116" s="407"/>
    </row>
    <row r="117" spans="2:23" ht="12" thickTop="1" x14ac:dyDescent="0.2">
      <c r="B117" s="603" t="s">
        <v>1082</v>
      </c>
      <c r="C117" s="402"/>
      <c r="D117" s="402"/>
      <c r="E117" s="416"/>
      <c r="F117" s="403" t="s">
        <v>454</v>
      </c>
      <c r="G117" s="402" t="s">
        <v>167</v>
      </c>
      <c r="H117" s="682" t="s">
        <v>552</v>
      </c>
      <c r="I117" s="684">
        <f t="shared" ref="I117:I123" si="4">SUM(K117:M117)</f>
        <v>9000</v>
      </c>
      <c r="J117" s="485"/>
      <c r="K117" s="684">
        <v>9000</v>
      </c>
      <c r="L117" s="406"/>
      <c r="M117" s="406"/>
    </row>
    <row r="118" spans="2:23" x14ac:dyDescent="0.2">
      <c r="B118" s="603" t="s">
        <v>1082</v>
      </c>
      <c r="C118" s="124"/>
      <c r="D118" s="417"/>
      <c r="E118" s="417"/>
      <c r="F118" s="141" t="s">
        <v>454</v>
      </c>
      <c r="G118" s="124" t="s">
        <v>167</v>
      </c>
      <c r="H118" s="671" t="s">
        <v>642</v>
      </c>
      <c r="I118" s="486">
        <f t="shared" si="4"/>
        <v>100000</v>
      </c>
      <c r="J118" s="485"/>
      <c r="K118" s="698">
        <f>130000-30000</f>
        <v>100000</v>
      </c>
      <c r="L118" s="132"/>
      <c r="M118" s="132"/>
    </row>
    <row r="119" spans="2:23" s="46" customFormat="1" x14ac:dyDescent="0.2">
      <c r="B119" s="603" t="s">
        <v>1082</v>
      </c>
      <c r="C119" s="130"/>
      <c r="D119" s="418"/>
      <c r="E119" s="418"/>
      <c r="F119" s="150" t="s">
        <v>454</v>
      </c>
      <c r="G119" s="130" t="s">
        <v>167</v>
      </c>
      <c r="H119" s="699" t="s">
        <v>553</v>
      </c>
      <c r="I119" s="700"/>
      <c r="J119" s="701"/>
      <c r="K119" s="702"/>
      <c r="L119" s="420"/>
      <c r="M119" s="420"/>
      <c r="O119" s="894"/>
      <c r="P119"/>
      <c r="Q119"/>
      <c r="R119"/>
      <c r="S119"/>
      <c r="T119"/>
      <c r="U119"/>
      <c r="V119"/>
      <c r="W119"/>
    </row>
    <row r="120" spans="2:23" s="46" customFormat="1" x14ac:dyDescent="0.2">
      <c r="B120" s="603" t="s">
        <v>1082</v>
      </c>
      <c r="C120" s="124"/>
      <c r="D120" s="417"/>
      <c r="E120" s="417"/>
      <c r="F120" s="141" t="s">
        <v>454</v>
      </c>
      <c r="G120" s="124" t="s">
        <v>167</v>
      </c>
      <c r="H120" s="703" t="s">
        <v>789</v>
      </c>
      <c r="I120" s="486">
        <f t="shared" si="4"/>
        <v>3000</v>
      </c>
      <c r="J120" s="485"/>
      <c r="K120" s="484">
        <v>3000</v>
      </c>
      <c r="L120" s="132"/>
      <c r="M120" s="132"/>
      <c r="O120" s="894"/>
      <c r="P120"/>
      <c r="Q120"/>
      <c r="R120"/>
      <c r="S120"/>
      <c r="T120"/>
      <c r="U120"/>
      <c r="V120"/>
      <c r="W120"/>
    </row>
    <row r="121" spans="2:23" s="46" customFormat="1" x14ac:dyDescent="0.2">
      <c r="B121" s="603" t="s">
        <v>1082</v>
      </c>
      <c r="C121" s="124"/>
      <c r="D121" s="417"/>
      <c r="E121" s="417"/>
      <c r="F121" s="141" t="s">
        <v>454</v>
      </c>
      <c r="G121" s="124" t="s">
        <v>167</v>
      </c>
      <c r="H121" s="704" t="s">
        <v>790</v>
      </c>
      <c r="I121" s="486">
        <f t="shared" si="4"/>
        <v>2500</v>
      </c>
      <c r="J121" s="485"/>
      <c r="K121" s="484">
        <v>2500</v>
      </c>
      <c r="L121" s="132"/>
      <c r="M121" s="132"/>
      <c r="O121" s="894"/>
      <c r="P121"/>
      <c r="Q121"/>
      <c r="R121"/>
      <c r="S121"/>
      <c r="T121"/>
      <c r="U121"/>
      <c r="V121"/>
      <c r="W121"/>
    </row>
    <row r="122" spans="2:23" s="46" customFormat="1" x14ac:dyDescent="0.2">
      <c r="B122" s="603" t="s">
        <v>1082</v>
      </c>
      <c r="C122" s="124"/>
      <c r="D122" s="417"/>
      <c r="E122" s="417"/>
      <c r="F122" s="141" t="s">
        <v>454</v>
      </c>
      <c r="G122" s="124" t="s">
        <v>167</v>
      </c>
      <c r="H122" s="704" t="s">
        <v>791</v>
      </c>
      <c r="I122" s="486">
        <f t="shared" si="4"/>
        <v>13000</v>
      </c>
      <c r="J122" s="485"/>
      <c r="K122" s="484">
        <v>13000</v>
      </c>
      <c r="L122" s="132"/>
      <c r="M122" s="132"/>
      <c r="O122" s="894"/>
      <c r="P122"/>
      <c r="Q122"/>
      <c r="R122"/>
      <c r="S122"/>
      <c r="T122"/>
      <c r="U122"/>
      <c r="V122"/>
      <c r="W122"/>
    </row>
    <row r="123" spans="2:23" s="46" customFormat="1" x14ac:dyDescent="0.2">
      <c r="B123" s="603" t="s">
        <v>1082</v>
      </c>
      <c r="C123" s="124"/>
      <c r="D123" s="417"/>
      <c r="E123" s="417"/>
      <c r="F123" s="141" t="s">
        <v>454</v>
      </c>
      <c r="G123" s="124" t="s">
        <v>167</v>
      </c>
      <c r="H123" s="704" t="s">
        <v>792</v>
      </c>
      <c r="I123" s="486">
        <f t="shared" si="4"/>
        <v>13000</v>
      </c>
      <c r="J123" s="485"/>
      <c r="K123" s="484">
        <v>13000</v>
      </c>
      <c r="L123" s="132"/>
      <c r="M123" s="132"/>
      <c r="O123" s="894"/>
      <c r="P123"/>
      <c r="Q123"/>
      <c r="R123"/>
      <c r="S123"/>
      <c r="T123"/>
      <c r="U123"/>
      <c r="V123"/>
      <c r="W123"/>
    </row>
    <row r="124" spans="2:23" s="46" customFormat="1" ht="22.8" x14ac:dyDescent="0.2">
      <c r="B124" s="603" t="s">
        <v>1082</v>
      </c>
      <c r="C124" s="124"/>
      <c r="D124" s="417"/>
      <c r="E124" s="417"/>
      <c r="F124" s="141" t="s">
        <v>454</v>
      </c>
      <c r="G124" s="124" t="s">
        <v>167</v>
      </c>
      <c r="H124" s="704" t="s">
        <v>793</v>
      </c>
      <c r="I124" s="705">
        <f>SUM(K124:M124)</f>
        <v>13000</v>
      </c>
      <c r="J124" s="485"/>
      <c r="K124" s="484">
        <v>13000</v>
      </c>
      <c r="L124" s="132"/>
      <c r="M124" s="132"/>
      <c r="O124" s="894"/>
      <c r="P124"/>
      <c r="Q124"/>
      <c r="R124"/>
      <c r="S124"/>
      <c r="T124"/>
      <c r="U124"/>
      <c r="V124"/>
      <c r="W124"/>
    </row>
    <row r="125" spans="2:23" s="46" customFormat="1" x14ac:dyDescent="0.2">
      <c r="B125" s="603" t="s">
        <v>1082</v>
      </c>
      <c r="C125" s="124"/>
      <c r="D125" s="417"/>
      <c r="E125" s="417"/>
      <c r="F125" s="141" t="s">
        <v>454</v>
      </c>
      <c r="G125" s="124" t="s">
        <v>167</v>
      </c>
      <c r="H125" s="704" t="s">
        <v>794</v>
      </c>
      <c r="I125" s="705">
        <f>SUM(K125:M125)</f>
        <v>5000</v>
      </c>
      <c r="J125" s="485"/>
      <c r="K125" s="484">
        <v>5000</v>
      </c>
      <c r="L125" s="132"/>
      <c r="M125" s="132"/>
      <c r="O125" s="894"/>
      <c r="P125"/>
      <c r="Q125"/>
      <c r="R125"/>
      <c r="S125"/>
      <c r="T125"/>
      <c r="U125"/>
      <c r="V125"/>
      <c r="W125"/>
    </row>
    <row r="126" spans="2:23" s="46" customFormat="1" x14ac:dyDescent="0.2">
      <c r="B126" s="603" t="s">
        <v>1082</v>
      </c>
      <c r="C126" s="130"/>
      <c r="D126" s="418"/>
      <c r="E126" s="418"/>
      <c r="F126" s="150" t="s">
        <v>454</v>
      </c>
      <c r="G126" s="130" t="s">
        <v>167</v>
      </c>
      <c r="H126" s="699" t="s">
        <v>268</v>
      </c>
      <c r="I126" s="700"/>
      <c r="J126" s="701"/>
      <c r="K126" s="702"/>
      <c r="L126" s="420"/>
      <c r="M126" s="420"/>
      <c r="O126" s="894"/>
      <c r="P126"/>
      <c r="Q126"/>
      <c r="R126"/>
      <c r="S126"/>
      <c r="T126"/>
      <c r="U126"/>
      <c r="V126"/>
      <c r="W126"/>
    </row>
    <row r="127" spans="2:23" s="46" customFormat="1" x14ac:dyDescent="0.2">
      <c r="B127" s="603" t="s">
        <v>1082</v>
      </c>
      <c r="C127" s="124"/>
      <c r="D127" s="417"/>
      <c r="E127" s="417"/>
      <c r="F127" s="141" t="s">
        <v>454</v>
      </c>
      <c r="G127" s="124" t="s">
        <v>167</v>
      </c>
      <c r="H127" s="703" t="s">
        <v>798</v>
      </c>
      <c r="I127" s="664">
        <f t="shared" ref="I127:I158" si="5">SUM(K127:M127)</f>
        <v>200</v>
      </c>
      <c r="J127" s="485"/>
      <c r="K127" s="484">
        <v>200</v>
      </c>
      <c r="L127" s="132"/>
      <c r="M127" s="132"/>
      <c r="O127" s="894"/>
      <c r="P127"/>
      <c r="Q127"/>
      <c r="R127"/>
      <c r="S127"/>
      <c r="T127"/>
      <c r="U127"/>
      <c r="V127"/>
      <c r="W127"/>
    </row>
    <row r="128" spans="2:23" s="46" customFormat="1" x14ac:dyDescent="0.2">
      <c r="B128" s="603" t="s">
        <v>1082</v>
      </c>
      <c r="C128" s="124"/>
      <c r="D128" s="417"/>
      <c r="E128" s="417"/>
      <c r="F128" s="141" t="s">
        <v>454</v>
      </c>
      <c r="G128" s="124" t="s">
        <v>167</v>
      </c>
      <c r="H128" s="703" t="s">
        <v>795</v>
      </c>
      <c r="I128" s="664">
        <f t="shared" si="5"/>
        <v>1900</v>
      </c>
      <c r="J128" s="485"/>
      <c r="K128" s="484">
        <v>1900</v>
      </c>
      <c r="L128" s="132"/>
      <c r="M128" s="132"/>
      <c r="O128" s="894"/>
      <c r="P128"/>
      <c r="Q128"/>
      <c r="R128"/>
      <c r="S128"/>
      <c r="T128"/>
      <c r="U128"/>
      <c r="V128"/>
      <c r="W128"/>
    </row>
    <row r="129" spans="2:23" s="46" customFormat="1" x14ac:dyDescent="0.2">
      <c r="B129" s="603" t="s">
        <v>1082</v>
      </c>
      <c r="C129" s="124"/>
      <c r="D129" s="417"/>
      <c r="E129" s="417"/>
      <c r="F129" s="141" t="s">
        <v>454</v>
      </c>
      <c r="G129" s="124" t="s">
        <v>167</v>
      </c>
      <c r="H129" s="703" t="s">
        <v>797</v>
      </c>
      <c r="I129" s="664">
        <f t="shared" si="5"/>
        <v>1500</v>
      </c>
      <c r="J129" s="485"/>
      <c r="K129" s="484">
        <v>1500</v>
      </c>
      <c r="L129" s="132"/>
      <c r="M129" s="132"/>
      <c r="O129" s="894"/>
      <c r="P129"/>
      <c r="Q129"/>
      <c r="R129"/>
      <c r="S129"/>
      <c r="T129"/>
      <c r="U129"/>
      <c r="V129"/>
      <c r="W129"/>
    </row>
    <row r="130" spans="2:23" s="46" customFormat="1" x14ac:dyDescent="0.2">
      <c r="B130" s="603" t="s">
        <v>1082</v>
      </c>
      <c r="C130" s="124"/>
      <c r="D130" s="417"/>
      <c r="E130" s="417"/>
      <c r="F130" s="141" t="s">
        <v>454</v>
      </c>
      <c r="G130" s="124" t="s">
        <v>167</v>
      </c>
      <c r="H130" s="703" t="s">
        <v>799</v>
      </c>
      <c r="I130" s="664">
        <f t="shared" si="5"/>
        <v>500</v>
      </c>
      <c r="J130" s="485"/>
      <c r="K130" s="484">
        <v>500</v>
      </c>
      <c r="L130" s="132"/>
      <c r="M130" s="132"/>
      <c r="O130" s="894"/>
      <c r="P130"/>
      <c r="Q130"/>
      <c r="R130"/>
      <c r="S130"/>
      <c r="T130"/>
      <c r="U130"/>
      <c r="V130"/>
      <c r="W130"/>
    </row>
    <row r="131" spans="2:23" s="46" customFormat="1" x14ac:dyDescent="0.2">
      <c r="B131" s="603" t="s">
        <v>1082</v>
      </c>
      <c r="C131" s="124"/>
      <c r="D131" s="417"/>
      <c r="E131" s="417"/>
      <c r="F131" s="141" t="s">
        <v>454</v>
      </c>
      <c r="G131" s="124" t="s">
        <v>167</v>
      </c>
      <c r="H131" s="703" t="s">
        <v>796</v>
      </c>
      <c r="I131" s="664">
        <f t="shared" si="5"/>
        <v>700</v>
      </c>
      <c r="J131" s="485"/>
      <c r="K131" s="484">
        <v>700</v>
      </c>
      <c r="L131" s="132"/>
      <c r="M131" s="132"/>
      <c r="O131" s="894"/>
      <c r="P131"/>
      <c r="Q131"/>
      <c r="R131"/>
      <c r="S131"/>
      <c r="T131"/>
      <c r="U131"/>
      <c r="V131"/>
      <c r="W131"/>
    </row>
    <row r="132" spans="2:23" s="46" customFormat="1" x14ac:dyDescent="0.2">
      <c r="B132" s="603" t="s">
        <v>1082</v>
      </c>
      <c r="C132" s="124"/>
      <c r="D132" s="417"/>
      <c r="E132" s="417"/>
      <c r="F132" s="141" t="s">
        <v>454</v>
      </c>
      <c r="G132" s="124" t="s">
        <v>167</v>
      </c>
      <c r="H132" s="703" t="s">
        <v>800</v>
      </c>
      <c r="I132" s="664">
        <f t="shared" si="5"/>
        <v>400</v>
      </c>
      <c r="J132" s="485"/>
      <c r="K132" s="484">
        <v>400</v>
      </c>
      <c r="L132" s="132"/>
      <c r="M132" s="132"/>
      <c r="O132" s="894"/>
      <c r="P132"/>
      <c r="Q132"/>
      <c r="R132"/>
      <c r="S132"/>
      <c r="T132"/>
      <c r="U132"/>
      <c r="V132"/>
      <c r="W132"/>
    </row>
    <row r="133" spans="2:23" s="46" customFormat="1" x14ac:dyDescent="0.2">
      <c r="B133" s="603" t="s">
        <v>1082</v>
      </c>
      <c r="C133" s="124"/>
      <c r="D133" s="417"/>
      <c r="E133" s="417"/>
      <c r="F133" s="141" t="s">
        <v>454</v>
      </c>
      <c r="G133" s="124" t="s">
        <v>167</v>
      </c>
      <c r="H133" s="703" t="s">
        <v>882</v>
      </c>
      <c r="I133" s="664">
        <f t="shared" si="5"/>
        <v>200</v>
      </c>
      <c r="J133" s="485"/>
      <c r="K133" s="484">
        <v>200</v>
      </c>
      <c r="L133" s="132"/>
      <c r="M133" s="132"/>
      <c r="O133" s="894"/>
      <c r="P133"/>
      <c r="Q133"/>
      <c r="R133"/>
      <c r="S133"/>
      <c r="T133"/>
      <c r="U133"/>
      <c r="V133"/>
      <c r="W133"/>
    </row>
    <row r="134" spans="2:23" s="46" customFormat="1" ht="12" thickBot="1" x14ac:dyDescent="0.25">
      <c r="B134" s="603" t="s">
        <v>1082</v>
      </c>
      <c r="C134" s="399"/>
      <c r="D134" s="422"/>
      <c r="E134" s="422"/>
      <c r="F134" s="410" t="s">
        <v>454</v>
      </c>
      <c r="G134" s="399" t="s">
        <v>167</v>
      </c>
      <c r="H134" s="706" t="s">
        <v>883</v>
      </c>
      <c r="I134" s="694">
        <f t="shared" si="5"/>
        <v>600</v>
      </c>
      <c r="J134" s="487"/>
      <c r="K134" s="691">
        <v>600</v>
      </c>
      <c r="L134" s="412"/>
      <c r="M134" s="412"/>
      <c r="O134" s="894"/>
      <c r="P134"/>
      <c r="Q134"/>
      <c r="R134"/>
      <c r="S134"/>
      <c r="T134"/>
      <c r="U134"/>
      <c r="V134"/>
      <c r="W134"/>
    </row>
    <row r="135" spans="2:23" s="46" customFormat="1" ht="12" thickTop="1" x14ac:dyDescent="0.2">
      <c r="B135" s="603" t="s">
        <v>344</v>
      </c>
      <c r="C135" s="402"/>
      <c r="D135" s="402"/>
      <c r="E135" s="402"/>
      <c r="F135" s="403" t="s">
        <v>448</v>
      </c>
      <c r="G135" s="402" t="s">
        <v>924</v>
      </c>
      <c r="H135" s="682" t="s">
        <v>552</v>
      </c>
      <c r="I135" s="684">
        <f>SUM(K135:M135)</f>
        <v>10000</v>
      </c>
      <c r="J135" s="485"/>
      <c r="K135" s="684">
        <v>10000</v>
      </c>
      <c r="L135" s="406"/>
      <c r="M135" s="406"/>
      <c r="O135" s="894"/>
      <c r="P135"/>
      <c r="Q135"/>
      <c r="R135"/>
      <c r="S135"/>
      <c r="T135"/>
      <c r="U135"/>
      <c r="V135"/>
      <c r="W135"/>
    </row>
    <row r="136" spans="2:23" s="46" customFormat="1" ht="22.8" x14ac:dyDescent="0.2">
      <c r="B136" s="603" t="s">
        <v>344</v>
      </c>
      <c r="C136" s="124"/>
      <c r="D136" s="124"/>
      <c r="E136" s="124"/>
      <c r="F136" s="141" t="s">
        <v>448</v>
      </c>
      <c r="G136" s="402" t="s">
        <v>924</v>
      </c>
      <c r="H136" s="657" t="s">
        <v>520</v>
      </c>
      <c r="I136" s="484">
        <f t="shared" si="5"/>
        <v>20000</v>
      </c>
      <c r="J136" s="485"/>
      <c r="K136" s="484">
        <v>20000</v>
      </c>
      <c r="L136" s="132"/>
      <c r="M136" s="132"/>
      <c r="O136" s="894"/>
      <c r="P136"/>
      <c r="Q136"/>
      <c r="R136"/>
      <c r="S136"/>
      <c r="T136"/>
      <c r="U136"/>
      <c r="V136"/>
      <c r="W136"/>
    </row>
    <row r="137" spans="2:23" s="46" customFormat="1" ht="22.8" x14ac:dyDescent="0.2">
      <c r="B137" s="603" t="s">
        <v>344</v>
      </c>
      <c r="C137" s="124"/>
      <c r="D137" s="124"/>
      <c r="E137" s="124"/>
      <c r="F137" s="141" t="s">
        <v>448</v>
      </c>
      <c r="G137" s="402" t="s">
        <v>924</v>
      </c>
      <c r="H137" s="657" t="s">
        <v>925</v>
      </c>
      <c r="I137" s="484">
        <f t="shared" si="5"/>
        <v>5500</v>
      </c>
      <c r="J137" s="485"/>
      <c r="K137" s="484">
        <f>1500+4000</f>
        <v>5500</v>
      </c>
      <c r="L137" s="132"/>
      <c r="M137" s="132"/>
      <c r="O137" s="894"/>
      <c r="P137"/>
      <c r="Q137"/>
      <c r="R137"/>
      <c r="S137"/>
      <c r="T137"/>
      <c r="U137"/>
      <c r="V137"/>
      <c r="W137"/>
    </row>
    <row r="138" spans="2:23" s="46" customFormat="1" x14ac:dyDescent="0.2">
      <c r="B138" s="603" t="s">
        <v>344</v>
      </c>
      <c r="C138" s="124"/>
      <c r="D138" s="124"/>
      <c r="E138" s="124"/>
      <c r="F138" s="141" t="s">
        <v>448</v>
      </c>
      <c r="G138" s="402" t="s">
        <v>924</v>
      </c>
      <c r="H138" s="657" t="s">
        <v>521</v>
      </c>
      <c r="I138" s="484">
        <f t="shared" si="5"/>
        <v>25000</v>
      </c>
      <c r="J138" s="485"/>
      <c r="K138" s="484">
        <v>25000</v>
      </c>
      <c r="L138" s="132"/>
      <c r="M138" s="132"/>
      <c r="O138" s="894"/>
      <c r="P138"/>
      <c r="Q138"/>
      <c r="R138"/>
      <c r="S138"/>
      <c r="T138"/>
      <c r="U138"/>
      <c r="V138"/>
      <c r="W138"/>
    </row>
    <row r="139" spans="2:23" s="46" customFormat="1" x14ac:dyDescent="0.2">
      <c r="B139" s="603" t="s">
        <v>344</v>
      </c>
      <c r="C139" s="124"/>
      <c r="D139" s="124"/>
      <c r="E139" s="124"/>
      <c r="F139" s="141" t="s">
        <v>448</v>
      </c>
      <c r="G139" s="402" t="s">
        <v>924</v>
      </c>
      <c r="H139" s="657" t="s">
        <v>826</v>
      </c>
      <c r="I139" s="484">
        <f t="shared" si="5"/>
        <v>12000</v>
      </c>
      <c r="J139" s="485"/>
      <c r="K139" s="484">
        <v>12000</v>
      </c>
      <c r="L139" s="132"/>
      <c r="M139" s="132"/>
      <c r="O139" s="894"/>
      <c r="P139"/>
      <c r="Q139"/>
      <c r="R139"/>
      <c r="S139"/>
      <c r="T139"/>
      <c r="U139"/>
      <c r="V139"/>
      <c r="W139"/>
    </row>
    <row r="140" spans="2:23" s="46" customFormat="1" x14ac:dyDescent="0.2">
      <c r="B140" s="603" t="s">
        <v>344</v>
      </c>
      <c r="C140" s="124"/>
      <c r="D140" s="124"/>
      <c r="E140" s="124"/>
      <c r="F140" s="141" t="s">
        <v>448</v>
      </c>
      <c r="G140" s="402" t="s">
        <v>924</v>
      </c>
      <c r="H140" s="657" t="s">
        <v>381</v>
      </c>
      <c r="I140" s="484">
        <f t="shared" si="5"/>
        <v>100000</v>
      </c>
      <c r="J140" s="485"/>
      <c r="K140" s="698">
        <f>130000-30000</f>
        <v>100000</v>
      </c>
      <c r="L140" s="132"/>
      <c r="M140" s="132"/>
      <c r="O140" s="894"/>
      <c r="P140"/>
      <c r="Q140"/>
      <c r="R140"/>
      <c r="S140"/>
      <c r="T140"/>
      <c r="U140"/>
      <c r="V140"/>
      <c r="W140"/>
    </row>
    <row r="141" spans="2:23" s="46" customFormat="1" x14ac:dyDescent="0.2">
      <c r="B141" s="603" t="s">
        <v>344</v>
      </c>
      <c r="C141" s="130"/>
      <c r="D141" s="130"/>
      <c r="E141" s="130"/>
      <c r="F141" s="150" t="s">
        <v>448</v>
      </c>
      <c r="G141" s="423" t="s">
        <v>924</v>
      </c>
      <c r="H141" s="699" t="s">
        <v>268</v>
      </c>
      <c r="I141" s="702"/>
      <c r="J141" s="707"/>
      <c r="K141" s="702"/>
      <c r="L141" s="420"/>
      <c r="M141" s="420"/>
      <c r="O141" s="894"/>
      <c r="P141"/>
      <c r="Q141"/>
      <c r="R141"/>
      <c r="S141"/>
      <c r="T141"/>
      <c r="U141"/>
      <c r="V141"/>
      <c r="W141"/>
    </row>
    <row r="142" spans="2:23" s="46" customFormat="1" x14ac:dyDescent="0.2">
      <c r="B142" s="603" t="s">
        <v>344</v>
      </c>
      <c r="C142" s="124"/>
      <c r="D142" s="124"/>
      <c r="E142" s="124"/>
      <c r="F142" s="141" t="s">
        <v>448</v>
      </c>
      <c r="G142" s="402" t="s">
        <v>924</v>
      </c>
      <c r="H142" s="703" t="s">
        <v>827</v>
      </c>
      <c r="I142" s="484">
        <f t="shared" si="5"/>
        <v>600</v>
      </c>
      <c r="J142" s="485"/>
      <c r="K142" s="484">
        <v>600</v>
      </c>
      <c r="L142" s="132"/>
      <c r="M142" s="132"/>
      <c r="O142" s="894"/>
      <c r="P142"/>
      <c r="Q142"/>
      <c r="R142"/>
      <c r="S142"/>
      <c r="T142"/>
      <c r="U142"/>
      <c r="V142"/>
      <c r="W142"/>
    </row>
    <row r="143" spans="2:23" s="46" customFormat="1" x14ac:dyDescent="0.2">
      <c r="B143" s="603" t="s">
        <v>344</v>
      </c>
      <c r="C143" s="124"/>
      <c r="D143" s="124"/>
      <c r="E143" s="124"/>
      <c r="F143" s="141" t="s">
        <v>448</v>
      </c>
      <c r="G143" s="402" t="s">
        <v>924</v>
      </c>
      <c r="H143" s="703" t="s">
        <v>828</v>
      </c>
      <c r="I143" s="484">
        <f t="shared" si="5"/>
        <v>800</v>
      </c>
      <c r="J143" s="485"/>
      <c r="K143" s="484">
        <v>800</v>
      </c>
      <c r="L143" s="132"/>
      <c r="M143" s="132"/>
      <c r="O143" s="894"/>
      <c r="P143"/>
      <c r="Q143"/>
      <c r="R143"/>
      <c r="S143"/>
      <c r="T143"/>
      <c r="U143"/>
      <c r="V143"/>
      <c r="W143"/>
    </row>
    <row r="144" spans="2:23" s="46" customFormat="1" x14ac:dyDescent="0.2">
      <c r="B144" s="603" t="s">
        <v>344</v>
      </c>
      <c r="C144" s="124"/>
      <c r="D144" s="124"/>
      <c r="E144" s="124"/>
      <c r="F144" s="141" t="s">
        <v>448</v>
      </c>
      <c r="G144" s="402" t="s">
        <v>924</v>
      </c>
      <c r="H144" s="703" t="s">
        <v>829</v>
      </c>
      <c r="I144" s="484">
        <f t="shared" si="5"/>
        <v>200</v>
      </c>
      <c r="J144" s="485"/>
      <c r="K144" s="484">
        <v>200</v>
      </c>
      <c r="L144" s="132"/>
      <c r="M144" s="132"/>
      <c r="O144" s="894"/>
      <c r="P144"/>
      <c r="Q144"/>
      <c r="R144"/>
      <c r="S144"/>
      <c r="T144"/>
      <c r="U144"/>
      <c r="V144"/>
      <c r="W144"/>
    </row>
    <row r="145" spans="2:23" s="46" customFormat="1" x14ac:dyDescent="0.2">
      <c r="B145" s="603" t="s">
        <v>344</v>
      </c>
      <c r="C145" s="124"/>
      <c r="D145" s="124"/>
      <c r="E145" s="124"/>
      <c r="F145" s="141" t="s">
        <v>448</v>
      </c>
      <c r="G145" s="402" t="s">
        <v>924</v>
      </c>
      <c r="H145" s="703" t="s">
        <v>830</v>
      </c>
      <c r="I145" s="484">
        <f t="shared" si="5"/>
        <v>500</v>
      </c>
      <c r="J145" s="485"/>
      <c r="K145" s="484">
        <v>500</v>
      </c>
      <c r="L145" s="132"/>
      <c r="M145" s="132"/>
      <c r="O145" s="894"/>
      <c r="P145"/>
      <c r="Q145"/>
      <c r="R145"/>
      <c r="S145"/>
      <c r="T145"/>
      <c r="U145"/>
      <c r="V145"/>
      <c r="W145"/>
    </row>
    <row r="146" spans="2:23" s="46" customFormat="1" x14ac:dyDescent="0.2">
      <c r="B146" s="603" t="s">
        <v>344</v>
      </c>
      <c r="C146" s="124"/>
      <c r="D146" s="124"/>
      <c r="E146" s="124"/>
      <c r="F146" s="141" t="s">
        <v>448</v>
      </c>
      <c r="G146" s="402" t="s">
        <v>924</v>
      </c>
      <c r="H146" s="703" t="s">
        <v>831</v>
      </c>
      <c r="I146" s="484">
        <f t="shared" si="5"/>
        <v>800</v>
      </c>
      <c r="J146" s="485"/>
      <c r="K146" s="484">
        <v>800</v>
      </c>
      <c r="L146" s="132"/>
      <c r="M146" s="132"/>
      <c r="O146" s="894"/>
      <c r="P146"/>
      <c r="Q146"/>
      <c r="R146"/>
      <c r="S146"/>
      <c r="T146"/>
      <c r="U146"/>
      <c r="V146"/>
      <c r="W146"/>
    </row>
    <row r="147" spans="2:23" s="46" customFormat="1" x14ac:dyDescent="0.2">
      <c r="B147" s="603" t="s">
        <v>344</v>
      </c>
      <c r="C147" s="124"/>
      <c r="D147" s="124"/>
      <c r="E147" s="124"/>
      <c r="F147" s="141" t="s">
        <v>448</v>
      </c>
      <c r="G147" s="402" t="s">
        <v>924</v>
      </c>
      <c r="H147" s="703" t="s">
        <v>832</v>
      </c>
      <c r="I147" s="484">
        <f t="shared" si="5"/>
        <v>500</v>
      </c>
      <c r="J147" s="485"/>
      <c r="K147" s="484">
        <v>500</v>
      </c>
      <c r="L147" s="132"/>
      <c r="M147" s="132"/>
      <c r="O147" s="894"/>
      <c r="P147"/>
      <c r="Q147"/>
      <c r="R147"/>
      <c r="S147"/>
      <c r="T147"/>
      <c r="U147"/>
      <c r="V147"/>
      <c r="W147"/>
    </row>
    <row r="148" spans="2:23" x14ac:dyDescent="0.2">
      <c r="B148" s="603" t="s">
        <v>344</v>
      </c>
      <c r="C148" s="124"/>
      <c r="D148" s="124"/>
      <c r="E148" s="124"/>
      <c r="F148" s="141" t="s">
        <v>448</v>
      </c>
      <c r="G148" s="402" t="s">
        <v>924</v>
      </c>
      <c r="H148" s="703" t="s">
        <v>833</v>
      </c>
      <c r="I148" s="484">
        <f t="shared" si="5"/>
        <v>550</v>
      </c>
      <c r="J148" s="485"/>
      <c r="K148" s="484">
        <v>550</v>
      </c>
      <c r="L148" s="132"/>
      <c r="M148" s="132"/>
    </row>
    <row r="149" spans="2:23" ht="12" thickBot="1" x14ac:dyDescent="0.25">
      <c r="B149" s="603" t="s">
        <v>344</v>
      </c>
      <c r="C149" s="399"/>
      <c r="D149" s="399"/>
      <c r="E149" s="399"/>
      <c r="F149" s="410" t="s">
        <v>448</v>
      </c>
      <c r="G149" s="424" t="s">
        <v>924</v>
      </c>
      <c r="H149" s="690" t="s">
        <v>382</v>
      </c>
      <c r="I149" s="691">
        <f t="shared" si="5"/>
        <v>200</v>
      </c>
      <c r="J149" s="487"/>
      <c r="K149" s="691">
        <v>200</v>
      </c>
      <c r="L149" s="412"/>
      <c r="M149" s="412"/>
    </row>
    <row r="150" spans="2:23" ht="35.4" thickTop="1" thickBot="1" x14ac:dyDescent="0.25">
      <c r="B150" s="603" t="s">
        <v>1081</v>
      </c>
      <c r="C150" s="425"/>
      <c r="D150" s="425"/>
      <c r="E150" s="425"/>
      <c r="F150" s="426" t="s">
        <v>227</v>
      </c>
      <c r="G150" s="425" t="s">
        <v>210</v>
      </c>
      <c r="H150" s="708" t="s">
        <v>558</v>
      </c>
      <c r="I150" s="709">
        <f>SUM(K150:M150)</f>
        <v>17820</v>
      </c>
      <c r="J150" s="710"/>
      <c r="K150" s="709">
        <v>17820</v>
      </c>
      <c r="L150" s="428"/>
      <c r="M150" s="428"/>
      <c r="N150" s="46" t="s">
        <v>1095</v>
      </c>
    </row>
    <row r="151" spans="2:23" s="46" customFormat="1" ht="23.4" thickTop="1" x14ac:dyDescent="0.2">
      <c r="B151" s="603" t="s">
        <v>1081</v>
      </c>
      <c r="C151" s="124"/>
      <c r="D151" s="124"/>
      <c r="E151" s="124"/>
      <c r="F151" s="141">
        <v>1010</v>
      </c>
      <c r="G151" s="402" t="s">
        <v>174</v>
      </c>
      <c r="H151" s="657" t="s">
        <v>884</v>
      </c>
      <c r="I151" s="484">
        <f t="shared" si="5"/>
        <v>15000</v>
      </c>
      <c r="J151" s="485"/>
      <c r="K151" s="484">
        <v>15000</v>
      </c>
      <c r="L151" s="132"/>
      <c r="M151" s="132"/>
      <c r="O151" s="894"/>
      <c r="P151"/>
      <c r="Q151"/>
      <c r="R151"/>
      <c r="S151"/>
      <c r="T151"/>
      <c r="U151"/>
      <c r="V151"/>
      <c r="W151"/>
    </row>
    <row r="152" spans="2:23" s="46" customFormat="1" x14ac:dyDescent="0.2">
      <c r="B152" s="603"/>
      <c r="C152" s="124"/>
      <c r="D152" s="124"/>
      <c r="E152" s="124"/>
      <c r="F152" s="141">
        <v>1010</v>
      </c>
      <c r="G152" s="402" t="s">
        <v>174</v>
      </c>
      <c r="H152" s="657" t="s">
        <v>624</v>
      </c>
      <c r="I152" s="484">
        <f t="shared" si="5"/>
        <v>160200</v>
      </c>
      <c r="J152" s="485"/>
      <c r="K152" s="484">
        <v>160200</v>
      </c>
      <c r="L152" s="132"/>
      <c r="M152" s="132"/>
      <c r="O152" s="894"/>
      <c r="P152"/>
      <c r="Q152"/>
      <c r="R152"/>
      <c r="S152"/>
      <c r="T152"/>
      <c r="U152"/>
      <c r="V152"/>
      <c r="W152"/>
    </row>
    <row r="153" spans="2:23" s="46" customFormat="1" x14ac:dyDescent="0.2">
      <c r="B153" s="603"/>
      <c r="C153" s="124"/>
      <c r="D153" s="124"/>
      <c r="E153" s="124"/>
      <c r="F153" s="141">
        <v>1010</v>
      </c>
      <c r="G153" s="402" t="s">
        <v>174</v>
      </c>
      <c r="H153" s="657" t="s">
        <v>888</v>
      </c>
      <c r="I153" s="484">
        <f t="shared" si="5"/>
        <v>50000</v>
      </c>
      <c r="J153" s="485"/>
      <c r="K153" s="484">
        <v>50000</v>
      </c>
      <c r="L153" s="132"/>
      <c r="M153" s="132"/>
      <c r="O153" s="894"/>
      <c r="P153"/>
      <c r="Q153"/>
      <c r="R153"/>
      <c r="S153"/>
      <c r="T153"/>
      <c r="U153"/>
      <c r="V153"/>
      <c r="W153"/>
    </row>
    <row r="154" spans="2:23" s="46" customFormat="1" x14ac:dyDescent="0.2">
      <c r="B154" s="603"/>
      <c r="C154" s="124"/>
      <c r="D154" s="124"/>
      <c r="E154" s="124"/>
      <c r="F154" s="141">
        <v>1010</v>
      </c>
      <c r="G154" s="402" t="s">
        <v>174</v>
      </c>
      <c r="H154" s="657" t="s">
        <v>1116</v>
      </c>
      <c r="I154" s="484">
        <f t="shared" si="5"/>
        <v>205460</v>
      </c>
      <c r="J154" s="485"/>
      <c r="K154" s="484">
        <f>305460-100000</f>
        <v>205460</v>
      </c>
      <c r="L154" s="132"/>
      <c r="M154" s="132"/>
      <c r="O154" s="894"/>
      <c r="P154"/>
      <c r="Q154"/>
      <c r="R154"/>
      <c r="S154"/>
      <c r="T154"/>
      <c r="U154"/>
      <c r="V154"/>
      <c r="W154"/>
    </row>
    <row r="155" spans="2:23" s="46" customFormat="1" x14ac:dyDescent="0.2">
      <c r="B155" s="603"/>
      <c r="C155" s="124"/>
      <c r="D155" s="124"/>
      <c r="E155" s="124"/>
      <c r="F155" s="141">
        <v>1010</v>
      </c>
      <c r="G155" s="402" t="s">
        <v>174</v>
      </c>
      <c r="H155" s="657" t="s">
        <v>886</v>
      </c>
      <c r="I155" s="484">
        <f t="shared" si="5"/>
        <v>10000</v>
      </c>
      <c r="J155" s="485"/>
      <c r="K155" s="484">
        <v>10000</v>
      </c>
      <c r="L155" s="132"/>
      <c r="M155" s="132"/>
      <c r="O155" s="894"/>
      <c r="P155"/>
      <c r="Q155"/>
      <c r="R155"/>
      <c r="S155"/>
      <c r="T155"/>
      <c r="U155"/>
      <c r="V155"/>
      <c r="W155"/>
    </row>
    <row r="156" spans="2:23" s="46" customFormat="1" x14ac:dyDescent="0.2">
      <c r="B156" s="603"/>
      <c r="C156" s="124"/>
      <c r="D156" s="124"/>
      <c r="E156" s="124"/>
      <c r="F156" s="141">
        <v>1010</v>
      </c>
      <c r="G156" s="402" t="s">
        <v>174</v>
      </c>
      <c r="H156" s="657" t="s">
        <v>887</v>
      </c>
      <c r="I156" s="484">
        <f t="shared" si="5"/>
        <v>1200</v>
      </c>
      <c r="J156" s="485"/>
      <c r="K156" s="484">
        <v>1200</v>
      </c>
      <c r="L156" s="132"/>
      <c r="M156" s="132"/>
      <c r="O156" s="894"/>
      <c r="P156"/>
      <c r="Q156"/>
      <c r="R156"/>
      <c r="S156"/>
      <c r="T156"/>
      <c r="U156"/>
      <c r="V156"/>
      <c r="W156"/>
    </row>
    <row r="157" spans="2:23" s="46" customFormat="1" ht="12" thickBot="1" x14ac:dyDescent="0.25">
      <c r="B157" s="603"/>
      <c r="C157" s="399"/>
      <c r="D157" s="399"/>
      <c r="E157" s="399"/>
      <c r="F157" s="410">
        <v>1010</v>
      </c>
      <c r="G157" s="424" t="s">
        <v>174</v>
      </c>
      <c r="H157" s="690" t="s">
        <v>885</v>
      </c>
      <c r="I157" s="691">
        <f t="shared" si="5"/>
        <v>36162</v>
      </c>
      <c r="J157" s="487"/>
      <c r="K157" s="691">
        <v>36162</v>
      </c>
      <c r="L157" s="412"/>
      <c r="M157" s="412"/>
      <c r="O157" s="894"/>
      <c r="P157"/>
      <c r="Q157"/>
      <c r="R157"/>
      <c r="S157"/>
      <c r="T157"/>
      <c r="U157"/>
      <c r="V157"/>
      <c r="W157"/>
    </row>
    <row r="158" spans="2:23" s="46" customFormat="1" ht="12.6" thickTop="1" thickBot="1" x14ac:dyDescent="0.25">
      <c r="B158" s="603"/>
      <c r="C158" s="402"/>
      <c r="D158" s="402"/>
      <c r="E158" s="402"/>
      <c r="F158" s="403" t="s">
        <v>1117</v>
      </c>
      <c r="G158" s="402" t="s">
        <v>1118</v>
      </c>
      <c r="H158" s="682" t="s">
        <v>1123</v>
      </c>
      <c r="I158" s="684">
        <f t="shared" si="5"/>
        <v>10000</v>
      </c>
      <c r="J158" s="485"/>
      <c r="K158" s="684">
        <v>10000</v>
      </c>
      <c r="L158" s="406"/>
      <c r="M158" s="406"/>
      <c r="O158" s="894"/>
      <c r="P158"/>
      <c r="Q158"/>
      <c r="R158"/>
      <c r="S158"/>
      <c r="T158"/>
      <c r="U158"/>
      <c r="V158"/>
      <c r="W158"/>
    </row>
    <row r="159" spans="2:23" ht="12.6" thickTop="1" thickBot="1" x14ac:dyDescent="0.25">
      <c r="C159" s="425"/>
      <c r="D159" s="429"/>
      <c r="E159" s="429"/>
      <c r="F159" s="494" t="s">
        <v>450</v>
      </c>
      <c r="G159" s="493" t="s">
        <v>555</v>
      </c>
      <c r="H159" s="429"/>
      <c r="I159" s="427"/>
      <c r="J159" s="430"/>
      <c r="K159" s="431"/>
      <c r="L159" s="432"/>
      <c r="M159" s="431"/>
    </row>
    <row r="160" spans="2:23" s="9" customFormat="1" ht="12" thickTop="1" x14ac:dyDescent="0.2">
      <c r="B160" s="603"/>
      <c r="C160" s="492"/>
      <c r="D160" s="492"/>
      <c r="E160" s="492"/>
      <c r="F160" s="403" t="s">
        <v>303</v>
      </c>
      <c r="G160" s="492" t="s">
        <v>303</v>
      </c>
      <c r="H160" s="657" t="s">
        <v>1155</v>
      </c>
      <c r="I160" s="484">
        <f>SUM(K160:M160)</f>
        <v>77073.886200000008</v>
      </c>
      <c r="J160" s="485"/>
      <c r="K160" s="484">
        <v>77073.886200000008</v>
      </c>
      <c r="L160" s="405"/>
      <c r="M160" s="405"/>
      <c r="N160" s="46" t="s">
        <v>1095</v>
      </c>
      <c r="O160" s="898"/>
    </row>
    <row r="161" spans="1:18" s="9" customFormat="1" x14ac:dyDescent="0.2">
      <c r="B161" s="603"/>
      <c r="C161" s="583"/>
      <c r="D161" s="583"/>
      <c r="E161" s="583"/>
      <c r="F161" s="403" t="s">
        <v>303</v>
      </c>
      <c r="G161" s="492" t="s">
        <v>303</v>
      </c>
      <c r="H161" s="657" t="s">
        <v>1112</v>
      </c>
      <c r="I161" s="743">
        <f>SUM(K161:M161)</f>
        <v>47800.989499999996</v>
      </c>
      <c r="J161" s="485"/>
      <c r="K161" s="484">
        <v>47800.989499999996</v>
      </c>
      <c r="L161" s="539"/>
      <c r="M161" s="539"/>
      <c r="N161" s="46" t="s">
        <v>1113</v>
      </c>
      <c r="O161" s="898"/>
    </row>
    <row r="162" spans="1:18" s="9" customFormat="1" ht="12" thickBot="1" x14ac:dyDescent="0.25">
      <c r="B162" s="603"/>
      <c r="C162" s="444"/>
      <c r="D162" s="444"/>
      <c r="E162" s="444"/>
      <c r="F162" s="410" t="s">
        <v>303</v>
      </c>
      <c r="G162" s="444" t="s">
        <v>303</v>
      </c>
      <c r="H162" s="690" t="s">
        <v>1124</v>
      </c>
      <c r="I162" s="744">
        <f>SUM(K162:M162)</f>
        <v>106152.00290000001</v>
      </c>
      <c r="J162" s="487"/>
      <c r="K162" s="691">
        <v>106152.00290000001</v>
      </c>
      <c r="L162" s="415"/>
      <c r="M162" s="415"/>
      <c r="N162" s="46" t="s">
        <v>1113</v>
      </c>
      <c r="O162" s="898"/>
    </row>
    <row r="163" spans="1:18" ht="12.6" thickTop="1" x14ac:dyDescent="0.25">
      <c r="D163" s="56"/>
      <c r="E163" s="56"/>
      <c r="F163" s="128"/>
      <c r="G163" s="128"/>
      <c r="H163" s="435" t="s">
        <v>606</v>
      </c>
      <c r="I163" s="436">
        <f>SUM(I89:I162)</f>
        <v>1601615.8785999999</v>
      </c>
      <c r="J163" s="185"/>
      <c r="K163" s="436">
        <f>SUM(K89:K162)</f>
        <v>1567975.8785999999</v>
      </c>
      <c r="L163" s="436">
        <f>SUM(L89:L162)</f>
        <v>33640</v>
      </c>
      <c r="M163" s="436">
        <f>SUM(M89:M162)</f>
        <v>0</v>
      </c>
    </row>
    <row r="164" spans="1:18" ht="12" x14ac:dyDescent="0.25">
      <c r="D164" s="56"/>
      <c r="E164" s="56"/>
      <c r="F164" s="128"/>
      <c r="G164" s="128"/>
      <c r="H164" s="190"/>
      <c r="I164" s="190"/>
      <c r="J164" s="190"/>
      <c r="K164" s="190"/>
      <c r="L164" s="190"/>
      <c r="M164" s="190"/>
    </row>
    <row r="165" spans="1:18" ht="12" hidden="1" outlineLevel="1" x14ac:dyDescent="0.25">
      <c r="B165" s="372" t="s">
        <v>1082</v>
      </c>
      <c r="D165" s="56"/>
      <c r="E165" s="56"/>
      <c r="F165" s="128"/>
      <c r="G165" s="128"/>
      <c r="H165" s="435"/>
      <c r="I165" s="436">
        <f>SUMIF($B$90:$B$162,$B165,I$90:I$162)</f>
        <v>194500</v>
      </c>
      <c r="J165" s="185"/>
      <c r="K165" s="436">
        <f t="shared" ref="K165:M167" si="6">SUMIF($B$90:$B$162,$B165,K$90:K$162)</f>
        <v>194500</v>
      </c>
      <c r="L165" s="436">
        <f t="shared" si="6"/>
        <v>0</v>
      </c>
      <c r="M165" s="436">
        <f t="shared" si="6"/>
        <v>0</v>
      </c>
      <c r="O165" s="11"/>
    </row>
    <row r="166" spans="1:18" ht="12" hidden="1" outlineLevel="1" x14ac:dyDescent="0.25">
      <c r="B166" s="372" t="s">
        <v>344</v>
      </c>
      <c r="D166" s="56"/>
      <c r="E166" s="56"/>
      <c r="F166" s="128"/>
      <c r="G166" s="128"/>
      <c r="H166" s="435"/>
      <c r="I166" s="436">
        <f>SUMIF($B$90:$B$162,$B166,I$90:I$162)</f>
        <v>176650</v>
      </c>
      <c r="J166" s="185"/>
      <c r="K166" s="436">
        <f t="shared" si="6"/>
        <v>176650</v>
      </c>
      <c r="L166" s="436">
        <f t="shared" si="6"/>
        <v>0</v>
      </c>
      <c r="M166" s="436">
        <f t="shared" si="6"/>
        <v>0</v>
      </c>
      <c r="O166" s="11"/>
    </row>
    <row r="167" spans="1:18" ht="12" hidden="1" outlineLevel="1" x14ac:dyDescent="0.25">
      <c r="B167" s="372" t="s">
        <v>1081</v>
      </c>
      <c r="D167" s="56"/>
      <c r="E167" s="56"/>
      <c r="F167" s="128"/>
      <c r="G167" s="128"/>
      <c r="H167" s="435"/>
      <c r="I167" s="436">
        <f>SUMIF($B$90:$B$162,$B167,I$90:I$162)</f>
        <v>459313</v>
      </c>
      <c r="J167" s="185"/>
      <c r="K167" s="436">
        <f t="shared" si="6"/>
        <v>425673</v>
      </c>
      <c r="L167" s="436">
        <f t="shared" si="6"/>
        <v>33640</v>
      </c>
      <c r="M167" s="436">
        <f t="shared" si="6"/>
        <v>0</v>
      </c>
      <c r="O167" s="11"/>
    </row>
    <row r="168" spans="1:18" ht="12" collapsed="1" x14ac:dyDescent="0.25">
      <c r="D168" s="56"/>
      <c r="E168" s="56"/>
      <c r="F168" s="128"/>
      <c r="G168" s="128"/>
      <c r="H168" s="190"/>
      <c r="I168" s="190"/>
      <c r="J168" s="190"/>
      <c r="K168" s="288"/>
      <c r="L168" s="190"/>
      <c r="M168" s="190"/>
    </row>
    <row r="169" spans="1:18" ht="12" x14ac:dyDescent="0.25">
      <c r="F169" s="5" t="s">
        <v>941</v>
      </c>
      <c r="H169" s="8"/>
      <c r="I169" s="107"/>
      <c r="J169" s="149"/>
      <c r="K169" s="107"/>
      <c r="L169" s="107"/>
      <c r="M169" s="107"/>
      <c r="N169" s="407"/>
    </row>
    <row r="170" spans="1:18" ht="12" x14ac:dyDescent="0.25">
      <c r="C170" s="1043" t="s">
        <v>310</v>
      </c>
      <c r="D170" s="1043" t="s">
        <v>263</v>
      </c>
      <c r="E170" s="1043" t="s">
        <v>264</v>
      </c>
      <c r="F170" s="1043" t="s">
        <v>562</v>
      </c>
      <c r="G170" s="1043" t="s">
        <v>535</v>
      </c>
      <c r="H170" s="1061" t="s">
        <v>536</v>
      </c>
      <c r="I170" s="1048" t="s">
        <v>360</v>
      </c>
      <c r="J170" s="183"/>
      <c r="K170" s="1060" t="s">
        <v>543</v>
      </c>
      <c r="L170" s="1060"/>
      <c r="M170" s="1060"/>
    </row>
    <row r="171" spans="1:18" ht="24" x14ac:dyDescent="0.25">
      <c r="C171" s="1043"/>
      <c r="D171" s="1043"/>
      <c r="E171" s="1043"/>
      <c r="F171" s="1043"/>
      <c r="G171" s="1043"/>
      <c r="H171" s="1062"/>
      <c r="I171" s="1048"/>
      <c r="J171" s="183"/>
      <c r="K171" s="164" t="s">
        <v>233</v>
      </c>
      <c r="L171" s="164" t="s">
        <v>359</v>
      </c>
      <c r="M171" s="184" t="s">
        <v>314</v>
      </c>
    </row>
    <row r="172" spans="1:18" ht="23.4" hidden="1" thickBot="1" x14ac:dyDescent="0.25">
      <c r="A172">
        <v>3</v>
      </c>
      <c r="B172" s="603" t="s">
        <v>1082</v>
      </c>
      <c r="C172" s="399"/>
      <c r="D172" s="397"/>
      <c r="E172" s="397"/>
      <c r="F172" s="398" t="s">
        <v>362</v>
      </c>
      <c r="G172" s="399" t="s">
        <v>356</v>
      </c>
      <c r="H172" s="400" t="s">
        <v>525</v>
      </c>
      <c r="I172" s="549">
        <f>SUM(K172:M172)</f>
        <v>8000</v>
      </c>
      <c r="J172" s="550"/>
      <c r="K172" s="549">
        <v>8000</v>
      </c>
      <c r="L172" s="401"/>
      <c r="M172" s="401"/>
      <c r="O172"/>
      <c r="R172">
        <v>8000</v>
      </c>
    </row>
    <row r="173" spans="1:18" hidden="1" x14ac:dyDescent="0.2">
      <c r="A173">
        <v>3</v>
      </c>
      <c r="B173" s="603" t="s">
        <v>1081</v>
      </c>
      <c r="C173" s="124"/>
      <c r="D173" s="125"/>
      <c r="E173" s="125"/>
      <c r="F173" s="140" t="s">
        <v>219</v>
      </c>
      <c r="G173" s="124" t="s">
        <v>207</v>
      </c>
      <c r="H173" s="142" t="s">
        <v>259</v>
      </c>
      <c r="I173" s="531">
        <v>2000</v>
      </c>
      <c r="J173" s="532"/>
      <c r="K173" s="531">
        <f>I173-L173-M173</f>
        <v>2000</v>
      </c>
      <c r="L173" s="396"/>
      <c r="M173" s="396"/>
      <c r="N173" s="3"/>
      <c r="O173"/>
    </row>
    <row r="174" spans="1:18" ht="12" thickBot="1" x14ac:dyDescent="0.25">
      <c r="A174">
        <v>1</v>
      </c>
      <c r="B174" s="603" t="s">
        <v>1081</v>
      </c>
      <c r="C174" s="491"/>
      <c r="D174" s="500"/>
      <c r="E174" s="500"/>
      <c r="F174" s="501" t="s">
        <v>219</v>
      </c>
      <c r="G174" s="491" t="s">
        <v>207</v>
      </c>
      <c r="H174" s="716" t="s">
        <v>916</v>
      </c>
      <c r="I174" s="717">
        <v>7000</v>
      </c>
      <c r="J174" s="718"/>
      <c r="K174" s="717">
        <f>I174</f>
        <v>7000</v>
      </c>
      <c r="L174" s="502"/>
      <c r="M174" s="502"/>
      <c r="N174" s="1044" t="s">
        <v>917</v>
      </c>
      <c r="O174" s="1045"/>
      <c r="P174" s="1046"/>
      <c r="Q174" s="1046"/>
      <c r="R174" s="1046"/>
    </row>
    <row r="175" spans="1:18" ht="12" hidden="1" thickBot="1" x14ac:dyDescent="0.25">
      <c r="A175">
        <v>2</v>
      </c>
      <c r="B175" s="603" t="s">
        <v>1081</v>
      </c>
      <c r="C175" s="495"/>
      <c r="D175" s="496"/>
      <c r="E175" s="496"/>
      <c r="F175" s="497" t="s">
        <v>219</v>
      </c>
      <c r="G175" s="495" t="s">
        <v>207</v>
      </c>
      <c r="H175" s="498" t="s">
        <v>773</v>
      </c>
      <c r="I175" s="533">
        <v>20000</v>
      </c>
      <c r="J175" s="534"/>
      <c r="K175" s="533">
        <f>I175</f>
        <v>20000</v>
      </c>
      <c r="L175" s="499"/>
      <c r="M175" s="499"/>
      <c r="N175" s="3" t="s">
        <v>774</v>
      </c>
      <c r="O175"/>
    </row>
    <row r="176" spans="1:18" ht="16.2" customHeight="1" thickTop="1" thickBot="1" x14ac:dyDescent="0.25">
      <c r="A176">
        <v>1</v>
      </c>
      <c r="C176" s="527"/>
      <c r="D176" s="614"/>
      <c r="E176" s="614"/>
      <c r="F176" s="437" t="s">
        <v>218</v>
      </c>
      <c r="G176" s="425" t="s">
        <v>1090</v>
      </c>
      <c r="H176" s="719" t="s">
        <v>1142</v>
      </c>
      <c r="I176" s="720">
        <v>2000</v>
      </c>
      <c r="J176" s="721"/>
      <c r="K176" s="720">
        <v>2000</v>
      </c>
      <c r="L176" s="615"/>
      <c r="M176" s="615"/>
      <c r="N176" s="3"/>
    </row>
    <row r="177" spans="1:18" ht="69.599999999999994" hidden="1" thickTop="1" thickBot="1" x14ac:dyDescent="0.25">
      <c r="A177">
        <v>3</v>
      </c>
      <c r="B177" s="603" t="s">
        <v>1081</v>
      </c>
      <c r="C177" s="425"/>
      <c r="D177" s="429"/>
      <c r="E177" s="429"/>
      <c r="F177" s="437" t="s">
        <v>218</v>
      </c>
      <c r="G177" s="429" t="s">
        <v>1090</v>
      </c>
      <c r="H177" s="438" t="s">
        <v>850</v>
      </c>
      <c r="I177" s="535">
        <f>K177</f>
        <v>16698</v>
      </c>
      <c r="J177" s="430"/>
      <c r="K177" s="535">
        <v>16698</v>
      </c>
      <c r="L177" s="439"/>
      <c r="M177" s="439"/>
      <c r="N177" s="408"/>
      <c r="O177"/>
    </row>
    <row r="178" spans="1:18" ht="12.6" hidden="1" thickTop="1" thickBot="1" x14ac:dyDescent="0.25">
      <c r="A178">
        <v>2</v>
      </c>
      <c r="B178" s="603" t="s">
        <v>1081</v>
      </c>
      <c r="C178" s="433"/>
      <c r="D178" s="402"/>
      <c r="E178" s="402"/>
      <c r="F178" s="141" t="s">
        <v>221</v>
      </c>
      <c r="G178" s="124" t="s">
        <v>900</v>
      </c>
      <c r="H178" s="404" t="s">
        <v>856</v>
      </c>
      <c r="I178" s="547">
        <f>SUM(K178:M178)</f>
        <v>0</v>
      </c>
      <c r="J178" s="149"/>
      <c r="K178" s="616">
        <f>7520-7520</f>
        <v>0</v>
      </c>
      <c r="L178" s="406"/>
      <c r="M178" s="406"/>
      <c r="N178" s="408"/>
      <c r="O178"/>
    </row>
    <row r="179" spans="1:18" ht="12.6" hidden="1" thickTop="1" thickBot="1" x14ac:dyDescent="0.25">
      <c r="A179">
        <v>3</v>
      </c>
      <c r="B179" s="603" t="s">
        <v>1081</v>
      </c>
      <c r="C179" s="433"/>
      <c r="D179" s="402"/>
      <c r="E179" s="402"/>
      <c r="F179" s="141" t="s">
        <v>221</v>
      </c>
      <c r="G179" s="124" t="s">
        <v>900</v>
      </c>
      <c r="H179" s="404" t="s">
        <v>854</v>
      </c>
      <c r="I179" s="547">
        <f>SUM(K179:M179)</f>
        <v>5600</v>
      </c>
      <c r="J179" s="149"/>
      <c r="K179" s="537">
        <v>5600</v>
      </c>
      <c r="L179" s="406"/>
      <c r="M179" s="406"/>
      <c r="N179" s="408"/>
      <c r="O179"/>
    </row>
    <row r="180" spans="1:18" ht="12.6" hidden="1" thickTop="1" thickBot="1" x14ac:dyDescent="0.25">
      <c r="A180">
        <v>3</v>
      </c>
      <c r="B180" s="603" t="s">
        <v>1082</v>
      </c>
      <c r="C180" s="146"/>
      <c r="D180" s="124"/>
      <c r="E180" s="124"/>
      <c r="F180" s="141" t="s">
        <v>221</v>
      </c>
      <c r="G180" s="124" t="s">
        <v>900</v>
      </c>
      <c r="H180" s="142" t="s">
        <v>857</v>
      </c>
      <c r="I180" s="548">
        <f t="shared" ref="I180:I190" si="7">SUM(K180:M180)</f>
        <v>5000</v>
      </c>
      <c r="J180" s="149"/>
      <c r="K180" s="145">
        <v>5000</v>
      </c>
      <c r="L180" s="132"/>
      <c r="M180" s="132"/>
      <c r="N180" s="408"/>
      <c r="O180"/>
    </row>
    <row r="181" spans="1:18" ht="24" hidden="1" thickTop="1" thickBot="1" x14ac:dyDescent="0.25">
      <c r="A181">
        <v>3</v>
      </c>
      <c r="B181" s="603" t="s">
        <v>1082</v>
      </c>
      <c r="C181" s="146"/>
      <c r="D181" s="124"/>
      <c r="E181" s="124"/>
      <c r="F181" s="141" t="s">
        <v>221</v>
      </c>
      <c r="G181" s="124" t="s">
        <v>900</v>
      </c>
      <c r="H181" s="142" t="s">
        <v>858</v>
      </c>
      <c r="I181" s="548">
        <f t="shared" si="7"/>
        <v>3000</v>
      </c>
      <c r="J181" s="149"/>
      <c r="K181" s="145">
        <v>3000</v>
      </c>
      <c r="L181" s="132"/>
      <c r="M181" s="132"/>
      <c r="N181" s="408"/>
      <c r="O181"/>
    </row>
    <row r="182" spans="1:18" ht="12.6" hidden="1" thickTop="1" thickBot="1" x14ac:dyDescent="0.25">
      <c r="A182">
        <v>3</v>
      </c>
      <c r="B182" s="603" t="s">
        <v>1082</v>
      </c>
      <c r="C182" s="146"/>
      <c r="D182" s="124"/>
      <c r="E182" s="124"/>
      <c r="F182" s="141" t="s">
        <v>221</v>
      </c>
      <c r="G182" s="124" t="s">
        <v>900</v>
      </c>
      <c r="H182" s="142" t="s">
        <v>528</v>
      </c>
      <c r="I182" s="548">
        <f t="shared" si="7"/>
        <v>38000</v>
      </c>
      <c r="J182" s="149"/>
      <c r="K182" s="145">
        <v>38000</v>
      </c>
      <c r="L182" s="132"/>
      <c r="M182" s="132"/>
      <c r="N182" s="408"/>
      <c r="O182"/>
    </row>
    <row r="183" spans="1:18" ht="12.6" hidden="1" thickTop="1" thickBot="1" x14ac:dyDescent="0.25">
      <c r="A183">
        <v>3</v>
      </c>
      <c r="B183" s="603" t="s">
        <v>344</v>
      </c>
      <c r="C183" s="146"/>
      <c r="D183" s="124"/>
      <c r="E183" s="124"/>
      <c r="F183" s="141" t="s">
        <v>221</v>
      </c>
      <c r="G183" s="124" t="s">
        <v>900</v>
      </c>
      <c r="H183" s="142" t="s">
        <v>859</v>
      </c>
      <c r="I183" s="548">
        <f t="shared" si="7"/>
        <v>30000</v>
      </c>
      <c r="J183" s="149"/>
      <c r="K183" s="145">
        <v>30000</v>
      </c>
      <c r="L183" s="132"/>
      <c r="M183" s="132"/>
      <c r="N183" s="408"/>
      <c r="O183"/>
    </row>
    <row r="184" spans="1:18" ht="12.6" hidden="1" thickTop="1" thickBot="1" x14ac:dyDescent="0.25">
      <c r="A184">
        <v>3</v>
      </c>
      <c r="B184" s="603" t="s">
        <v>1082</v>
      </c>
      <c r="C184" s="434"/>
      <c r="D184" s="399"/>
      <c r="E184" s="399"/>
      <c r="F184" s="410" t="s">
        <v>221</v>
      </c>
      <c r="G184" s="399" t="s">
        <v>900</v>
      </c>
      <c r="H184" s="400" t="s">
        <v>860</v>
      </c>
      <c r="I184" s="549">
        <f t="shared" si="7"/>
        <v>20000</v>
      </c>
      <c r="J184" s="411"/>
      <c r="K184" s="536">
        <v>20000</v>
      </c>
      <c r="L184" s="412"/>
      <c r="M184" s="412"/>
      <c r="N184" s="408"/>
      <c r="O184"/>
    </row>
    <row r="185" spans="1:18" ht="12.6" hidden="1" thickTop="1" thickBot="1" x14ac:dyDescent="0.25">
      <c r="A185" s="9">
        <v>2</v>
      </c>
      <c r="C185" s="584"/>
      <c r="D185" s="584"/>
      <c r="E185" s="584"/>
      <c r="F185" s="585" t="s">
        <v>221</v>
      </c>
      <c r="G185" s="585" t="s">
        <v>900</v>
      </c>
      <c r="H185" s="586" t="s">
        <v>1115</v>
      </c>
      <c r="I185" s="587">
        <f>SUM(K185:M185)</f>
        <v>31500</v>
      </c>
      <c r="J185" s="588"/>
      <c r="K185" s="587">
        <v>31500</v>
      </c>
      <c r="L185" s="589"/>
      <c r="M185" s="590"/>
      <c r="N185" s="408"/>
      <c r="O185"/>
    </row>
    <row r="186" spans="1:18" ht="44.4" customHeight="1" thickTop="1" thickBot="1" x14ac:dyDescent="0.25">
      <c r="A186" s="9">
        <v>1</v>
      </c>
      <c r="C186" s="596"/>
      <c r="D186" s="596"/>
      <c r="E186" s="596"/>
      <c r="F186" s="597" t="s">
        <v>221</v>
      </c>
      <c r="G186" s="597" t="s">
        <v>900</v>
      </c>
      <c r="H186" s="722" t="s">
        <v>1127</v>
      </c>
      <c r="I186" s="755">
        <f>SUM(K186:M186)</f>
        <v>120000</v>
      </c>
      <c r="J186" s="724"/>
      <c r="K186" s="723">
        <f>220000-100000</f>
        <v>120000</v>
      </c>
      <c r="L186" s="598"/>
      <c r="M186" s="599"/>
      <c r="N186" s="408"/>
    </row>
    <row r="187" spans="1:18" ht="12" hidden="1" thickTop="1" x14ac:dyDescent="0.2">
      <c r="A187">
        <v>2</v>
      </c>
      <c r="B187" s="603" t="s">
        <v>1082</v>
      </c>
      <c r="C187" s="406"/>
      <c r="D187" s="433"/>
      <c r="E187" s="402"/>
      <c r="F187" s="403" t="s">
        <v>222</v>
      </c>
      <c r="G187" s="402" t="s">
        <v>169</v>
      </c>
      <c r="H187" s="404" t="s">
        <v>776</v>
      </c>
      <c r="I187" s="405">
        <f>SUM(K187:M187)</f>
        <v>6300</v>
      </c>
      <c r="J187" s="149"/>
      <c r="K187" s="405">
        <v>6300</v>
      </c>
      <c r="L187" s="406"/>
      <c r="M187" s="406"/>
      <c r="N187" s="408"/>
      <c r="O187"/>
    </row>
    <row r="188" spans="1:18" ht="12" hidden="1" thickTop="1" x14ac:dyDescent="0.2">
      <c r="A188">
        <v>2</v>
      </c>
      <c r="C188" s="146"/>
      <c r="D188" s="124"/>
      <c r="E188" s="124"/>
      <c r="F188" s="141" t="s">
        <v>222</v>
      </c>
      <c r="G188" s="124" t="s">
        <v>169</v>
      </c>
      <c r="H188" s="142" t="s">
        <v>777</v>
      </c>
      <c r="I188" s="548">
        <f>SUM(K188:M188)</f>
        <v>3689</v>
      </c>
      <c r="J188" s="149"/>
      <c r="K188" s="145">
        <v>3689</v>
      </c>
      <c r="L188" s="132"/>
      <c r="M188" s="132"/>
      <c r="N188" s="408"/>
      <c r="O188"/>
    </row>
    <row r="189" spans="1:18" ht="12.6" hidden="1" thickTop="1" thickBot="1" x14ac:dyDescent="0.25">
      <c r="A189">
        <v>2</v>
      </c>
      <c r="B189" s="603" t="s">
        <v>1082</v>
      </c>
      <c r="C189" s="399"/>
      <c r="D189" s="399"/>
      <c r="E189" s="399"/>
      <c r="F189" s="410" t="s">
        <v>222</v>
      </c>
      <c r="G189" s="399" t="s">
        <v>169</v>
      </c>
      <c r="H189" s="400" t="s">
        <v>1107</v>
      </c>
      <c r="I189" s="415">
        <f>SUM(K189:M189)</f>
        <v>15605</v>
      </c>
      <c r="J189" s="411"/>
      <c r="K189" s="536">
        <v>15605</v>
      </c>
      <c r="L189" s="412"/>
      <c r="M189" s="412"/>
      <c r="O189"/>
      <c r="R189">
        <v>360</v>
      </c>
    </row>
    <row r="190" spans="1:18" ht="12" thickTop="1" x14ac:dyDescent="0.2">
      <c r="A190">
        <v>1</v>
      </c>
      <c r="B190" s="603" t="s">
        <v>1082</v>
      </c>
      <c r="C190" s="406"/>
      <c r="D190" s="433"/>
      <c r="E190" s="402"/>
      <c r="F190" s="403" t="s">
        <v>454</v>
      </c>
      <c r="G190" s="402" t="s">
        <v>167</v>
      </c>
      <c r="H190" s="682" t="s">
        <v>808</v>
      </c>
      <c r="I190" s="683">
        <f t="shared" si="7"/>
        <v>20000</v>
      </c>
      <c r="J190" s="485"/>
      <c r="K190" s="683">
        <v>20000</v>
      </c>
      <c r="L190" s="406"/>
      <c r="M190" s="406"/>
      <c r="N190" s="408" t="s">
        <v>926</v>
      </c>
    </row>
    <row r="191" spans="1:18" ht="22.8" hidden="1" x14ac:dyDescent="0.2">
      <c r="A191">
        <v>2</v>
      </c>
      <c r="B191" s="603" t="s">
        <v>1081</v>
      </c>
      <c r="C191" s="124"/>
      <c r="D191" s="124"/>
      <c r="E191" s="124"/>
      <c r="F191" s="141" t="s">
        <v>454</v>
      </c>
      <c r="G191" s="124" t="s">
        <v>167</v>
      </c>
      <c r="H191" s="142" t="s">
        <v>611</v>
      </c>
      <c r="I191" s="531">
        <f>SUM(K191:M191)</f>
        <v>10000</v>
      </c>
      <c r="J191" s="149"/>
      <c r="K191" s="145">
        <f>20000-5000-5000</f>
        <v>10000</v>
      </c>
      <c r="L191" s="132"/>
      <c r="M191" s="132"/>
      <c r="N191" s="408" t="s">
        <v>801</v>
      </c>
      <c r="O191"/>
      <c r="R191">
        <v>20000</v>
      </c>
    </row>
    <row r="192" spans="1:18" hidden="1" x14ac:dyDescent="0.2">
      <c r="A192">
        <v>2</v>
      </c>
      <c r="B192" s="603" t="s">
        <v>1082</v>
      </c>
      <c r="C192" s="130"/>
      <c r="D192" s="130"/>
      <c r="E192" s="130"/>
      <c r="F192" s="141" t="s">
        <v>454</v>
      </c>
      <c r="G192" s="124" t="s">
        <v>167</v>
      </c>
      <c r="H192" s="131" t="s">
        <v>209</v>
      </c>
      <c r="I192" s="419"/>
      <c r="J192" s="440"/>
      <c r="K192" s="420"/>
      <c r="L192" s="420"/>
      <c r="M192" s="420"/>
      <c r="N192" s="408"/>
      <c r="O192"/>
    </row>
    <row r="193" spans="1:18" hidden="1" x14ac:dyDescent="0.2">
      <c r="A193">
        <v>2</v>
      </c>
      <c r="B193" s="603" t="s">
        <v>1082</v>
      </c>
      <c r="C193" s="124"/>
      <c r="D193" s="124"/>
      <c r="E193" s="124"/>
      <c r="F193" s="141" t="s">
        <v>454</v>
      </c>
      <c r="G193" s="124" t="s">
        <v>167</v>
      </c>
      <c r="H193" s="421" t="s">
        <v>802</v>
      </c>
      <c r="I193" s="139">
        <f t="shared" ref="I193:I200" si="8">SUM(K193:M193)</f>
        <v>720</v>
      </c>
      <c r="J193" s="149"/>
      <c r="K193" s="145">
        <v>720</v>
      </c>
      <c r="L193" s="132"/>
      <c r="M193" s="132"/>
      <c r="N193" s="408"/>
      <c r="O193"/>
      <c r="R193">
        <v>864</v>
      </c>
    </row>
    <row r="194" spans="1:18" ht="22.8" hidden="1" x14ac:dyDescent="0.2">
      <c r="A194">
        <v>2</v>
      </c>
      <c r="B194" s="603" t="s">
        <v>1082</v>
      </c>
      <c r="C194" s="124"/>
      <c r="D194" s="124"/>
      <c r="E194" s="124"/>
      <c r="F194" s="141" t="s">
        <v>454</v>
      </c>
      <c r="G194" s="124" t="s">
        <v>167</v>
      </c>
      <c r="H194" s="421" t="s">
        <v>803</v>
      </c>
      <c r="I194" s="139">
        <f t="shared" si="8"/>
        <v>1025</v>
      </c>
      <c r="J194" s="149"/>
      <c r="K194" s="145">
        <v>1025</v>
      </c>
      <c r="L194" s="132"/>
      <c r="M194" s="132"/>
      <c r="N194" s="408"/>
      <c r="O194"/>
      <c r="R194">
        <v>3708</v>
      </c>
    </row>
    <row r="195" spans="1:18" ht="22.8" hidden="1" x14ac:dyDescent="0.2">
      <c r="A195">
        <v>2</v>
      </c>
      <c r="B195" s="603" t="s">
        <v>1082</v>
      </c>
      <c r="C195" s="124"/>
      <c r="D195" s="124"/>
      <c r="E195" s="124"/>
      <c r="F195" s="141" t="s">
        <v>454</v>
      </c>
      <c r="G195" s="124" t="s">
        <v>167</v>
      </c>
      <c r="H195" s="421" t="s">
        <v>1091</v>
      </c>
      <c r="I195" s="139">
        <f t="shared" si="8"/>
        <v>3075</v>
      </c>
      <c r="J195" s="149"/>
      <c r="K195" s="145">
        <v>3075</v>
      </c>
      <c r="L195" s="132"/>
      <c r="M195" s="132"/>
      <c r="N195" s="408" t="s">
        <v>807</v>
      </c>
      <c r="O195"/>
      <c r="R195">
        <v>460</v>
      </c>
    </row>
    <row r="196" spans="1:18" hidden="1" x14ac:dyDescent="0.2">
      <c r="A196">
        <v>2</v>
      </c>
      <c r="B196" s="603" t="s">
        <v>1082</v>
      </c>
      <c r="C196" s="124"/>
      <c r="D196" s="124"/>
      <c r="E196" s="124"/>
      <c r="F196" s="141" t="s">
        <v>454</v>
      </c>
      <c r="G196" s="124" t="s">
        <v>167</v>
      </c>
      <c r="H196" s="421" t="s">
        <v>804</v>
      </c>
      <c r="I196" s="139">
        <f t="shared" si="8"/>
        <v>500</v>
      </c>
      <c r="J196" s="149"/>
      <c r="K196" s="145">
        <v>500</v>
      </c>
      <c r="L196" s="132"/>
      <c r="M196" s="132"/>
      <c r="O196"/>
      <c r="R196">
        <v>430</v>
      </c>
    </row>
    <row r="197" spans="1:18" ht="22.8" hidden="1" x14ac:dyDescent="0.2">
      <c r="A197">
        <v>2</v>
      </c>
      <c r="B197" s="603" t="s">
        <v>1082</v>
      </c>
      <c r="C197" s="124"/>
      <c r="D197" s="124"/>
      <c r="E197" s="124"/>
      <c r="F197" s="141" t="s">
        <v>454</v>
      </c>
      <c r="G197" s="124" t="s">
        <v>167</v>
      </c>
      <c r="H197" s="421" t="s">
        <v>805</v>
      </c>
      <c r="I197" s="139">
        <f t="shared" si="8"/>
        <v>1000</v>
      </c>
      <c r="J197" s="149"/>
      <c r="K197" s="145">
        <v>1000</v>
      </c>
      <c r="L197" s="132"/>
      <c r="M197" s="132"/>
      <c r="O197"/>
    </row>
    <row r="198" spans="1:18" hidden="1" x14ac:dyDescent="0.2">
      <c r="A198">
        <v>2</v>
      </c>
      <c r="B198" s="603" t="s">
        <v>1082</v>
      </c>
      <c r="C198" s="445"/>
      <c r="D198" s="445"/>
      <c r="E198" s="445"/>
      <c r="F198" s="488" t="s">
        <v>454</v>
      </c>
      <c r="G198" s="445" t="s">
        <v>167</v>
      </c>
      <c r="H198" s="628" t="s">
        <v>806</v>
      </c>
      <c r="I198" s="538">
        <f>SUM(K198:M198)</f>
        <v>744</v>
      </c>
      <c r="J198" s="149"/>
      <c r="K198" s="542">
        <v>744</v>
      </c>
      <c r="L198" s="446"/>
      <c r="M198" s="446"/>
      <c r="O198"/>
    </row>
    <row r="199" spans="1:18" ht="12" thickBot="1" x14ac:dyDescent="0.25">
      <c r="A199">
        <v>1</v>
      </c>
      <c r="B199" s="603" t="s">
        <v>1082</v>
      </c>
      <c r="C199" s="399"/>
      <c r="D199" s="399"/>
      <c r="E199" s="399"/>
      <c r="F199" s="410" t="s">
        <v>454</v>
      </c>
      <c r="G199" s="399" t="s">
        <v>167</v>
      </c>
      <c r="H199" s="725" t="s">
        <v>1145</v>
      </c>
      <c r="I199" s="691">
        <f t="shared" si="8"/>
        <v>1200</v>
      </c>
      <c r="J199" s="487"/>
      <c r="K199" s="695">
        <v>1200</v>
      </c>
      <c r="L199" s="412"/>
      <c r="M199" s="412"/>
      <c r="R199">
        <v>360</v>
      </c>
    </row>
    <row r="200" spans="1:18" ht="12" hidden="1" thickTop="1" x14ac:dyDescent="0.2">
      <c r="A200">
        <v>3</v>
      </c>
      <c r="B200" s="603" t="s">
        <v>344</v>
      </c>
      <c r="C200" s="402"/>
      <c r="D200" s="402"/>
      <c r="E200" s="402"/>
      <c r="F200" s="403" t="s">
        <v>448</v>
      </c>
      <c r="G200" s="402" t="s">
        <v>924</v>
      </c>
      <c r="H200" s="404" t="s">
        <v>834</v>
      </c>
      <c r="I200" s="537">
        <f t="shared" si="8"/>
        <v>0</v>
      </c>
      <c r="J200" s="149"/>
      <c r="K200" s="627">
        <f>8500-8500</f>
        <v>0</v>
      </c>
      <c r="L200" s="406"/>
      <c r="M200" s="406"/>
      <c r="N200" s="408" t="s">
        <v>835</v>
      </c>
      <c r="O200"/>
      <c r="R200">
        <v>5000</v>
      </c>
    </row>
    <row r="201" spans="1:18" ht="12" thickTop="1" x14ac:dyDescent="0.2">
      <c r="A201">
        <v>1</v>
      </c>
      <c r="C201" s="402"/>
      <c r="D201" s="402"/>
      <c r="E201" s="402"/>
      <c r="F201" s="141" t="s">
        <v>448</v>
      </c>
      <c r="G201" s="124" t="s">
        <v>924</v>
      </c>
      <c r="H201" s="682" t="s">
        <v>1145</v>
      </c>
      <c r="I201" s="683">
        <f>K201</f>
        <v>1500</v>
      </c>
      <c r="J201" s="485"/>
      <c r="K201" s="683">
        <v>1500</v>
      </c>
      <c r="L201" s="406"/>
      <c r="M201" s="406"/>
      <c r="N201" s="408"/>
    </row>
    <row r="202" spans="1:18" hidden="1" x14ac:dyDescent="0.2">
      <c r="A202">
        <v>2</v>
      </c>
      <c r="B202" s="603" t="s">
        <v>344</v>
      </c>
      <c r="C202" s="124"/>
      <c r="D202" s="124"/>
      <c r="E202" s="124"/>
      <c r="F202" s="141" t="s">
        <v>448</v>
      </c>
      <c r="G202" s="124" t="s">
        <v>924</v>
      </c>
      <c r="H202" s="131" t="s">
        <v>209</v>
      </c>
      <c r="I202" s="419"/>
      <c r="J202" s="440"/>
      <c r="K202" s="420"/>
      <c r="L202" s="420"/>
      <c r="M202" s="420"/>
      <c r="N202" s="408"/>
      <c r="O202"/>
    </row>
    <row r="203" spans="1:18" ht="22.8" hidden="1" x14ac:dyDescent="0.2">
      <c r="A203">
        <v>2</v>
      </c>
      <c r="B203" s="603" t="s">
        <v>344</v>
      </c>
      <c r="C203" s="124"/>
      <c r="D203" s="124"/>
      <c r="E203" s="124"/>
      <c r="F203" s="141" t="s">
        <v>448</v>
      </c>
      <c r="G203" s="124" t="s">
        <v>924</v>
      </c>
      <c r="H203" s="421" t="s">
        <v>927</v>
      </c>
      <c r="I203" s="139">
        <f t="shared" ref="I203:I209" si="9">K203</f>
        <v>2940</v>
      </c>
      <c r="J203" s="149"/>
      <c r="K203" s="145">
        <v>2940</v>
      </c>
      <c r="L203" s="132"/>
      <c r="M203" s="132"/>
      <c r="N203" s="408"/>
      <c r="O203"/>
    </row>
    <row r="204" spans="1:18" ht="22.8" hidden="1" x14ac:dyDescent="0.2">
      <c r="A204">
        <v>2</v>
      </c>
      <c r="B204" s="603" t="s">
        <v>344</v>
      </c>
      <c r="C204" s="124"/>
      <c r="D204" s="124"/>
      <c r="E204" s="124"/>
      <c r="F204" s="141" t="s">
        <v>448</v>
      </c>
      <c r="G204" s="124" t="s">
        <v>924</v>
      </c>
      <c r="H204" s="421" t="s">
        <v>928</v>
      </c>
      <c r="I204" s="139">
        <f t="shared" si="9"/>
        <v>900</v>
      </c>
      <c r="J204" s="149"/>
      <c r="K204" s="145">
        <v>900</v>
      </c>
      <c r="L204" s="132"/>
      <c r="M204" s="132"/>
      <c r="N204" s="408"/>
      <c r="O204"/>
    </row>
    <row r="205" spans="1:18" hidden="1" x14ac:dyDescent="0.2">
      <c r="A205">
        <v>2</v>
      </c>
      <c r="B205" s="603" t="s">
        <v>344</v>
      </c>
      <c r="C205" s="124"/>
      <c r="D205" s="124"/>
      <c r="E205" s="124"/>
      <c r="F205" s="141" t="s">
        <v>448</v>
      </c>
      <c r="G205" s="124" t="s">
        <v>924</v>
      </c>
      <c r="H205" s="421" t="s">
        <v>838</v>
      </c>
      <c r="I205" s="139">
        <f t="shared" si="9"/>
        <v>400</v>
      </c>
      <c r="J205" s="149"/>
      <c r="K205" s="145">
        <v>400</v>
      </c>
      <c r="L205" s="132"/>
      <c r="M205" s="132"/>
      <c r="N205" s="408"/>
      <c r="O205"/>
    </row>
    <row r="206" spans="1:18" hidden="1" x14ac:dyDescent="0.2">
      <c r="A206">
        <v>2</v>
      </c>
      <c r="B206" s="603" t="s">
        <v>344</v>
      </c>
      <c r="C206" s="124"/>
      <c r="D206" s="124"/>
      <c r="E206" s="124"/>
      <c r="F206" s="141" t="s">
        <v>448</v>
      </c>
      <c r="G206" s="124" t="s">
        <v>924</v>
      </c>
      <c r="H206" s="421" t="s">
        <v>929</v>
      </c>
      <c r="I206" s="139">
        <f t="shared" si="9"/>
        <v>1400</v>
      </c>
      <c r="J206" s="149"/>
      <c r="K206" s="145">
        <v>1400</v>
      </c>
      <c r="L206" s="132"/>
      <c r="M206" s="132"/>
      <c r="N206" s="408"/>
      <c r="O206"/>
    </row>
    <row r="207" spans="1:18" hidden="1" x14ac:dyDescent="0.2">
      <c r="A207">
        <v>2</v>
      </c>
      <c r="B207" s="603" t="s">
        <v>344</v>
      </c>
      <c r="C207" s="124"/>
      <c r="D207" s="124"/>
      <c r="E207" s="124"/>
      <c r="F207" s="141" t="s">
        <v>448</v>
      </c>
      <c r="G207" s="124" t="s">
        <v>924</v>
      </c>
      <c r="H207" s="421" t="s">
        <v>930</v>
      </c>
      <c r="I207" s="139">
        <f t="shared" si="9"/>
        <v>1300</v>
      </c>
      <c r="J207" s="149"/>
      <c r="K207" s="145">
        <v>1300</v>
      </c>
      <c r="L207" s="132"/>
      <c r="M207" s="132"/>
      <c r="N207" s="408"/>
      <c r="O207"/>
    </row>
    <row r="208" spans="1:18" hidden="1" x14ac:dyDescent="0.2">
      <c r="A208">
        <v>2</v>
      </c>
      <c r="B208" s="603" t="s">
        <v>344</v>
      </c>
      <c r="C208" s="124"/>
      <c r="D208" s="124"/>
      <c r="E208" s="124"/>
      <c r="F208" s="141" t="s">
        <v>448</v>
      </c>
      <c r="G208" s="124" t="s">
        <v>924</v>
      </c>
      <c r="H208" s="421" t="s">
        <v>931</v>
      </c>
      <c r="I208" s="139">
        <f t="shared" si="9"/>
        <v>800</v>
      </c>
      <c r="J208" s="149"/>
      <c r="K208" s="145">
        <v>800</v>
      </c>
      <c r="L208" s="132"/>
      <c r="M208" s="132"/>
      <c r="N208" s="408"/>
      <c r="O208"/>
    </row>
    <row r="209" spans="1:18" ht="12" thickBot="1" x14ac:dyDescent="0.25">
      <c r="A209">
        <v>1</v>
      </c>
      <c r="B209" s="603" t="s">
        <v>344</v>
      </c>
      <c r="C209" s="399"/>
      <c r="D209" s="399"/>
      <c r="E209" s="399"/>
      <c r="F209" s="410" t="s">
        <v>448</v>
      </c>
      <c r="G209" s="399" t="s">
        <v>924</v>
      </c>
      <c r="H209" s="690" t="s">
        <v>836</v>
      </c>
      <c r="I209" s="695">
        <f t="shared" si="9"/>
        <v>20000</v>
      </c>
      <c r="J209" s="487"/>
      <c r="K209" s="695">
        <v>20000</v>
      </c>
      <c r="L209" s="412"/>
      <c r="M209" s="412"/>
      <c r="N209" s="3" t="s">
        <v>837</v>
      </c>
    </row>
    <row r="210" spans="1:18" ht="12" hidden="1" thickTop="1" x14ac:dyDescent="0.2">
      <c r="A210">
        <v>3</v>
      </c>
      <c r="B210" s="603" t="s">
        <v>344</v>
      </c>
      <c r="C210" s="124"/>
      <c r="D210" s="124"/>
      <c r="E210" s="124"/>
      <c r="F210" s="141" t="s">
        <v>447</v>
      </c>
      <c r="G210" s="124" t="s">
        <v>554</v>
      </c>
      <c r="H210" s="142" t="s">
        <v>810</v>
      </c>
      <c r="I210" s="139">
        <f t="shared" ref="I210:I222" si="10">K210</f>
        <v>1000</v>
      </c>
      <c r="J210" s="149"/>
      <c r="K210" s="145">
        <v>1000</v>
      </c>
      <c r="L210" s="132"/>
      <c r="M210" s="132"/>
      <c r="N210" s="408"/>
      <c r="O210"/>
    </row>
    <row r="211" spans="1:18" ht="23.4" hidden="1" thickTop="1" x14ac:dyDescent="0.2">
      <c r="A211">
        <v>3</v>
      </c>
      <c r="B211" s="603" t="s">
        <v>344</v>
      </c>
      <c r="C211" s="445"/>
      <c r="D211" s="445"/>
      <c r="E211" s="445"/>
      <c r="F211" s="490" t="s">
        <v>447</v>
      </c>
      <c r="G211" s="491" t="s">
        <v>554</v>
      </c>
      <c r="H211" s="489" t="s">
        <v>817</v>
      </c>
      <c r="I211" s="538">
        <f t="shared" si="10"/>
        <v>4500</v>
      </c>
      <c r="J211" s="149"/>
      <c r="K211" s="542">
        <v>4500</v>
      </c>
      <c r="L211" s="446"/>
      <c r="M211" s="446"/>
      <c r="N211" s="408"/>
      <c r="O211"/>
    </row>
    <row r="212" spans="1:18" ht="12" hidden="1" thickTop="1" x14ac:dyDescent="0.2">
      <c r="A212">
        <v>2</v>
      </c>
      <c r="B212" s="603" t="s">
        <v>344</v>
      </c>
      <c r="C212" s="445"/>
      <c r="D212" s="445"/>
      <c r="E212" s="445"/>
      <c r="F212" s="490" t="s">
        <v>447</v>
      </c>
      <c r="G212" s="491" t="s">
        <v>554</v>
      </c>
      <c r="H212" s="489" t="s">
        <v>818</v>
      </c>
      <c r="I212" s="538">
        <f t="shared" si="10"/>
        <v>4500</v>
      </c>
      <c r="J212" s="149"/>
      <c r="K212" s="542">
        <v>4500</v>
      </c>
      <c r="L212" s="446"/>
      <c r="M212" s="446"/>
      <c r="N212" s="408"/>
      <c r="O212"/>
    </row>
    <row r="213" spans="1:18" ht="23.4" hidden="1" thickTop="1" x14ac:dyDescent="0.2">
      <c r="A213">
        <v>3</v>
      </c>
      <c r="B213" s="603" t="s">
        <v>344</v>
      </c>
      <c r="C213" s="445"/>
      <c r="D213" s="445"/>
      <c r="E213" s="445"/>
      <c r="F213" s="490" t="s">
        <v>447</v>
      </c>
      <c r="G213" s="491" t="s">
        <v>554</v>
      </c>
      <c r="H213" s="489" t="s">
        <v>819</v>
      </c>
      <c r="I213" s="538">
        <f t="shared" si="10"/>
        <v>4000</v>
      </c>
      <c r="J213" s="149"/>
      <c r="K213" s="542">
        <v>4000</v>
      </c>
      <c r="L213" s="446"/>
      <c r="M213" s="446"/>
      <c r="N213" s="408"/>
      <c r="O213"/>
    </row>
    <row r="214" spans="1:18" ht="12" hidden="1" thickTop="1" x14ac:dyDescent="0.2">
      <c r="A214">
        <v>3</v>
      </c>
      <c r="B214" s="603" t="s">
        <v>344</v>
      </c>
      <c r="C214" s="445"/>
      <c r="D214" s="445"/>
      <c r="E214" s="445"/>
      <c r="F214" s="490" t="s">
        <v>447</v>
      </c>
      <c r="G214" s="445" t="s">
        <v>554</v>
      </c>
      <c r="H214" s="489" t="s">
        <v>815</v>
      </c>
      <c r="I214" s="538">
        <f t="shared" ref="I214:I219" si="11">K214</f>
        <v>0</v>
      </c>
      <c r="J214" s="149"/>
      <c r="K214" s="593">
        <f>3000-3000</f>
        <v>0</v>
      </c>
      <c r="L214" s="446"/>
      <c r="M214" s="446"/>
      <c r="N214" s="408"/>
      <c r="O214"/>
    </row>
    <row r="215" spans="1:18" ht="12" hidden="1" thickTop="1" x14ac:dyDescent="0.2">
      <c r="A215">
        <v>3</v>
      </c>
      <c r="B215" s="603" t="s">
        <v>344</v>
      </c>
      <c r="C215" s="445"/>
      <c r="D215" s="445"/>
      <c r="E215" s="445"/>
      <c r="F215" s="490" t="s">
        <v>447</v>
      </c>
      <c r="G215" s="124" t="s">
        <v>554</v>
      </c>
      <c r="H215" s="142" t="s">
        <v>816</v>
      </c>
      <c r="I215" s="139">
        <f>K215</f>
        <v>2000</v>
      </c>
      <c r="J215" s="543"/>
      <c r="K215" s="145">
        <v>2000</v>
      </c>
      <c r="L215" s="132"/>
      <c r="M215" s="132"/>
      <c r="N215" s="408"/>
      <c r="O215"/>
    </row>
    <row r="216" spans="1:18" ht="12" hidden="1" thickTop="1" x14ac:dyDescent="0.2">
      <c r="A216">
        <v>2</v>
      </c>
      <c r="B216" s="603" t="s">
        <v>344</v>
      </c>
      <c r="C216" s="445"/>
      <c r="D216" s="445"/>
      <c r="E216" s="445"/>
      <c r="F216" s="490" t="s">
        <v>447</v>
      </c>
      <c r="G216" s="124" t="s">
        <v>554</v>
      </c>
      <c r="H216" s="142" t="s">
        <v>814</v>
      </c>
      <c r="I216" s="139">
        <f>K216</f>
        <v>2500</v>
      </c>
      <c r="J216" s="543"/>
      <c r="K216" s="145">
        <v>2500</v>
      </c>
      <c r="L216" s="132"/>
      <c r="M216" s="132"/>
      <c r="N216" s="408"/>
      <c r="O216"/>
    </row>
    <row r="217" spans="1:18" ht="12" hidden="1" thickTop="1" x14ac:dyDescent="0.2">
      <c r="A217">
        <v>2</v>
      </c>
      <c r="B217" s="603" t="s">
        <v>344</v>
      </c>
      <c r="C217" s="445"/>
      <c r="D217" s="445"/>
      <c r="E217" s="445"/>
      <c r="F217" s="490" t="s">
        <v>447</v>
      </c>
      <c r="G217" s="124" t="s">
        <v>554</v>
      </c>
      <c r="H217" s="142" t="s">
        <v>811</v>
      </c>
      <c r="I217" s="139">
        <f t="shared" si="11"/>
        <v>2500</v>
      </c>
      <c r="J217" s="543"/>
      <c r="K217" s="145">
        <v>2500</v>
      </c>
      <c r="L217" s="132"/>
      <c r="M217" s="132"/>
      <c r="N217" s="408"/>
      <c r="O217"/>
    </row>
    <row r="218" spans="1:18" ht="12" hidden="1" thickTop="1" x14ac:dyDescent="0.2">
      <c r="A218">
        <v>3</v>
      </c>
      <c r="B218" s="603" t="s">
        <v>344</v>
      </c>
      <c r="C218" s="445"/>
      <c r="D218" s="445"/>
      <c r="E218" s="445"/>
      <c r="F218" s="490" t="s">
        <v>447</v>
      </c>
      <c r="G218" s="124" t="s">
        <v>554</v>
      </c>
      <c r="H218" s="142" t="s">
        <v>812</v>
      </c>
      <c r="I218" s="139">
        <f t="shared" si="11"/>
        <v>600</v>
      </c>
      <c r="J218" s="543"/>
      <c r="K218" s="145">
        <v>600</v>
      </c>
      <c r="L218" s="132"/>
      <c r="M218" s="132"/>
      <c r="N218" s="408"/>
      <c r="O218"/>
    </row>
    <row r="219" spans="1:18" ht="12.6" hidden="1" thickTop="1" thickBot="1" x14ac:dyDescent="0.25">
      <c r="A219">
        <v>3</v>
      </c>
      <c r="B219" s="603" t="s">
        <v>344</v>
      </c>
      <c r="C219" s="399"/>
      <c r="D219" s="399"/>
      <c r="E219" s="399"/>
      <c r="F219" s="441" t="s">
        <v>447</v>
      </c>
      <c r="G219" s="424" t="s">
        <v>554</v>
      </c>
      <c r="H219" s="442" t="s">
        <v>813</v>
      </c>
      <c r="I219" s="540">
        <f t="shared" si="11"/>
        <v>600</v>
      </c>
      <c r="J219" s="411"/>
      <c r="K219" s="541">
        <v>600</v>
      </c>
      <c r="L219" s="443"/>
      <c r="M219" s="443"/>
      <c r="N219" s="408"/>
      <c r="O219"/>
    </row>
    <row r="220" spans="1:18" ht="12" hidden="1" thickTop="1" x14ac:dyDescent="0.2">
      <c r="A220">
        <v>2</v>
      </c>
      <c r="B220" s="603" t="s">
        <v>344</v>
      </c>
      <c r="C220" s="124"/>
      <c r="D220" s="124"/>
      <c r="E220" s="124"/>
      <c r="F220" s="141" t="s">
        <v>523</v>
      </c>
      <c r="G220" s="124" t="s">
        <v>825</v>
      </c>
      <c r="H220" s="142" t="s">
        <v>821</v>
      </c>
      <c r="I220" s="139">
        <f t="shared" si="10"/>
        <v>3000</v>
      </c>
      <c r="J220" s="149"/>
      <c r="K220" s="145">
        <v>3000</v>
      </c>
      <c r="L220" s="132"/>
      <c r="M220" s="132"/>
      <c r="N220" s="408" t="s">
        <v>820</v>
      </c>
      <c r="O220"/>
    </row>
    <row r="221" spans="1:18" ht="12" hidden="1" thickTop="1" x14ac:dyDescent="0.2">
      <c r="A221">
        <v>2</v>
      </c>
      <c r="B221" s="603" t="s">
        <v>344</v>
      </c>
      <c r="C221" s="124"/>
      <c r="D221" s="124"/>
      <c r="E221" s="124"/>
      <c r="F221" s="141" t="s">
        <v>523</v>
      </c>
      <c r="G221" s="124" t="s">
        <v>825</v>
      </c>
      <c r="H221" s="142" t="s">
        <v>1017</v>
      </c>
      <c r="I221" s="139">
        <f t="shared" si="10"/>
        <v>1400</v>
      </c>
      <c r="J221" s="149"/>
      <c r="K221" s="145">
        <v>1400</v>
      </c>
      <c r="L221" s="132"/>
      <c r="M221" s="132"/>
      <c r="N221" s="408" t="s">
        <v>822</v>
      </c>
      <c r="O221"/>
    </row>
    <row r="222" spans="1:18" ht="12" hidden="1" thickTop="1" x14ac:dyDescent="0.2">
      <c r="A222">
        <v>2</v>
      </c>
      <c r="B222" s="603" t="s">
        <v>344</v>
      </c>
      <c r="C222" s="445"/>
      <c r="D222" s="445"/>
      <c r="E222" s="445"/>
      <c r="F222" s="141" t="s">
        <v>523</v>
      </c>
      <c r="G222" s="124" t="s">
        <v>825</v>
      </c>
      <c r="H222" s="489" t="s">
        <v>1016</v>
      </c>
      <c r="I222" s="139">
        <f t="shared" si="10"/>
        <v>3000</v>
      </c>
      <c r="J222" s="149"/>
      <c r="K222" s="542">
        <v>3000</v>
      </c>
      <c r="L222" s="446"/>
      <c r="M222" s="446"/>
      <c r="N222" s="408"/>
      <c r="O222"/>
    </row>
    <row r="223" spans="1:18" ht="12.6" hidden="1" thickTop="1" thickBot="1" x14ac:dyDescent="0.25">
      <c r="A223">
        <v>3</v>
      </c>
      <c r="B223" s="603" t="s">
        <v>344</v>
      </c>
      <c r="C223" s="503"/>
      <c r="D223" s="503"/>
      <c r="E223" s="503"/>
      <c r="F223" s="504" t="s">
        <v>523</v>
      </c>
      <c r="G223" s="503" t="s">
        <v>825</v>
      </c>
      <c r="H223" s="505" t="s">
        <v>824</v>
      </c>
      <c r="I223" s="544">
        <f>K223</f>
        <v>1000</v>
      </c>
      <c r="J223" s="545"/>
      <c r="K223" s="546">
        <v>1000</v>
      </c>
      <c r="L223" s="506"/>
      <c r="M223" s="506"/>
      <c r="N223" s="408"/>
      <c r="O223"/>
    </row>
    <row r="224" spans="1:18" ht="12.6" thickTop="1" thickBot="1" x14ac:dyDescent="0.25">
      <c r="A224">
        <v>1</v>
      </c>
      <c r="B224" s="603" t="s">
        <v>1081</v>
      </c>
      <c r="C224" s="424"/>
      <c r="D224" s="424"/>
      <c r="E224" s="424"/>
      <c r="F224" s="441" t="s">
        <v>224</v>
      </c>
      <c r="G224" s="424" t="s">
        <v>171</v>
      </c>
      <c r="H224" s="727" t="s">
        <v>556</v>
      </c>
      <c r="I224" s="728">
        <f>SUM(K224:M224)</f>
        <v>4000</v>
      </c>
      <c r="J224" s="487"/>
      <c r="K224" s="729">
        <v>4000</v>
      </c>
      <c r="L224" s="443"/>
      <c r="M224" s="443"/>
      <c r="R224">
        <v>4000</v>
      </c>
    </row>
    <row r="225" spans="1:21" ht="23.4" hidden="1" thickTop="1" x14ac:dyDescent="0.2">
      <c r="A225">
        <v>2</v>
      </c>
      <c r="B225" s="603" t="s">
        <v>344</v>
      </c>
      <c r="C225" s="402"/>
      <c r="D225" s="402"/>
      <c r="E225" s="402"/>
      <c r="F225" s="403" t="s">
        <v>353</v>
      </c>
      <c r="G225" s="402" t="s">
        <v>315</v>
      </c>
      <c r="H225" s="404" t="s">
        <v>781</v>
      </c>
      <c r="I225" s="405">
        <f>SUM(K225:M225)</f>
        <v>0</v>
      </c>
      <c r="J225" s="149"/>
      <c r="K225" s="616">
        <f>76000-76000</f>
        <v>0</v>
      </c>
      <c r="L225" s="406"/>
      <c r="M225" s="406"/>
      <c r="N225" s="408" t="s">
        <v>782</v>
      </c>
      <c r="O225"/>
      <c r="R225">
        <v>10000</v>
      </c>
    </row>
    <row r="226" spans="1:21" ht="12" hidden="1" thickTop="1" x14ac:dyDescent="0.2">
      <c r="A226">
        <v>2</v>
      </c>
      <c r="B226" s="603" t="s">
        <v>344</v>
      </c>
      <c r="C226" s="527"/>
      <c r="D226" s="527"/>
      <c r="E226" s="527"/>
      <c r="F226" s="629" t="s">
        <v>353</v>
      </c>
      <c r="G226" s="527" t="s">
        <v>315</v>
      </c>
      <c r="H226" s="528" t="s">
        <v>783</v>
      </c>
      <c r="I226" s="539">
        <f>K226</f>
        <v>80000</v>
      </c>
      <c r="J226" s="149"/>
      <c r="K226" s="539">
        <v>80000</v>
      </c>
      <c r="L226" s="406"/>
      <c r="M226" s="406"/>
      <c r="N226" s="408" t="s">
        <v>782</v>
      </c>
      <c r="O226"/>
    </row>
    <row r="227" spans="1:21" ht="12.6" hidden="1" thickTop="1" thickBot="1" x14ac:dyDescent="0.25">
      <c r="A227">
        <v>3</v>
      </c>
      <c r="B227" s="603" t="s">
        <v>344</v>
      </c>
      <c r="C227" s="630"/>
      <c r="D227" s="630"/>
      <c r="E227" s="630"/>
      <c r="F227" s="631" t="s">
        <v>353</v>
      </c>
      <c r="G227" s="630" t="s">
        <v>315</v>
      </c>
      <c r="H227" s="632" t="s">
        <v>784</v>
      </c>
      <c r="I227" s="633">
        <f t="shared" ref="I227:I242" si="12">SUM(K227:M227)</f>
        <v>600</v>
      </c>
      <c r="J227" s="634"/>
      <c r="K227" s="633">
        <v>600</v>
      </c>
      <c r="L227" s="529"/>
      <c r="M227" s="529"/>
      <c r="N227" s="408"/>
      <c r="O227"/>
    </row>
    <row r="228" spans="1:21" ht="12" thickTop="1" x14ac:dyDescent="0.2">
      <c r="A228">
        <v>1</v>
      </c>
      <c r="B228" s="603" t="s">
        <v>344</v>
      </c>
      <c r="C228" s="402"/>
      <c r="D228" s="402"/>
      <c r="E228" s="402"/>
      <c r="F228" s="403" t="s">
        <v>353</v>
      </c>
      <c r="G228" s="402" t="s">
        <v>315</v>
      </c>
      <c r="H228" s="682" t="s">
        <v>1088</v>
      </c>
      <c r="I228" s="684">
        <f t="shared" si="12"/>
        <v>5900</v>
      </c>
      <c r="J228" s="485"/>
      <c r="K228" s="684">
        <v>5900</v>
      </c>
      <c r="L228" s="406"/>
      <c r="M228" s="406"/>
      <c r="N228" s="408"/>
    </row>
    <row r="229" spans="1:21" ht="23.4" thickBot="1" x14ac:dyDescent="0.25">
      <c r="A229">
        <v>1</v>
      </c>
      <c r="B229" s="603" t="s">
        <v>344</v>
      </c>
      <c r="C229" s="530"/>
      <c r="D229" s="424"/>
      <c r="E229" s="424"/>
      <c r="F229" s="441" t="s">
        <v>353</v>
      </c>
      <c r="G229" s="424" t="s">
        <v>315</v>
      </c>
      <c r="H229" s="727" t="s">
        <v>1089</v>
      </c>
      <c r="I229" s="729">
        <f t="shared" si="12"/>
        <v>5000</v>
      </c>
      <c r="J229" s="487"/>
      <c r="K229" s="729">
        <v>5000</v>
      </c>
      <c r="L229" s="443"/>
      <c r="M229" s="443"/>
      <c r="R229">
        <v>10128</v>
      </c>
    </row>
    <row r="230" spans="1:21" ht="12.6" hidden="1" thickTop="1" thickBot="1" x14ac:dyDescent="0.25">
      <c r="A230">
        <v>2</v>
      </c>
      <c r="B230" s="603" t="s">
        <v>344</v>
      </c>
      <c r="C230" s="530"/>
      <c r="D230" s="424"/>
      <c r="E230" s="424"/>
      <c r="F230" s="441" t="s">
        <v>364</v>
      </c>
      <c r="G230" s="424" t="s">
        <v>616</v>
      </c>
      <c r="H230" s="442" t="s">
        <v>1087</v>
      </c>
      <c r="I230" s="541">
        <f t="shared" si="12"/>
        <v>3600</v>
      </c>
      <c r="J230" s="411"/>
      <c r="K230" s="541">
        <v>3600</v>
      </c>
      <c r="L230" s="443"/>
      <c r="M230" s="443"/>
      <c r="O230"/>
      <c r="R230">
        <v>10128</v>
      </c>
    </row>
    <row r="231" spans="1:21" ht="12" thickTop="1" x14ac:dyDescent="0.2">
      <c r="A231">
        <v>1</v>
      </c>
      <c r="B231" s="603" t="s">
        <v>1082</v>
      </c>
      <c r="C231" s="124"/>
      <c r="D231" s="124"/>
      <c r="E231" s="124"/>
      <c r="F231" s="141" t="s">
        <v>225</v>
      </c>
      <c r="G231" s="147" t="s">
        <v>563</v>
      </c>
      <c r="H231" s="657" t="s">
        <v>932</v>
      </c>
      <c r="I231" s="752">
        <f t="shared" si="12"/>
        <v>20000</v>
      </c>
      <c r="J231" s="485"/>
      <c r="K231" s="484">
        <v>20000</v>
      </c>
      <c r="L231" s="132"/>
      <c r="M231" s="132"/>
      <c r="R231">
        <v>21500</v>
      </c>
    </row>
    <row r="232" spans="1:21" x14ac:dyDescent="0.2">
      <c r="A232">
        <v>1</v>
      </c>
      <c r="B232" s="603" t="s">
        <v>1082</v>
      </c>
      <c r="C232" s="124"/>
      <c r="D232" s="124"/>
      <c r="E232" s="124"/>
      <c r="F232" s="141" t="s">
        <v>225</v>
      </c>
      <c r="G232" s="147" t="s">
        <v>563</v>
      </c>
      <c r="H232" s="657" t="s">
        <v>1101</v>
      </c>
      <c r="I232" s="752">
        <f t="shared" si="12"/>
        <v>12000</v>
      </c>
      <c r="J232" s="485"/>
      <c r="K232" s="484">
        <v>12000</v>
      </c>
      <c r="L232" s="132"/>
      <c r="M232" s="132"/>
    </row>
    <row r="233" spans="1:21" hidden="1" x14ac:dyDescent="0.2">
      <c r="A233">
        <v>3</v>
      </c>
      <c r="B233" s="603" t="s">
        <v>1082</v>
      </c>
      <c r="C233" s="124"/>
      <c r="D233" s="124"/>
      <c r="E233" s="124"/>
      <c r="F233" s="141" t="s">
        <v>225</v>
      </c>
      <c r="G233" s="147" t="s">
        <v>563</v>
      </c>
      <c r="H233" s="142" t="s">
        <v>890</v>
      </c>
      <c r="I233" s="139">
        <f t="shared" si="12"/>
        <v>5000</v>
      </c>
      <c r="J233" s="149"/>
      <c r="K233" s="139">
        <v>5000</v>
      </c>
      <c r="L233" s="132"/>
      <c r="M233" s="132"/>
      <c r="O233"/>
    </row>
    <row r="234" spans="1:21" hidden="1" x14ac:dyDescent="0.2">
      <c r="A234">
        <v>3</v>
      </c>
      <c r="B234" s="603" t="s">
        <v>1082</v>
      </c>
      <c r="C234" s="124"/>
      <c r="D234" s="124"/>
      <c r="E234" s="124"/>
      <c r="F234" s="141" t="s">
        <v>225</v>
      </c>
      <c r="G234" s="147" t="s">
        <v>563</v>
      </c>
      <c r="H234" s="142" t="s">
        <v>891</v>
      </c>
      <c r="I234" s="139">
        <f t="shared" si="12"/>
        <v>5000</v>
      </c>
      <c r="J234" s="149"/>
      <c r="K234" s="139">
        <v>5000</v>
      </c>
      <c r="L234" s="132"/>
      <c r="M234" s="132"/>
      <c r="O234"/>
    </row>
    <row r="235" spans="1:21" hidden="1" x14ac:dyDescent="0.2">
      <c r="A235">
        <v>3</v>
      </c>
      <c r="B235" s="603" t="s">
        <v>1082</v>
      </c>
      <c r="C235" s="124"/>
      <c r="D235" s="124"/>
      <c r="E235" s="124"/>
      <c r="F235" s="141" t="s">
        <v>225</v>
      </c>
      <c r="G235" s="147" t="s">
        <v>563</v>
      </c>
      <c r="H235" s="142" t="s">
        <v>933</v>
      </c>
      <c r="I235" s="139">
        <f t="shared" si="12"/>
        <v>7000</v>
      </c>
      <c r="J235" s="149"/>
      <c r="K235" s="139">
        <v>7000</v>
      </c>
      <c r="L235" s="132"/>
      <c r="M235" s="132"/>
      <c r="O235"/>
      <c r="R235">
        <v>22000</v>
      </c>
    </row>
    <row r="236" spans="1:21" x14ac:dyDescent="0.2">
      <c r="A236">
        <v>1</v>
      </c>
      <c r="B236" s="603" t="s">
        <v>1082</v>
      </c>
      <c r="C236" s="124"/>
      <c r="D236" s="124"/>
      <c r="E236" s="124"/>
      <c r="F236" s="141" t="s">
        <v>225</v>
      </c>
      <c r="G236" s="147" t="s">
        <v>563</v>
      </c>
      <c r="H236" s="657" t="s">
        <v>530</v>
      </c>
      <c r="I236" s="752">
        <f t="shared" si="12"/>
        <v>11222</v>
      </c>
      <c r="J236" s="485"/>
      <c r="K236" s="484">
        <f>11222</f>
        <v>11222</v>
      </c>
      <c r="L236" s="132"/>
      <c r="M236" s="132"/>
      <c r="N236" s="46" t="s">
        <v>892</v>
      </c>
      <c r="R236">
        <v>11222</v>
      </c>
    </row>
    <row r="237" spans="1:21" hidden="1" x14ac:dyDescent="0.2">
      <c r="A237">
        <v>2</v>
      </c>
      <c r="B237" s="603" t="s">
        <v>1082</v>
      </c>
      <c r="C237" s="124"/>
      <c r="D237" s="124"/>
      <c r="E237" s="124"/>
      <c r="F237" s="141" t="s">
        <v>225</v>
      </c>
      <c r="G237" s="147" t="s">
        <v>563</v>
      </c>
      <c r="H237" s="142" t="s">
        <v>934</v>
      </c>
      <c r="I237" s="139">
        <f t="shared" si="12"/>
        <v>2000</v>
      </c>
      <c r="J237" s="149"/>
      <c r="K237" s="139">
        <v>2000</v>
      </c>
      <c r="L237" s="132"/>
      <c r="M237" s="132"/>
      <c r="N237" s="2" t="s">
        <v>935</v>
      </c>
      <c r="O237"/>
    </row>
    <row r="238" spans="1:21" s="9" customFormat="1" x14ac:dyDescent="0.2">
      <c r="A238" s="9">
        <v>1</v>
      </c>
      <c r="B238" s="603" t="s">
        <v>1082</v>
      </c>
      <c r="C238" s="147"/>
      <c r="D238" s="147"/>
      <c r="E238" s="147"/>
      <c r="F238" s="141" t="s">
        <v>225</v>
      </c>
      <c r="G238" s="147" t="s">
        <v>563</v>
      </c>
      <c r="H238" s="657" t="s">
        <v>1125</v>
      </c>
      <c r="I238" s="486">
        <f t="shared" si="12"/>
        <v>10000</v>
      </c>
      <c r="J238" s="485"/>
      <c r="K238" s="484">
        <v>10000</v>
      </c>
      <c r="L238" s="132"/>
      <c r="M238" s="132"/>
      <c r="N238" s="2" t="s">
        <v>936</v>
      </c>
      <c r="O238" s="894"/>
      <c r="P238"/>
      <c r="Q238"/>
      <c r="R238">
        <v>0</v>
      </c>
      <c r="S238"/>
      <c r="T238"/>
      <c r="U238"/>
    </row>
    <row r="239" spans="1:21" s="9" customFormat="1" hidden="1" x14ac:dyDescent="0.2">
      <c r="A239" s="9">
        <v>3</v>
      </c>
      <c r="B239" s="603" t="s">
        <v>1082</v>
      </c>
      <c r="C239" s="551"/>
      <c r="D239" s="551"/>
      <c r="E239" s="551"/>
      <c r="F239" s="488" t="s">
        <v>225</v>
      </c>
      <c r="G239" s="551" t="s">
        <v>563</v>
      </c>
      <c r="H239" s="489" t="s">
        <v>531</v>
      </c>
      <c r="I239" s="145">
        <f t="shared" si="12"/>
        <v>0</v>
      </c>
      <c r="J239" s="149"/>
      <c r="K239" s="617">
        <f>25000-25000</f>
        <v>0</v>
      </c>
      <c r="L239" s="446"/>
      <c r="M239" s="446"/>
      <c r="N239" s="2"/>
      <c r="O239"/>
      <c r="P239"/>
      <c r="Q239"/>
      <c r="R239"/>
      <c r="S239"/>
      <c r="T239"/>
      <c r="U239"/>
    </row>
    <row r="240" spans="1:21" ht="12" thickBot="1" x14ac:dyDescent="0.25">
      <c r="A240">
        <v>1</v>
      </c>
      <c r="B240" s="603" t="s">
        <v>1082</v>
      </c>
      <c r="C240" s="399"/>
      <c r="D240" s="399"/>
      <c r="E240" s="399"/>
      <c r="F240" s="410" t="s">
        <v>225</v>
      </c>
      <c r="G240" s="444" t="s">
        <v>563</v>
      </c>
      <c r="H240" s="690" t="s">
        <v>1109</v>
      </c>
      <c r="I240" s="751">
        <f t="shared" si="12"/>
        <v>50000</v>
      </c>
      <c r="J240" s="487"/>
      <c r="K240" s="731">
        <f>200000-100000-30000-20000</f>
        <v>50000</v>
      </c>
      <c r="L240" s="412"/>
      <c r="M240" s="412"/>
      <c r="N240" s="2" t="s">
        <v>1100</v>
      </c>
      <c r="O240" s="898"/>
      <c r="P240" s="9"/>
      <c r="Q240" s="9"/>
      <c r="R240" s="9">
        <v>20000</v>
      </c>
      <c r="S240" s="9"/>
      <c r="T240" s="9"/>
      <c r="U240" s="9"/>
    </row>
    <row r="241" spans="1:18" ht="23.4" thickTop="1" x14ac:dyDescent="0.2">
      <c r="A241">
        <v>1</v>
      </c>
      <c r="B241" s="603" t="s">
        <v>1081</v>
      </c>
      <c r="C241" s="402"/>
      <c r="D241" s="402"/>
      <c r="E241" s="402"/>
      <c r="F241" s="403" t="s">
        <v>240</v>
      </c>
      <c r="G241" s="402" t="s">
        <v>241</v>
      </c>
      <c r="H241" s="696" t="s">
        <v>842</v>
      </c>
      <c r="I241" s="757">
        <f t="shared" si="12"/>
        <v>1700</v>
      </c>
      <c r="J241" s="485"/>
      <c r="K241" s="684">
        <v>1700</v>
      </c>
      <c r="L241" s="406"/>
      <c r="M241" s="406"/>
      <c r="N241" s="3" t="s">
        <v>843</v>
      </c>
      <c r="R241">
        <v>1000</v>
      </c>
    </row>
    <row r="242" spans="1:18" ht="22.8" hidden="1" x14ac:dyDescent="0.2">
      <c r="A242">
        <v>2</v>
      </c>
      <c r="B242" s="603" t="s">
        <v>1081</v>
      </c>
      <c r="C242" s="124"/>
      <c r="D242" s="124"/>
      <c r="E242" s="124"/>
      <c r="F242" s="141" t="s">
        <v>240</v>
      </c>
      <c r="G242" s="124" t="s">
        <v>241</v>
      </c>
      <c r="H242" s="151" t="s">
        <v>844</v>
      </c>
      <c r="I242" s="139">
        <f t="shared" si="12"/>
        <v>3000</v>
      </c>
      <c r="J242" s="149"/>
      <c r="K242" s="139">
        <v>3000</v>
      </c>
      <c r="L242" s="132"/>
      <c r="M242" s="132"/>
      <c r="O242"/>
      <c r="R242">
        <v>2000</v>
      </c>
    </row>
    <row r="243" spans="1:18" ht="22.8" hidden="1" x14ac:dyDescent="0.2">
      <c r="A243">
        <v>2</v>
      </c>
      <c r="B243" s="603" t="s">
        <v>1081</v>
      </c>
      <c r="C243" s="445"/>
      <c r="D243" s="445"/>
      <c r="E243" s="445"/>
      <c r="F243" s="141" t="s">
        <v>240</v>
      </c>
      <c r="G243" s="124" t="s">
        <v>241</v>
      </c>
      <c r="H243" s="151" t="s">
        <v>889</v>
      </c>
      <c r="I243" s="538">
        <f>K243</f>
        <v>500</v>
      </c>
      <c r="J243" s="149"/>
      <c r="K243" s="538">
        <v>500</v>
      </c>
      <c r="L243" s="446"/>
      <c r="M243" s="446"/>
      <c r="N243" s="3" t="s">
        <v>841</v>
      </c>
      <c r="O243"/>
    </row>
    <row r="244" spans="1:18" ht="12" thickBot="1" x14ac:dyDescent="0.25">
      <c r="A244">
        <v>1</v>
      </c>
      <c r="B244" s="603" t="s">
        <v>1081</v>
      </c>
      <c r="C244" s="399"/>
      <c r="D244" s="399"/>
      <c r="E244" s="399"/>
      <c r="F244" s="410" t="s">
        <v>240</v>
      </c>
      <c r="G244" s="399" t="s">
        <v>241</v>
      </c>
      <c r="H244" s="697" t="s">
        <v>1102</v>
      </c>
      <c r="I244" s="751">
        <f>K244</f>
        <v>6500</v>
      </c>
      <c r="J244" s="487"/>
      <c r="K244" s="691">
        <v>6500</v>
      </c>
      <c r="L244" s="412"/>
      <c r="M244" s="412"/>
      <c r="N244" s="367" t="s">
        <v>848</v>
      </c>
    </row>
    <row r="245" spans="1:18" ht="12" hidden="1" thickTop="1" x14ac:dyDescent="0.2">
      <c r="A245">
        <v>2</v>
      </c>
      <c r="B245" s="603" t="s">
        <v>1082</v>
      </c>
      <c r="C245" s="124"/>
      <c r="D245" s="124"/>
      <c r="E245" s="124"/>
      <c r="F245" s="141" t="s">
        <v>227</v>
      </c>
      <c r="G245" s="124" t="s">
        <v>210</v>
      </c>
      <c r="H245" s="151" t="s">
        <v>868</v>
      </c>
      <c r="I245" s="139">
        <f>K245</f>
        <v>5000</v>
      </c>
      <c r="J245" s="149"/>
      <c r="K245" s="537">
        <v>5000</v>
      </c>
      <c r="L245" s="132"/>
      <c r="M245" s="132"/>
      <c r="N245" s="3" t="s">
        <v>881</v>
      </c>
      <c r="O245"/>
    </row>
    <row r="246" spans="1:18" ht="34.799999999999997" hidden="1" thickTop="1" x14ac:dyDescent="0.2">
      <c r="A246">
        <v>2</v>
      </c>
      <c r="B246" s="603" t="s">
        <v>1082</v>
      </c>
      <c r="C246" s="124"/>
      <c r="D246" s="124"/>
      <c r="E246" s="124"/>
      <c r="F246" s="141" t="s">
        <v>227</v>
      </c>
      <c r="G246" s="124" t="s">
        <v>210</v>
      </c>
      <c r="H246" s="151" t="s">
        <v>880</v>
      </c>
      <c r="I246" s="139">
        <f>K246</f>
        <v>9500</v>
      </c>
      <c r="J246" s="149"/>
      <c r="K246" s="537">
        <v>9500</v>
      </c>
      <c r="L246" s="132"/>
      <c r="M246" s="132"/>
      <c r="N246" s="3"/>
      <c r="O246"/>
    </row>
    <row r="247" spans="1:18" ht="12" hidden="1" thickTop="1" x14ac:dyDescent="0.2">
      <c r="A247">
        <v>3</v>
      </c>
      <c r="B247" s="603" t="s">
        <v>1082</v>
      </c>
      <c r="C247" s="124"/>
      <c r="D247" s="124"/>
      <c r="E247" s="124"/>
      <c r="F247" s="141" t="s">
        <v>227</v>
      </c>
      <c r="G247" s="124" t="s">
        <v>210</v>
      </c>
      <c r="H247" s="142" t="s">
        <v>524</v>
      </c>
      <c r="I247" s="139">
        <f>SUM(K247:M247)</f>
        <v>20000</v>
      </c>
      <c r="J247" s="149"/>
      <c r="K247" s="145">
        <v>20000</v>
      </c>
      <c r="L247" s="132"/>
      <c r="M247" s="132"/>
      <c r="N247" s="3" t="s">
        <v>870</v>
      </c>
      <c r="O247"/>
      <c r="R247">
        <v>21750</v>
      </c>
    </row>
    <row r="248" spans="1:18" ht="12" thickTop="1" x14ac:dyDescent="0.2">
      <c r="A248">
        <v>1</v>
      </c>
      <c r="B248" s="603" t="s">
        <v>1082</v>
      </c>
      <c r="C248" s="124"/>
      <c r="D248" s="124"/>
      <c r="E248" s="124"/>
      <c r="F248" s="141" t="s">
        <v>227</v>
      </c>
      <c r="G248" s="124" t="s">
        <v>210</v>
      </c>
      <c r="H248" s="657" t="s">
        <v>869</v>
      </c>
      <c r="I248" s="484">
        <f>SUM(K248:M248)</f>
        <v>36000</v>
      </c>
      <c r="J248" s="485"/>
      <c r="K248" s="486">
        <v>36000</v>
      </c>
      <c r="L248" s="132"/>
      <c r="M248" s="132"/>
      <c r="N248" s="3"/>
    </row>
    <row r="249" spans="1:18" x14ac:dyDescent="0.2">
      <c r="A249">
        <v>1</v>
      </c>
      <c r="B249" s="603" t="s">
        <v>1082</v>
      </c>
      <c r="C249" s="124"/>
      <c r="D249" s="124"/>
      <c r="E249" s="124"/>
      <c r="F249" s="141" t="s">
        <v>227</v>
      </c>
      <c r="G249" s="124" t="s">
        <v>210</v>
      </c>
      <c r="H249" s="657" t="s">
        <v>878</v>
      </c>
      <c r="I249" s="484">
        <f>SUM(K249:M249)</f>
        <v>12000</v>
      </c>
      <c r="J249" s="485"/>
      <c r="K249" s="486">
        <v>12000</v>
      </c>
      <c r="L249" s="132"/>
      <c r="M249" s="132"/>
      <c r="N249" s="3" t="s">
        <v>873</v>
      </c>
    </row>
    <row r="250" spans="1:18" ht="34.200000000000003" hidden="1" x14ac:dyDescent="0.2">
      <c r="A250">
        <v>3</v>
      </c>
      <c r="B250" s="603" t="s">
        <v>1082</v>
      </c>
      <c r="C250" s="124"/>
      <c r="D250" s="124"/>
      <c r="E250" s="124"/>
      <c r="F250" s="141" t="s">
        <v>227</v>
      </c>
      <c r="G250" s="124" t="s">
        <v>210</v>
      </c>
      <c r="H250" s="142" t="s">
        <v>879</v>
      </c>
      <c r="I250" s="145">
        <f>K250</f>
        <v>425000</v>
      </c>
      <c r="J250" s="149"/>
      <c r="K250" s="145">
        <v>425000</v>
      </c>
      <c r="L250" s="395"/>
      <c r="M250" s="395"/>
      <c r="N250" s="79"/>
      <c r="O250"/>
    </row>
    <row r="251" spans="1:18" ht="13.95" hidden="1" customHeight="1" x14ac:dyDescent="0.2">
      <c r="A251">
        <v>3</v>
      </c>
      <c r="B251" s="603" t="s">
        <v>1082</v>
      </c>
      <c r="C251" s="124"/>
      <c r="D251" s="124"/>
      <c r="E251" s="124"/>
      <c r="F251" s="141" t="s">
        <v>227</v>
      </c>
      <c r="G251" s="124" t="s">
        <v>210</v>
      </c>
      <c r="H251" s="142" t="s">
        <v>874</v>
      </c>
      <c r="I251" s="139">
        <f>SUM(K251:M251)</f>
        <v>32000</v>
      </c>
      <c r="J251" s="149"/>
      <c r="K251" s="145">
        <v>32000</v>
      </c>
      <c r="L251" s="132"/>
      <c r="M251" s="132"/>
      <c r="N251" s="3" t="s">
        <v>875</v>
      </c>
      <c r="O251"/>
    </row>
    <row r="252" spans="1:18" ht="22.8" hidden="1" x14ac:dyDescent="0.2">
      <c r="A252">
        <v>2</v>
      </c>
      <c r="B252" s="603" t="s">
        <v>1082</v>
      </c>
      <c r="C252" s="124"/>
      <c r="D252" s="124"/>
      <c r="E252" s="124"/>
      <c r="F252" s="141" t="s">
        <v>227</v>
      </c>
      <c r="G252" s="124" t="s">
        <v>210</v>
      </c>
      <c r="H252" s="142" t="s">
        <v>876</v>
      </c>
      <c r="I252" s="139">
        <f>SUM(K252:M252)</f>
        <v>6000</v>
      </c>
      <c r="J252" s="149"/>
      <c r="K252" s="145">
        <v>6000</v>
      </c>
      <c r="L252" s="132"/>
      <c r="M252" s="132"/>
      <c r="N252" s="3"/>
      <c r="O252"/>
    </row>
    <row r="253" spans="1:18" hidden="1" x14ac:dyDescent="0.2">
      <c r="A253">
        <v>2</v>
      </c>
      <c r="B253" s="603" t="s">
        <v>1082</v>
      </c>
      <c r="C253" s="124"/>
      <c r="D253" s="124"/>
      <c r="E253" s="124"/>
      <c r="F253" s="141" t="s">
        <v>227</v>
      </c>
      <c r="G253" s="124" t="s">
        <v>210</v>
      </c>
      <c r="H253" s="142" t="s">
        <v>871</v>
      </c>
      <c r="I253" s="139">
        <f>SUM(K253:M253)</f>
        <v>6000</v>
      </c>
      <c r="J253" s="149"/>
      <c r="K253" s="145">
        <v>6000</v>
      </c>
      <c r="L253" s="132"/>
      <c r="M253" s="132"/>
      <c r="N253" s="3"/>
      <c r="O253"/>
    </row>
    <row r="254" spans="1:18" ht="22.8" hidden="1" x14ac:dyDescent="0.2">
      <c r="A254">
        <v>3</v>
      </c>
      <c r="B254" s="603" t="s">
        <v>1082</v>
      </c>
      <c r="C254" s="445"/>
      <c r="D254" s="445"/>
      <c r="E254" s="445"/>
      <c r="F254" s="488" t="s">
        <v>227</v>
      </c>
      <c r="G254" s="445" t="s">
        <v>210</v>
      </c>
      <c r="H254" s="489" t="s">
        <v>872</v>
      </c>
      <c r="I254" s="538">
        <f>SUM(K254:M254)</f>
        <v>15000</v>
      </c>
      <c r="J254" s="149"/>
      <c r="K254" s="542">
        <v>15000</v>
      </c>
      <c r="L254" s="446"/>
      <c r="M254" s="446"/>
      <c r="N254" s="3"/>
      <c r="O254"/>
    </row>
    <row r="255" spans="1:18" ht="18" customHeight="1" thickBot="1" x14ac:dyDescent="0.25">
      <c r="A255">
        <v>1</v>
      </c>
      <c r="B255" s="603" t="s">
        <v>1082</v>
      </c>
      <c r="C255" s="503"/>
      <c r="D255" s="503"/>
      <c r="E255" s="503"/>
      <c r="F255" s="504" t="s">
        <v>227</v>
      </c>
      <c r="G255" s="503" t="s">
        <v>210</v>
      </c>
      <c r="H255" s="732" t="s">
        <v>1108</v>
      </c>
      <c r="I255" s="733">
        <f>SUM(K255:M255)</f>
        <v>70000</v>
      </c>
      <c r="J255" s="734"/>
      <c r="K255" s="735">
        <f>250000-180000</f>
        <v>70000</v>
      </c>
      <c r="L255" s="506"/>
      <c r="M255" s="506"/>
      <c r="N255" s="2" t="s">
        <v>1100</v>
      </c>
    </row>
    <row r="256" spans="1:18" ht="12" hidden="1" thickTop="1" x14ac:dyDescent="0.2">
      <c r="A256">
        <v>2</v>
      </c>
      <c r="B256" s="603" t="s">
        <v>1081</v>
      </c>
      <c r="C256" s="402"/>
      <c r="D256" s="402"/>
      <c r="E256" s="402"/>
      <c r="F256" s="403" t="s">
        <v>228</v>
      </c>
      <c r="G256" s="402" t="s">
        <v>564</v>
      </c>
      <c r="H256" s="404" t="s">
        <v>785</v>
      </c>
      <c r="I256" s="405">
        <f t="shared" ref="I256:I261" si="13">SUM(K256:M256)</f>
        <v>15000</v>
      </c>
      <c r="J256" s="149"/>
      <c r="K256" s="616">
        <v>15000</v>
      </c>
      <c r="L256" s="406"/>
      <c r="M256" s="406"/>
      <c r="N256" s="3" t="s">
        <v>786</v>
      </c>
      <c r="O256"/>
      <c r="R256">
        <v>6000</v>
      </c>
    </row>
    <row r="257" spans="1:18" ht="12.6" thickTop="1" thickBot="1" x14ac:dyDescent="0.25">
      <c r="A257">
        <v>1</v>
      </c>
      <c r="B257" s="603" t="s">
        <v>1081</v>
      </c>
      <c r="C257" s="399"/>
      <c r="D257" s="399"/>
      <c r="E257" s="399"/>
      <c r="F257" s="410" t="s">
        <v>228</v>
      </c>
      <c r="G257" s="399" t="s">
        <v>564</v>
      </c>
      <c r="H257" s="690" t="s">
        <v>788</v>
      </c>
      <c r="I257" s="691">
        <f t="shared" si="13"/>
        <v>9000</v>
      </c>
      <c r="J257" s="487"/>
      <c r="K257" s="695">
        <f>1500*6</f>
        <v>9000</v>
      </c>
      <c r="L257" s="412"/>
      <c r="M257" s="412"/>
      <c r="N257" s="3" t="s">
        <v>787</v>
      </c>
    </row>
    <row r="258" spans="1:18" ht="12" hidden="1" thickTop="1" x14ac:dyDescent="0.2">
      <c r="A258">
        <v>2</v>
      </c>
      <c r="B258" s="603" t="s">
        <v>1082</v>
      </c>
      <c r="C258" s="124"/>
      <c r="D258" s="124"/>
      <c r="E258" s="124"/>
      <c r="F258" s="141" t="s">
        <v>249</v>
      </c>
      <c r="G258" s="124" t="s">
        <v>937</v>
      </c>
      <c r="H258" s="142" t="s">
        <v>865</v>
      </c>
      <c r="I258" s="139">
        <f t="shared" si="13"/>
        <v>12600</v>
      </c>
      <c r="J258" s="149"/>
      <c r="K258" s="145">
        <v>12600</v>
      </c>
      <c r="L258" s="132"/>
      <c r="M258" s="132"/>
      <c r="O258"/>
      <c r="R258">
        <v>3000</v>
      </c>
    </row>
    <row r="259" spans="1:18" ht="27.6" hidden="1" customHeight="1" x14ac:dyDescent="0.2">
      <c r="A259">
        <v>2</v>
      </c>
      <c r="B259" s="603" t="s">
        <v>1082</v>
      </c>
      <c r="C259" s="445"/>
      <c r="D259" s="445"/>
      <c r="E259" s="445"/>
      <c r="F259" s="488" t="s">
        <v>249</v>
      </c>
      <c r="G259" s="445" t="s">
        <v>937</v>
      </c>
      <c r="H259" s="489" t="s">
        <v>938</v>
      </c>
      <c r="I259" s="538">
        <f>SUM(K259:M259)</f>
        <v>9000</v>
      </c>
      <c r="J259" s="149"/>
      <c r="K259" s="542">
        <v>9000</v>
      </c>
      <c r="L259" s="446"/>
      <c r="M259" s="446"/>
      <c r="O259"/>
    </row>
    <row r="260" spans="1:18" ht="12.6" hidden="1" thickTop="1" thickBot="1" x14ac:dyDescent="0.25">
      <c r="A260">
        <v>2</v>
      </c>
      <c r="B260" s="603" t="s">
        <v>1082</v>
      </c>
      <c r="C260" s="399"/>
      <c r="D260" s="399"/>
      <c r="E260" s="399"/>
      <c r="F260" s="410" t="s">
        <v>249</v>
      </c>
      <c r="G260" s="399" t="s">
        <v>937</v>
      </c>
      <c r="H260" s="400" t="s">
        <v>866</v>
      </c>
      <c r="I260" s="415">
        <f t="shared" si="13"/>
        <v>10000</v>
      </c>
      <c r="J260" s="411"/>
      <c r="K260" s="415">
        <v>10000</v>
      </c>
      <c r="L260" s="412"/>
      <c r="M260" s="412"/>
      <c r="N260" s="120" t="s">
        <v>867</v>
      </c>
      <c r="O260"/>
      <c r="R260">
        <v>1500</v>
      </c>
    </row>
    <row r="261" spans="1:18" ht="12" hidden="1" thickTop="1" x14ac:dyDescent="0.2">
      <c r="A261">
        <v>3</v>
      </c>
      <c r="B261" s="603" t="s">
        <v>344</v>
      </c>
      <c r="C261" s="402"/>
      <c r="D261" s="402"/>
      <c r="E261" s="402"/>
      <c r="F261" s="403" t="s">
        <v>349</v>
      </c>
      <c r="G261" s="402" t="s">
        <v>307</v>
      </c>
      <c r="H261" s="404" t="s">
        <v>529</v>
      </c>
      <c r="I261" s="405">
        <f t="shared" si="13"/>
        <v>3000</v>
      </c>
      <c r="J261" s="149"/>
      <c r="K261" s="405">
        <v>3000</v>
      </c>
      <c r="L261" s="406"/>
      <c r="M261" s="406"/>
      <c r="O261"/>
      <c r="R261">
        <v>16500</v>
      </c>
    </row>
    <row r="262" spans="1:18" ht="12" hidden="1" thickTop="1" x14ac:dyDescent="0.2">
      <c r="A262">
        <v>3</v>
      </c>
      <c r="B262" s="603" t="s">
        <v>344</v>
      </c>
      <c r="C262" s="402"/>
      <c r="D262" s="402"/>
      <c r="E262" s="402"/>
      <c r="F262" s="403" t="s">
        <v>349</v>
      </c>
      <c r="G262" s="402" t="s">
        <v>307</v>
      </c>
      <c r="H262" s="404" t="s">
        <v>939</v>
      </c>
      <c r="I262" s="405">
        <f t="shared" ref="I262:I270" si="14">SUM(K262:M262)</f>
        <v>15000</v>
      </c>
      <c r="J262" s="149"/>
      <c r="K262" s="405">
        <v>15000</v>
      </c>
      <c r="L262" s="406"/>
      <c r="M262" s="406"/>
      <c r="O262"/>
    </row>
    <row r="263" spans="1:18" ht="23.4" hidden="1" thickTop="1" x14ac:dyDescent="0.2">
      <c r="A263">
        <v>2</v>
      </c>
      <c r="B263" s="603" t="s">
        <v>344</v>
      </c>
      <c r="C263" s="402"/>
      <c r="D263" s="402"/>
      <c r="E263" s="402"/>
      <c r="F263" s="403" t="s">
        <v>349</v>
      </c>
      <c r="G263" s="402" t="s">
        <v>307</v>
      </c>
      <c r="H263" s="404" t="s">
        <v>862</v>
      </c>
      <c r="I263" s="405">
        <f t="shared" si="14"/>
        <v>2450.64</v>
      </c>
      <c r="J263" s="149"/>
      <c r="K263" s="405">
        <v>2450.64</v>
      </c>
      <c r="L263" s="406"/>
      <c r="M263" s="406"/>
      <c r="O263"/>
    </row>
    <row r="264" spans="1:18" ht="12" thickTop="1" x14ac:dyDescent="0.2">
      <c r="A264">
        <v>1</v>
      </c>
      <c r="C264" s="402"/>
      <c r="D264" s="402"/>
      <c r="E264" s="402"/>
      <c r="F264" s="403" t="s">
        <v>349</v>
      </c>
      <c r="G264" s="737" t="s">
        <v>307</v>
      </c>
      <c r="H264" s="682" t="s">
        <v>1133</v>
      </c>
      <c r="I264" s="684">
        <f t="shared" si="14"/>
        <v>57232</v>
      </c>
      <c r="J264" s="485"/>
      <c r="K264" s="684">
        <v>57232</v>
      </c>
      <c r="L264" s="406"/>
      <c r="M264" s="406"/>
    </row>
    <row r="265" spans="1:18" ht="22.8" x14ac:dyDescent="0.2">
      <c r="A265">
        <v>1</v>
      </c>
      <c r="B265" s="603" t="s">
        <v>344</v>
      </c>
      <c r="C265" s="402"/>
      <c r="D265" s="402"/>
      <c r="E265" s="402"/>
      <c r="F265" s="403" t="s">
        <v>349</v>
      </c>
      <c r="G265" s="737" t="s">
        <v>307</v>
      </c>
      <c r="H265" s="682" t="s">
        <v>863</v>
      </c>
      <c r="I265" s="684">
        <f t="shared" si="14"/>
        <v>2014.65</v>
      </c>
      <c r="J265" s="485"/>
      <c r="K265" s="684">
        <v>2014.65</v>
      </c>
      <c r="L265" s="406"/>
      <c r="M265" s="406"/>
    </row>
    <row r="266" spans="1:18" x14ac:dyDescent="0.2">
      <c r="A266">
        <v>1</v>
      </c>
      <c r="B266" s="603" t="s">
        <v>344</v>
      </c>
      <c r="C266" s="402"/>
      <c r="D266" s="402"/>
      <c r="E266" s="402"/>
      <c r="F266" s="403" t="s">
        <v>349</v>
      </c>
      <c r="G266" s="737" t="s">
        <v>307</v>
      </c>
      <c r="H266" s="682" t="s">
        <v>1128</v>
      </c>
      <c r="I266" s="684">
        <f t="shared" si="14"/>
        <v>624.29999999999995</v>
      </c>
      <c r="J266" s="485"/>
      <c r="K266" s="684">
        <v>624.29999999999995</v>
      </c>
      <c r="L266" s="406"/>
      <c r="M266" s="406"/>
    </row>
    <row r="267" spans="1:18" x14ac:dyDescent="0.2">
      <c r="A267">
        <v>1</v>
      </c>
      <c r="B267" s="603" t="s">
        <v>344</v>
      </c>
      <c r="C267" s="402"/>
      <c r="D267" s="402"/>
      <c r="E267" s="402"/>
      <c r="F267" s="403" t="s">
        <v>349</v>
      </c>
      <c r="G267" s="737" t="s">
        <v>307</v>
      </c>
      <c r="H267" s="682" t="s">
        <v>1129</v>
      </c>
      <c r="I267" s="684">
        <f t="shared" si="14"/>
        <v>710.19999999999993</v>
      </c>
      <c r="J267" s="485"/>
      <c r="K267" s="684">
        <v>710.19999999999993</v>
      </c>
      <c r="L267" s="406"/>
      <c r="M267" s="406"/>
    </row>
    <row r="268" spans="1:18" x14ac:dyDescent="0.2">
      <c r="A268">
        <v>1</v>
      </c>
      <c r="B268" s="603" t="s">
        <v>344</v>
      </c>
      <c r="C268" s="402"/>
      <c r="D268" s="402"/>
      <c r="E268" s="402"/>
      <c r="F268" s="403" t="s">
        <v>349</v>
      </c>
      <c r="G268" s="737" t="s">
        <v>307</v>
      </c>
      <c r="H268" s="682" t="s">
        <v>1130</v>
      </c>
      <c r="I268" s="684">
        <f t="shared" si="14"/>
        <v>2429.04</v>
      </c>
      <c r="J268" s="485"/>
      <c r="K268" s="684">
        <v>2429.04</v>
      </c>
      <c r="L268" s="406"/>
      <c r="M268" s="406"/>
    </row>
    <row r="269" spans="1:18" hidden="1" x14ac:dyDescent="0.2">
      <c r="A269">
        <v>2</v>
      </c>
      <c r="B269" s="603" t="s">
        <v>344</v>
      </c>
      <c r="C269" s="402"/>
      <c r="D269" s="402"/>
      <c r="E269" s="402"/>
      <c r="F269" s="403" t="s">
        <v>349</v>
      </c>
      <c r="G269" s="402" t="s">
        <v>307</v>
      </c>
      <c r="H269" s="404" t="s">
        <v>1131</v>
      </c>
      <c r="I269" s="405">
        <f t="shared" si="14"/>
        <v>1690.08</v>
      </c>
      <c r="J269" s="149"/>
      <c r="K269" s="405">
        <v>1690.08</v>
      </c>
      <c r="L269" s="406"/>
      <c r="M269" s="406"/>
      <c r="O269"/>
    </row>
    <row r="270" spans="1:18" ht="12" hidden="1" thickBot="1" x14ac:dyDescent="0.25">
      <c r="A270">
        <v>2</v>
      </c>
      <c r="B270" s="603" t="s">
        <v>344</v>
      </c>
      <c r="C270" s="424"/>
      <c r="D270" s="424"/>
      <c r="E270" s="424"/>
      <c r="F270" s="441" t="s">
        <v>349</v>
      </c>
      <c r="G270" s="424" t="s">
        <v>307</v>
      </c>
      <c r="H270" s="442" t="s">
        <v>1132</v>
      </c>
      <c r="I270" s="540">
        <f t="shared" si="14"/>
        <v>1582.6</v>
      </c>
      <c r="J270" s="411"/>
      <c r="K270" s="540">
        <v>1582.6</v>
      </c>
      <c r="L270" s="443"/>
      <c r="M270" s="443"/>
      <c r="O270"/>
    </row>
    <row r="271" spans="1:18" hidden="1" x14ac:dyDescent="0.2">
      <c r="A271">
        <v>0</v>
      </c>
      <c r="C271" s="130"/>
      <c r="D271" s="130"/>
      <c r="E271" s="130"/>
      <c r="F271" s="214"/>
      <c r="G271" s="214"/>
      <c r="H271" s="131" t="s">
        <v>570</v>
      </c>
      <c r="I271" s="419"/>
      <c r="J271" s="440"/>
      <c r="K271" s="420"/>
      <c r="L271" s="420"/>
      <c r="M271" s="420"/>
      <c r="O271"/>
    </row>
    <row r="272" spans="1:18" s="9" customFormat="1" hidden="1" x14ac:dyDescent="0.2">
      <c r="A272" s="9">
        <v>2</v>
      </c>
      <c r="B272" s="603" t="s">
        <v>1081</v>
      </c>
      <c r="C272" s="147"/>
      <c r="D272" s="147"/>
      <c r="E272" s="147"/>
      <c r="F272" s="147" t="s">
        <v>303</v>
      </c>
      <c r="G272" s="147" t="s">
        <v>303</v>
      </c>
      <c r="H272" s="142" t="s">
        <v>950</v>
      </c>
      <c r="I272" s="139">
        <f>SUM(K272:M272)</f>
        <v>10000</v>
      </c>
      <c r="J272" s="149"/>
      <c r="K272" s="139">
        <v>10000</v>
      </c>
      <c r="L272" s="139"/>
      <c r="M272" s="139"/>
      <c r="N272" s="2"/>
    </row>
    <row r="273" spans="1:18" s="9" customFormat="1" x14ac:dyDescent="0.2">
      <c r="A273" s="9">
        <v>1</v>
      </c>
      <c r="B273" s="603" t="s">
        <v>1081</v>
      </c>
      <c r="C273" s="147"/>
      <c r="D273" s="147"/>
      <c r="E273" s="147"/>
      <c r="F273" s="147" t="s">
        <v>303</v>
      </c>
      <c r="G273" s="147" t="s">
        <v>303</v>
      </c>
      <c r="H273" s="657" t="s">
        <v>951</v>
      </c>
      <c r="I273" s="743">
        <f>SUM(K273:M273)</f>
        <v>3000</v>
      </c>
      <c r="J273" s="485"/>
      <c r="K273" s="484">
        <v>3000</v>
      </c>
      <c r="L273" s="139"/>
      <c r="M273" s="139"/>
      <c r="N273" s="2"/>
      <c r="O273" s="898"/>
    </row>
    <row r="274" spans="1:18" s="9" customFormat="1" x14ac:dyDescent="0.2">
      <c r="A274" s="9">
        <v>1</v>
      </c>
      <c r="B274" s="603" t="s">
        <v>344</v>
      </c>
      <c r="C274" s="147"/>
      <c r="D274" s="147"/>
      <c r="E274" s="147"/>
      <c r="F274" s="147" t="s">
        <v>303</v>
      </c>
      <c r="G274" s="147" t="s">
        <v>303</v>
      </c>
      <c r="H274" s="657" t="s">
        <v>952</v>
      </c>
      <c r="I274" s="743">
        <f>SUM(K274:M274)</f>
        <v>3000</v>
      </c>
      <c r="J274" s="485"/>
      <c r="K274" s="484">
        <v>3000</v>
      </c>
      <c r="L274" s="139"/>
      <c r="M274" s="139"/>
      <c r="N274" s="2"/>
      <c r="O274" s="898"/>
    </row>
    <row r="275" spans="1:18" s="9" customFormat="1" x14ac:dyDescent="0.2">
      <c r="A275" s="9">
        <v>1</v>
      </c>
      <c r="B275" s="603" t="s">
        <v>1081</v>
      </c>
      <c r="C275" s="147"/>
      <c r="D275" s="147"/>
      <c r="E275" s="147"/>
      <c r="F275" s="147" t="s">
        <v>303</v>
      </c>
      <c r="G275" s="147" t="s">
        <v>303</v>
      </c>
      <c r="H275" s="657" t="s">
        <v>1030</v>
      </c>
      <c r="I275" s="743">
        <f>SUM(K275:M275)</f>
        <v>5920</v>
      </c>
      <c r="J275" s="485"/>
      <c r="K275" s="484">
        <v>5920</v>
      </c>
      <c r="L275" s="139"/>
      <c r="M275" s="139"/>
      <c r="N275" s="2" t="s">
        <v>1110</v>
      </c>
      <c r="O275" s="898">
        <v>5699.1</v>
      </c>
    </row>
    <row r="276" spans="1:18" s="9" customFormat="1" hidden="1" x14ac:dyDescent="0.2">
      <c r="A276" s="9">
        <v>3</v>
      </c>
      <c r="B276" s="603" t="s">
        <v>1082</v>
      </c>
      <c r="C276" s="147"/>
      <c r="D276" s="147"/>
      <c r="E276" s="147"/>
      <c r="F276" s="147" t="s">
        <v>303</v>
      </c>
      <c r="G276" s="147" t="s">
        <v>303</v>
      </c>
      <c r="H276" s="142" t="s">
        <v>1025</v>
      </c>
      <c r="I276" s="139">
        <f>SUM(K276:M276)</f>
        <v>9900</v>
      </c>
      <c r="J276" s="149"/>
      <c r="K276" s="139">
        <v>9900</v>
      </c>
      <c r="L276" s="139"/>
      <c r="M276" s="139"/>
      <c r="N276" s="2"/>
    </row>
    <row r="277" spans="1:18" s="9" customFormat="1" x14ac:dyDescent="0.2">
      <c r="A277" s="9">
        <v>1</v>
      </c>
      <c r="B277" s="603" t="s">
        <v>1082</v>
      </c>
      <c r="C277" s="147"/>
      <c r="D277" s="147"/>
      <c r="E277" s="147"/>
      <c r="F277" s="147" t="s">
        <v>303</v>
      </c>
      <c r="G277" s="147" t="s">
        <v>303</v>
      </c>
      <c r="H277" s="657" t="s">
        <v>1018</v>
      </c>
      <c r="I277" s="743">
        <f t="shared" ref="I277:I339" si="15">SUM(K277:M277)</f>
        <v>20000</v>
      </c>
      <c r="J277" s="485"/>
      <c r="K277" s="484">
        <v>20000</v>
      </c>
      <c r="L277" s="139"/>
      <c r="M277" s="139"/>
      <c r="N277" s="2"/>
      <c r="O277" s="898"/>
      <c r="R277" s="9">
        <v>19200</v>
      </c>
    </row>
    <row r="278" spans="1:18" s="9" customFormat="1" hidden="1" x14ac:dyDescent="0.2">
      <c r="A278" s="9">
        <v>2</v>
      </c>
      <c r="B278" s="603" t="s">
        <v>1082</v>
      </c>
      <c r="C278" s="147"/>
      <c r="D278" s="147"/>
      <c r="E278" s="147"/>
      <c r="F278" s="147" t="s">
        <v>303</v>
      </c>
      <c r="G278" s="147" t="s">
        <v>303</v>
      </c>
      <c r="H278" s="142" t="s">
        <v>1019</v>
      </c>
      <c r="I278" s="139">
        <f t="shared" si="15"/>
        <v>12000</v>
      </c>
      <c r="J278" s="149"/>
      <c r="K278" s="145">
        <v>12000</v>
      </c>
      <c r="L278" s="145"/>
      <c r="M278" s="145"/>
      <c r="N278" s="2" t="s">
        <v>1021</v>
      </c>
      <c r="R278" s="9">
        <v>600000</v>
      </c>
    </row>
    <row r="279" spans="1:18" s="9" customFormat="1" hidden="1" x14ac:dyDescent="0.2">
      <c r="A279" s="9">
        <v>3</v>
      </c>
      <c r="B279" s="603" t="s">
        <v>1082</v>
      </c>
      <c r="C279" s="147"/>
      <c r="D279" s="147"/>
      <c r="E279" s="147"/>
      <c r="F279" s="147" t="s">
        <v>303</v>
      </c>
      <c r="G279" s="147" t="s">
        <v>303</v>
      </c>
      <c r="H279" s="142" t="s">
        <v>947</v>
      </c>
      <c r="I279" s="139">
        <f t="shared" si="15"/>
        <v>5500</v>
      </c>
      <c r="J279" s="149"/>
      <c r="K279" s="139">
        <v>5500</v>
      </c>
      <c r="L279" s="139"/>
      <c r="M279" s="139"/>
      <c r="N279" s="2" t="s">
        <v>1022</v>
      </c>
      <c r="R279" s="9">
        <v>5000</v>
      </c>
    </row>
    <row r="280" spans="1:18" s="9" customFormat="1" hidden="1" x14ac:dyDescent="0.2">
      <c r="A280" s="9">
        <v>3</v>
      </c>
      <c r="B280" s="603" t="s">
        <v>1082</v>
      </c>
      <c r="C280" s="147"/>
      <c r="D280" s="147"/>
      <c r="E280" s="147"/>
      <c r="F280" s="147" t="s">
        <v>303</v>
      </c>
      <c r="G280" s="147" t="s">
        <v>303</v>
      </c>
      <c r="H280" s="142" t="s">
        <v>948</v>
      </c>
      <c r="I280" s="139">
        <f t="shared" si="15"/>
        <v>44111</v>
      </c>
      <c r="J280" s="149"/>
      <c r="K280" s="139">
        <v>44111</v>
      </c>
      <c r="L280" s="139"/>
      <c r="M280" s="139"/>
      <c r="N280" s="2" t="s">
        <v>1023</v>
      </c>
      <c r="R280" s="9">
        <v>9750</v>
      </c>
    </row>
    <row r="281" spans="1:18" s="9" customFormat="1" hidden="1" x14ac:dyDescent="0.2">
      <c r="A281" s="9">
        <v>2</v>
      </c>
      <c r="B281" s="603" t="s">
        <v>344</v>
      </c>
      <c r="C281" s="147"/>
      <c r="D281" s="147"/>
      <c r="E281" s="147"/>
      <c r="F281" s="147" t="s">
        <v>303</v>
      </c>
      <c r="G281" s="147" t="s">
        <v>303</v>
      </c>
      <c r="H281" s="142" t="s">
        <v>1020</v>
      </c>
      <c r="I281" s="139">
        <f t="shared" si="15"/>
        <v>15000</v>
      </c>
      <c r="J281" s="149"/>
      <c r="K281" s="624">
        <v>15000</v>
      </c>
      <c r="L281" s="139"/>
      <c r="M281" s="139"/>
      <c r="N281" s="2" t="s">
        <v>1021</v>
      </c>
    </row>
    <row r="282" spans="1:18" s="9" customFormat="1" x14ac:dyDescent="0.2">
      <c r="A282" s="9">
        <v>1</v>
      </c>
      <c r="B282" s="603" t="s">
        <v>1082</v>
      </c>
      <c r="C282" s="147"/>
      <c r="D282" s="147"/>
      <c r="E282" s="147"/>
      <c r="F282" s="147" t="s">
        <v>303</v>
      </c>
      <c r="G282" s="147" t="s">
        <v>303</v>
      </c>
      <c r="H282" s="657" t="s">
        <v>949</v>
      </c>
      <c r="I282" s="743">
        <f t="shared" si="15"/>
        <v>14000</v>
      </c>
      <c r="J282" s="485"/>
      <c r="K282" s="484">
        <v>14000</v>
      </c>
      <c r="L282" s="139"/>
      <c r="M282" s="139"/>
      <c r="N282" s="474" t="s">
        <v>1024</v>
      </c>
      <c r="O282" s="898"/>
    </row>
    <row r="283" spans="1:18" s="9" customFormat="1" x14ac:dyDescent="0.2">
      <c r="A283" s="9">
        <v>1</v>
      </c>
      <c r="B283" s="603" t="s">
        <v>344</v>
      </c>
      <c r="C283" s="147"/>
      <c r="D283" s="147"/>
      <c r="E283" s="147"/>
      <c r="F283" s="147" t="s">
        <v>303</v>
      </c>
      <c r="G283" s="147" t="s">
        <v>303</v>
      </c>
      <c r="H283" s="657" t="s">
        <v>1011</v>
      </c>
      <c r="I283" s="743">
        <f t="shared" si="15"/>
        <v>25000</v>
      </c>
      <c r="J283" s="485"/>
      <c r="K283" s="484">
        <v>25000</v>
      </c>
      <c r="L283" s="139"/>
      <c r="M283" s="139"/>
      <c r="N283" s="472" t="s">
        <v>1026</v>
      </c>
      <c r="O283" s="898"/>
    </row>
    <row r="284" spans="1:18" s="9" customFormat="1" hidden="1" x14ac:dyDescent="0.2">
      <c r="A284" s="9">
        <v>2</v>
      </c>
      <c r="B284" s="603" t="s">
        <v>1082</v>
      </c>
      <c r="C284" s="147"/>
      <c r="D284" s="147"/>
      <c r="E284" s="147"/>
      <c r="F284" s="147" t="s">
        <v>303</v>
      </c>
      <c r="G284" s="147" t="s">
        <v>303</v>
      </c>
      <c r="H284" s="142" t="s">
        <v>1012</v>
      </c>
      <c r="I284" s="139">
        <f t="shared" si="15"/>
        <v>71921</v>
      </c>
      <c r="J284" s="149"/>
      <c r="K284" s="139">
        <v>71921</v>
      </c>
      <c r="L284" s="139"/>
      <c r="M284" s="139"/>
      <c r="N284" s="473" t="s">
        <v>1027</v>
      </c>
    </row>
    <row r="285" spans="1:18" s="9" customFormat="1" hidden="1" x14ac:dyDescent="0.2">
      <c r="A285" s="9">
        <v>2</v>
      </c>
      <c r="B285" s="603" t="s">
        <v>344</v>
      </c>
      <c r="C285" s="147"/>
      <c r="D285" s="147"/>
      <c r="E285" s="147"/>
      <c r="F285" s="147" t="s">
        <v>303</v>
      </c>
      <c r="G285" s="147" t="s">
        <v>303</v>
      </c>
      <c r="H285" s="142" t="s">
        <v>1013</v>
      </c>
      <c r="I285" s="139">
        <f t="shared" si="15"/>
        <v>46100</v>
      </c>
      <c r="J285" s="149"/>
      <c r="K285" s="139">
        <v>46100</v>
      </c>
      <c r="L285" s="139"/>
      <c r="M285" s="139"/>
      <c r="N285" s="472" t="s">
        <v>1028</v>
      </c>
    </row>
    <row r="286" spans="1:18" s="9" customFormat="1" x14ac:dyDescent="0.2">
      <c r="A286" s="9">
        <v>1</v>
      </c>
      <c r="B286" s="603" t="s">
        <v>344</v>
      </c>
      <c r="C286" s="147"/>
      <c r="D286" s="147"/>
      <c r="E286" s="147"/>
      <c r="F286" s="147" t="s">
        <v>303</v>
      </c>
      <c r="G286" s="147" t="s">
        <v>303</v>
      </c>
      <c r="H286" s="657" t="s">
        <v>1136</v>
      </c>
      <c r="I286" s="743">
        <f t="shared" si="15"/>
        <v>26836</v>
      </c>
      <c r="J286" s="485"/>
      <c r="K286" s="484">
        <v>26836</v>
      </c>
      <c r="L286" s="139"/>
      <c r="M286" s="139"/>
      <c r="N286" s="472" t="s">
        <v>1029</v>
      </c>
      <c r="O286" s="898"/>
    </row>
    <row r="287" spans="1:18" s="9" customFormat="1" x14ac:dyDescent="0.2">
      <c r="A287" s="9">
        <v>1</v>
      </c>
      <c r="B287" s="603" t="s">
        <v>1082</v>
      </c>
      <c r="C287" s="147"/>
      <c r="D287" s="147"/>
      <c r="E287" s="147"/>
      <c r="F287" s="147" t="s">
        <v>303</v>
      </c>
      <c r="G287" s="147" t="s">
        <v>303</v>
      </c>
      <c r="H287" s="657" t="s">
        <v>995</v>
      </c>
      <c r="I287" s="743">
        <f t="shared" si="15"/>
        <v>30000</v>
      </c>
      <c r="J287" s="485"/>
      <c r="K287" s="484">
        <v>30000</v>
      </c>
      <c r="L287" s="139"/>
      <c r="M287" s="139"/>
      <c r="N287" s="472"/>
      <c r="O287" s="898"/>
    </row>
    <row r="288" spans="1:18" s="9" customFormat="1" x14ac:dyDescent="0.2">
      <c r="A288" s="9">
        <v>1</v>
      </c>
      <c r="B288" s="603" t="s">
        <v>1082</v>
      </c>
      <c r="C288" s="147"/>
      <c r="D288" s="147"/>
      <c r="E288" s="147"/>
      <c r="F288" s="147" t="s">
        <v>303</v>
      </c>
      <c r="G288" s="147" t="s">
        <v>303</v>
      </c>
      <c r="H288" s="657" t="s">
        <v>1080</v>
      </c>
      <c r="I288" s="743">
        <f t="shared" si="15"/>
        <v>0</v>
      </c>
      <c r="J288" s="485"/>
      <c r="K288" s="592">
        <f>330000-270000-60000</f>
        <v>0</v>
      </c>
      <c r="L288" s="139"/>
      <c r="M288" s="139"/>
      <c r="N288" s="2"/>
      <c r="O288" s="898"/>
      <c r="R288" s="9">
        <v>11000</v>
      </c>
    </row>
    <row r="289" spans="1:18" s="9" customFormat="1" x14ac:dyDescent="0.2">
      <c r="A289" s="9">
        <v>1</v>
      </c>
      <c r="B289" s="603" t="s">
        <v>1082</v>
      </c>
      <c r="C289" s="147"/>
      <c r="D289" s="147"/>
      <c r="E289" s="147"/>
      <c r="F289" s="147" t="s">
        <v>303</v>
      </c>
      <c r="G289" s="147" t="s">
        <v>303</v>
      </c>
      <c r="H289" s="657" t="s">
        <v>1103</v>
      </c>
      <c r="I289" s="743">
        <f t="shared" si="15"/>
        <v>13000</v>
      </c>
      <c r="J289" s="485"/>
      <c r="K289" s="484">
        <v>13000</v>
      </c>
      <c r="L289" s="139"/>
      <c r="M289" s="139"/>
      <c r="N289" s="2"/>
      <c r="O289" s="898"/>
    </row>
    <row r="290" spans="1:18" hidden="1" x14ac:dyDescent="0.2">
      <c r="A290" s="9">
        <v>0</v>
      </c>
      <c r="C290" s="130"/>
      <c r="D290" s="130"/>
      <c r="E290" s="130"/>
      <c r="F290" s="214"/>
      <c r="G290" s="214"/>
      <c r="H290" s="131" t="s">
        <v>571</v>
      </c>
      <c r="I290" s="419"/>
      <c r="J290" s="440"/>
      <c r="K290" s="420"/>
      <c r="L290" s="420"/>
      <c r="M290" s="420"/>
      <c r="O290"/>
    </row>
    <row r="291" spans="1:18" hidden="1" x14ac:dyDescent="0.2">
      <c r="A291" s="9">
        <v>0</v>
      </c>
      <c r="C291" s="124"/>
      <c r="D291" s="124"/>
      <c r="E291" s="124"/>
      <c r="F291" s="147" t="s">
        <v>303</v>
      </c>
      <c r="G291" s="147" t="s">
        <v>303</v>
      </c>
      <c r="H291" s="507" t="s">
        <v>953</v>
      </c>
      <c r="I291" s="508"/>
      <c r="J291" s="509"/>
      <c r="K291" s="508"/>
      <c r="L291" s="508"/>
      <c r="M291" s="508"/>
      <c r="O291"/>
    </row>
    <row r="292" spans="1:18" hidden="1" x14ac:dyDescent="0.2">
      <c r="A292" s="9">
        <v>2</v>
      </c>
      <c r="B292" s="603" t="s">
        <v>1081</v>
      </c>
      <c r="C292" s="124"/>
      <c r="D292" s="124"/>
      <c r="E292" s="124"/>
      <c r="F292" s="147" t="s">
        <v>303</v>
      </c>
      <c r="G292" s="147" t="s">
        <v>303</v>
      </c>
      <c r="H292" s="552" t="s">
        <v>955</v>
      </c>
      <c r="I292" s="484">
        <f t="shared" si="15"/>
        <v>60000</v>
      </c>
      <c r="J292" s="390"/>
      <c r="K292" s="484">
        <v>60000</v>
      </c>
      <c r="L292" s="132"/>
      <c r="M292" s="132"/>
      <c r="N292" s="516" t="s">
        <v>1032</v>
      </c>
      <c r="O292"/>
    </row>
    <row r="293" spans="1:18" hidden="1" x14ac:dyDescent="0.2">
      <c r="A293" s="9">
        <v>2</v>
      </c>
      <c r="B293" s="603" t="s">
        <v>1081</v>
      </c>
      <c r="C293" s="124"/>
      <c r="D293" s="124"/>
      <c r="E293" s="124"/>
      <c r="F293" s="147" t="s">
        <v>303</v>
      </c>
      <c r="G293" s="147" t="s">
        <v>303</v>
      </c>
      <c r="H293" s="553" t="s">
        <v>956</v>
      </c>
      <c r="I293" s="484">
        <f t="shared" si="15"/>
        <v>100000</v>
      </c>
      <c r="J293" s="390"/>
      <c r="K293" s="484">
        <v>100000</v>
      </c>
      <c r="L293" s="132"/>
      <c r="M293" s="132"/>
      <c r="O293"/>
    </row>
    <row r="294" spans="1:18" hidden="1" x14ac:dyDescent="0.2">
      <c r="A294" s="9">
        <v>2</v>
      </c>
      <c r="B294" s="603" t="s">
        <v>1081</v>
      </c>
      <c r="C294" s="124"/>
      <c r="D294" s="124"/>
      <c r="E294" s="124"/>
      <c r="F294" s="147" t="s">
        <v>303</v>
      </c>
      <c r="G294" s="147" t="s">
        <v>303</v>
      </c>
      <c r="H294" s="553" t="s">
        <v>959</v>
      </c>
      <c r="I294" s="484">
        <f t="shared" si="15"/>
        <v>18000</v>
      </c>
      <c r="J294" s="390"/>
      <c r="K294" s="484">
        <v>18000</v>
      </c>
      <c r="L294" s="132"/>
      <c r="M294" s="132"/>
      <c r="O294"/>
    </row>
    <row r="295" spans="1:18" hidden="1" x14ac:dyDescent="0.2">
      <c r="A295" s="9">
        <v>2</v>
      </c>
      <c r="B295" s="603" t="s">
        <v>1081</v>
      </c>
      <c r="C295" s="124"/>
      <c r="D295" s="124"/>
      <c r="E295" s="124"/>
      <c r="F295" s="147" t="s">
        <v>303</v>
      </c>
      <c r="G295" s="147" t="s">
        <v>303</v>
      </c>
      <c r="H295" s="552" t="s">
        <v>1033</v>
      </c>
      <c r="I295" s="484">
        <f t="shared" si="15"/>
        <v>32000</v>
      </c>
      <c r="J295" s="390"/>
      <c r="K295" s="484">
        <v>32000</v>
      </c>
      <c r="L295" s="132"/>
      <c r="M295" s="132"/>
      <c r="O295"/>
    </row>
    <row r="296" spans="1:18" hidden="1" x14ac:dyDescent="0.2">
      <c r="A296" s="9">
        <v>2</v>
      </c>
      <c r="B296" s="603" t="s">
        <v>1081</v>
      </c>
      <c r="C296" s="124"/>
      <c r="D296" s="124"/>
      <c r="E296" s="124"/>
      <c r="F296" s="147" t="s">
        <v>303</v>
      </c>
      <c r="G296" s="147" t="s">
        <v>303</v>
      </c>
      <c r="H296" s="553" t="s">
        <v>958</v>
      </c>
      <c r="I296" s="484">
        <f t="shared" si="15"/>
        <v>46000</v>
      </c>
      <c r="J296" s="390"/>
      <c r="K296" s="484">
        <v>46000</v>
      </c>
      <c r="L296" s="132"/>
      <c r="M296" s="132"/>
      <c r="O296"/>
    </row>
    <row r="297" spans="1:18" hidden="1" x14ac:dyDescent="0.2">
      <c r="A297" s="9">
        <v>2</v>
      </c>
      <c r="C297" s="124"/>
      <c r="D297" s="124"/>
      <c r="E297" s="124"/>
      <c r="F297" s="147" t="s">
        <v>303</v>
      </c>
      <c r="G297" s="147" t="s">
        <v>303</v>
      </c>
      <c r="H297" s="477" t="s">
        <v>1035</v>
      </c>
      <c r="I297" s="484">
        <f>SUM(K297:M297)</f>
        <v>81000</v>
      </c>
      <c r="J297" s="390"/>
      <c r="K297" s="484">
        <v>81000</v>
      </c>
      <c r="L297" s="132"/>
      <c r="M297" s="132"/>
      <c r="O297"/>
      <c r="R297">
        <v>30000</v>
      </c>
    </row>
    <row r="298" spans="1:18" hidden="1" x14ac:dyDescent="0.2">
      <c r="A298" s="9">
        <v>2</v>
      </c>
      <c r="C298" s="124"/>
      <c r="D298" s="124"/>
      <c r="E298" s="124"/>
      <c r="F298" s="147" t="s">
        <v>303</v>
      </c>
      <c r="G298" s="147" t="s">
        <v>303</v>
      </c>
      <c r="H298" s="477" t="s">
        <v>1034</v>
      </c>
      <c r="I298" s="484">
        <f>SUM(K298:M298)</f>
        <v>70000</v>
      </c>
      <c r="J298" s="390"/>
      <c r="K298" s="484">
        <v>70000</v>
      </c>
      <c r="L298" s="132"/>
      <c r="M298" s="132"/>
      <c r="O298"/>
    </row>
    <row r="299" spans="1:18" hidden="1" x14ac:dyDescent="0.2">
      <c r="A299" s="9">
        <v>2</v>
      </c>
      <c r="B299" s="603" t="s">
        <v>1081</v>
      </c>
      <c r="C299" s="124"/>
      <c r="D299" s="124"/>
      <c r="E299" s="124"/>
      <c r="F299" s="147" t="s">
        <v>303</v>
      </c>
      <c r="G299" s="147" t="s">
        <v>303</v>
      </c>
      <c r="H299" s="553" t="s">
        <v>961</v>
      </c>
      <c r="I299" s="484">
        <f t="shared" si="15"/>
        <v>80000</v>
      </c>
      <c r="J299" s="390"/>
      <c r="K299" s="484">
        <v>80000</v>
      </c>
      <c r="L299" s="132"/>
      <c r="M299" s="132"/>
      <c r="O299"/>
    </row>
    <row r="300" spans="1:18" hidden="1" x14ac:dyDescent="0.2">
      <c r="A300" s="9">
        <v>0</v>
      </c>
      <c r="C300" s="124"/>
      <c r="D300" s="124"/>
      <c r="E300" s="124"/>
      <c r="F300" s="147" t="s">
        <v>303</v>
      </c>
      <c r="G300" s="147" t="s">
        <v>303</v>
      </c>
      <c r="H300" s="507" t="s">
        <v>962</v>
      </c>
      <c r="I300" s="508"/>
      <c r="J300" s="509"/>
      <c r="K300" s="508"/>
      <c r="L300" s="508"/>
      <c r="M300" s="508"/>
      <c r="O300"/>
    </row>
    <row r="301" spans="1:18" x14ac:dyDescent="0.2">
      <c r="A301">
        <v>1</v>
      </c>
      <c r="B301" s="603" t="s">
        <v>344</v>
      </c>
      <c r="C301" s="124"/>
      <c r="D301" s="124"/>
      <c r="E301" s="124"/>
      <c r="F301" s="147" t="s">
        <v>303</v>
      </c>
      <c r="G301" s="147" t="s">
        <v>303</v>
      </c>
      <c r="H301" s="554" t="s">
        <v>1279</v>
      </c>
      <c r="I301" s="484">
        <f t="shared" si="15"/>
        <v>0</v>
      </c>
      <c r="J301" s="390"/>
      <c r="K301" s="580">
        <f>308339.67-308339.67</f>
        <v>0</v>
      </c>
      <c r="L301" s="132"/>
      <c r="M301" s="132"/>
      <c r="N301" s="517" t="s">
        <v>1037</v>
      </c>
    </row>
    <row r="302" spans="1:18" ht="23.4" x14ac:dyDescent="0.25">
      <c r="A302">
        <v>1</v>
      </c>
      <c r="B302" s="603" t="s">
        <v>1082</v>
      </c>
      <c r="C302" s="124"/>
      <c r="D302" s="124"/>
      <c r="E302" s="124"/>
      <c r="F302" s="147" t="s">
        <v>303</v>
      </c>
      <c r="G302" s="147" t="s">
        <v>303</v>
      </c>
      <c r="H302" s="739" t="s">
        <v>1158</v>
      </c>
      <c r="I302" s="752">
        <f t="shared" si="15"/>
        <v>255000</v>
      </c>
      <c r="J302" s="485"/>
      <c r="K302" s="484">
        <v>255000</v>
      </c>
      <c r="L302" s="139"/>
      <c r="M302" s="132"/>
      <c r="N302" s="517" t="s">
        <v>1037</v>
      </c>
    </row>
    <row r="303" spans="1:18" ht="23.4" x14ac:dyDescent="0.25">
      <c r="A303">
        <v>1</v>
      </c>
      <c r="B303" s="603" t="s">
        <v>344</v>
      </c>
      <c r="C303" s="124"/>
      <c r="D303" s="124"/>
      <c r="E303" s="124"/>
      <c r="F303" s="147" t="s">
        <v>303</v>
      </c>
      <c r="G303" s="147" t="s">
        <v>303</v>
      </c>
      <c r="H303" s="890" t="s">
        <v>1230</v>
      </c>
      <c r="I303" s="752">
        <f t="shared" si="15"/>
        <v>210000</v>
      </c>
      <c r="J303" s="485"/>
      <c r="K303" s="484">
        <v>210000</v>
      </c>
      <c r="L303" s="139"/>
      <c r="M303" s="132"/>
      <c r="N303" s="516"/>
    </row>
    <row r="304" spans="1:18" hidden="1" x14ac:dyDescent="0.2">
      <c r="A304">
        <v>3</v>
      </c>
      <c r="B304" s="603" t="s">
        <v>1082</v>
      </c>
      <c r="C304" s="124"/>
      <c r="D304" s="124"/>
      <c r="E304" s="124"/>
      <c r="F304" s="147" t="s">
        <v>303</v>
      </c>
      <c r="G304" s="147" t="s">
        <v>303</v>
      </c>
      <c r="H304" s="554" t="s">
        <v>967</v>
      </c>
      <c r="I304" s="484">
        <f t="shared" si="15"/>
        <v>0</v>
      </c>
      <c r="J304" s="390"/>
      <c r="K304" s="580">
        <f>329070-329070</f>
        <v>0</v>
      </c>
      <c r="L304" s="132"/>
      <c r="M304" s="132"/>
      <c r="N304" s="516"/>
      <c r="O304"/>
    </row>
    <row r="305" spans="1:15" hidden="1" x14ac:dyDescent="0.2">
      <c r="A305" s="9">
        <v>2</v>
      </c>
      <c r="B305" s="603" t="s">
        <v>1082</v>
      </c>
      <c r="C305" s="124"/>
      <c r="D305" s="124"/>
      <c r="E305" s="124"/>
      <c r="F305" s="147" t="s">
        <v>303</v>
      </c>
      <c r="G305" s="147" t="s">
        <v>303</v>
      </c>
      <c r="H305" s="554" t="s">
        <v>968</v>
      </c>
      <c r="I305" s="484">
        <f t="shared" si="15"/>
        <v>1500000</v>
      </c>
      <c r="J305" s="390"/>
      <c r="K305" s="484">
        <v>1500000</v>
      </c>
      <c r="L305" s="132"/>
      <c r="M305" s="132"/>
      <c r="N305" s="516" t="s">
        <v>1040</v>
      </c>
      <c r="O305"/>
    </row>
    <row r="306" spans="1:15" ht="20.399999999999999" hidden="1" x14ac:dyDescent="0.2">
      <c r="A306" s="9">
        <v>2</v>
      </c>
      <c r="C306" s="147"/>
      <c r="D306" s="147"/>
      <c r="E306" s="147"/>
      <c r="F306" s="147" t="s">
        <v>303</v>
      </c>
      <c r="G306" s="147" t="s">
        <v>303</v>
      </c>
      <c r="H306" s="553" t="s">
        <v>964</v>
      </c>
      <c r="I306" s="484">
        <f t="shared" si="15"/>
        <v>0</v>
      </c>
      <c r="J306" s="390"/>
      <c r="K306" s="484"/>
      <c r="L306" s="139"/>
      <c r="M306" s="139"/>
      <c r="N306" s="518"/>
      <c r="O306"/>
    </row>
    <row r="307" spans="1:15" hidden="1" x14ac:dyDescent="0.2">
      <c r="A307" s="9">
        <v>2</v>
      </c>
      <c r="B307" s="603" t="s">
        <v>1081</v>
      </c>
      <c r="C307" s="124"/>
      <c r="D307" s="124"/>
      <c r="E307" s="124"/>
      <c r="F307" s="147" t="s">
        <v>303</v>
      </c>
      <c r="G307" s="147" t="s">
        <v>303</v>
      </c>
      <c r="H307" s="553" t="s">
        <v>1083</v>
      </c>
      <c r="I307" s="484">
        <f t="shared" si="15"/>
        <v>100000</v>
      </c>
      <c r="J307" s="390"/>
      <c r="K307" s="484">
        <v>100000</v>
      </c>
      <c r="L307" s="132"/>
      <c r="M307" s="132"/>
      <c r="N307" s="516"/>
      <c r="O307"/>
    </row>
    <row r="308" spans="1:15" ht="12" x14ac:dyDescent="0.25">
      <c r="A308">
        <v>1</v>
      </c>
      <c r="B308" s="603" t="s">
        <v>1081</v>
      </c>
      <c r="C308" s="124"/>
      <c r="D308" s="124"/>
      <c r="E308" s="124"/>
      <c r="F308" s="147" t="s">
        <v>303</v>
      </c>
      <c r="G308" s="147" t="s">
        <v>303</v>
      </c>
      <c r="H308" s="740" t="s">
        <v>1161</v>
      </c>
      <c r="I308" s="752">
        <f>SUM(K308:M308)</f>
        <v>1875164.83</v>
      </c>
      <c r="J308" s="485"/>
      <c r="K308" s="484">
        <f>1875164.83-L308-M308</f>
        <v>0</v>
      </c>
      <c r="L308" s="484">
        <v>1875164.83</v>
      </c>
      <c r="M308" s="484">
        <v>0</v>
      </c>
      <c r="N308" s="516" t="s">
        <v>978</v>
      </c>
    </row>
    <row r="309" spans="1:15" hidden="1" x14ac:dyDescent="0.2">
      <c r="A309" s="9">
        <v>0</v>
      </c>
      <c r="C309" s="124"/>
      <c r="D309" s="124"/>
      <c r="E309" s="124"/>
      <c r="F309" s="147" t="s">
        <v>303</v>
      </c>
      <c r="G309" s="147" t="s">
        <v>303</v>
      </c>
      <c r="H309" s="507" t="s">
        <v>979</v>
      </c>
      <c r="I309" s="508"/>
      <c r="J309" s="509"/>
      <c r="K309" s="508"/>
      <c r="L309" s="508"/>
      <c r="M309" s="508"/>
      <c r="N309" s="519"/>
      <c r="O309"/>
    </row>
    <row r="310" spans="1:15" ht="20.399999999999999" hidden="1" x14ac:dyDescent="0.2">
      <c r="A310" s="9">
        <v>2</v>
      </c>
      <c r="B310" s="603" t="s">
        <v>1082</v>
      </c>
      <c r="C310" s="124"/>
      <c r="D310" s="124"/>
      <c r="E310" s="124"/>
      <c r="F310" s="147" t="s">
        <v>303</v>
      </c>
      <c r="G310" s="147" t="s">
        <v>303</v>
      </c>
      <c r="H310" s="555" t="s">
        <v>980</v>
      </c>
      <c r="I310" s="484">
        <f t="shared" si="15"/>
        <v>60000</v>
      </c>
      <c r="J310" s="390"/>
      <c r="K310" s="484">
        <v>60000</v>
      </c>
      <c r="L310" s="484"/>
      <c r="M310" s="484"/>
      <c r="N310" s="516" t="s">
        <v>1043</v>
      </c>
      <c r="O310"/>
    </row>
    <row r="311" spans="1:15" x14ac:dyDescent="0.2">
      <c r="A311">
        <v>1</v>
      </c>
      <c r="B311" s="603" t="s">
        <v>344</v>
      </c>
      <c r="C311" s="124"/>
      <c r="D311" s="124"/>
      <c r="E311" s="124"/>
      <c r="F311" s="147" t="s">
        <v>303</v>
      </c>
      <c r="G311" s="147" t="s">
        <v>303</v>
      </c>
      <c r="H311" s="741" t="s">
        <v>1044</v>
      </c>
      <c r="I311" s="743">
        <f t="shared" si="15"/>
        <v>12500</v>
      </c>
      <c r="J311" s="485"/>
      <c r="K311" s="592">
        <f>25000/2</f>
        <v>12500</v>
      </c>
      <c r="L311" s="139"/>
      <c r="M311" s="484"/>
      <c r="N311" s="516" t="s">
        <v>1045</v>
      </c>
    </row>
    <row r="312" spans="1:15" x14ac:dyDescent="0.2">
      <c r="A312">
        <v>1</v>
      </c>
      <c r="B312" s="603" t="s">
        <v>344</v>
      </c>
      <c r="C312" s="124"/>
      <c r="D312" s="124"/>
      <c r="E312" s="124"/>
      <c r="F312" s="147" t="s">
        <v>303</v>
      </c>
      <c r="G312" s="147" t="s">
        <v>303</v>
      </c>
      <c r="H312" s="742" t="s">
        <v>981</v>
      </c>
      <c r="I312" s="743">
        <f t="shared" si="15"/>
        <v>5000</v>
      </c>
      <c r="J312" s="485"/>
      <c r="K312" s="484">
        <v>5000</v>
      </c>
      <c r="L312" s="139"/>
      <c r="M312" s="484"/>
      <c r="N312" s="516" t="s">
        <v>1046</v>
      </c>
    </row>
    <row r="313" spans="1:15" hidden="1" x14ac:dyDescent="0.2">
      <c r="A313" s="9">
        <v>0</v>
      </c>
      <c r="C313" s="124"/>
      <c r="D313" s="124"/>
      <c r="E313" s="124"/>
      <c r="F313" s="147" t="s">
        <v>303</v>
      </c>
      <c r="G313" s="147" t="s">
        <v>303</v>
      </c>
      <c r="H313" s="507" t="s">
        <v>982</v>
      </c>
      <c r="I313" s="508"/>
      <c r="J313" s="509"/>
      <c r="K313" s="508"/>
      <c r="L313" s="508"/>
      <c r="M313" s="508"/>
      <c r="N313" s="519"/>
      <c r="O313"/>
    </row>
    <row r="314" spans="1:15" x14ac:dyDescent="0.2">
      <c r="A314">
        <v>1</v>
      </c>
      <c r="B314" s="603" t="s">
        <v>1082</v>
      </c>
      <c r="C314" s="124"/>
      <c r="D314" s="124"/>
      <c r="E314" s="124"/>
      <c r="F314" s="147" t="s">
        <v>303</v>
      </c>
      <c r="G314" s="147" t="s">
        <v>303</v>
      </c>
      <c r="H314" s="740" t="s">
        <v>983</v>
      </c>
      <c r="I314" s="752">
        <f t="shared" si="15"/>
        <v>35000</v>
      </c>
      <c r="J314" s="485"/>
      <c r="K314" s="484">
        <v>35000</v>
      </c>
      <c r="L314" s="139"/>
      <c r="M314" s="484"/>
      <c r="N314" s="516" t="s">
        <v>1047</v>
      </c>
    </row>
    <row r="315" spans="1:15" ht="20.399999999999999" hidden="1" x14ac:dyDescent="0.2">
      <c r="A315" s="9">
        <v>2</v>
      </c>
      <c r="B315" s="603" t="s">
        <v>1081</v>
      </c>
      <c r="C315" s="124"/>
      <c r="D315" s="124"/>
      <c r="E315" s="124"/>
      <c r="F315" s="147" t="s">
        <v>303</v>
      </c>
      <c r="G315" s="147" t="s">
        <v>303</v>
      </c>
      <c r="H315" s="555" t="s">
        <v>984</v>
      </c>
      <c r="I315" s="484">
        <f t="shared" si="15"/>
        <v>20000</v>
      </c>
      <c r="J315" s="390"/>
      <c r="K315" s="484">
        <v>20000</v>
      </c>
      <c r="L315" s="484"/>
      <c r="M315" s="484"/>
      <c r="N315" s="516" t="s">
        <v>1048</v>
      </c>
      <c r="O315"/>
    </row>
    <row r="316" spans="1:15" hidden="1" x14ac:dyDescent="0.2">
      <c r="A316" s="9">
        <v>0</v>
      </c>
      <c r="C316" s="124"/>
      <c r="D316" s="124"/>
      <c r="E316" s="124"/>
      <c r="F316" s="147" t="s">
        <v>303</v>
      </c>
      <c r="G316" s="147" t="s">
        <v>303</v>
      </c>
      <c r="H316" s="507" t="s">
        <v>985</v>
      </c>
      <c r="I316" s="508">
        <f t="shared" si="15"/>
        <v>0</v>
      </c>
      <c r="J316" s="509"/>
      <c r="K316" s="508"/>
      <c r="L316" s="508"/>
      <c r="M316" s="508"/>
      <c r="N316" s="519"/>
      <c r="O316"/>
    </row>
    <row r="317" spans="1:15" hidden="1" x14ac:dyDescent="0.2">
      <c r="A317" s="9">
        <v>2</v>
      </c>
      <c r="B317" s="603" t="s">
        <v>1081</v>
      </c>
      <c r="C317" s="124"/>
      <c r="D317" s="124"/>
      <c r="E317" s="124"/>
      <c r="F317" s="147" t="s">
        <v>303</v>
      </c>
      <c r="G317" s="147" t="s">
        <v>303</v>
      </c>
      <c r="H317" s="556" t="s">
        <v>986</v>
      </c>
      <c r="I317" s="484">
        <f t="shared" si="15"/>
        <v>21000</v>
      </c>
      <c r="J317" s="390"/>
      <c r="K317" s="625">
        <v>21000</v>
      </c>
      <c r="L317" s="132"/>
      <c r="M317" s="132"/>
      <c r="O317"/>
    </row>
    <row r="318" spans="1:15" hidden="1" x14ac:dyDescent="0.2">
      <c r="A318" s="9">
        <v>3</v>
      </c>
      <c r="B318" s="603" t="s">
        <v>1082</v>
      </c>
      <c r="C318" s="124"/>
      <c r="D318" s="124"/>
      <c r="E318" s="124"/>
      <c r="F318" s="147" t="s">
        <v>303</v>
      </c>
      <c r="G318" s="147" t="s">
        <v>303</v>
      </c>
      <c r="H318" s="556" t="s">
        <v>987</v>
      </c>
      <c r="I318" s="484">
        <f t="shared" si="15"/>
        <v>75000</v>
      </c>
      <c r="J318" s="390"/>
      <c r="K318" s="484">
        <v>75000</v>
      </c>
      <c r="L318" s="132"/>
      <c r="M318" s="132"/>
      <c r="O318"/>
    </row>
    <row r="319" spans="1:15" hidden="1" x14ac:dyDescent="0.2">
      <c r="A319" s="9">
        <v>0</v>
      </c>
      <c r="C319" s="124"/>
      <c r="D319" s="124"/>
      <c r="E319" s="124"/>
      <c r="F319" s="147" t="s">
        <v>303</v>
      </c>
      <c r="G319" s="147" t="s">
        <v>303</v>
      </c>
      <c r="H319" s="507" t="s">
        <v>257</v>
      </c>
      <c r="I319" s="508"/>
      <c r="J319" s="509"/>
      <c r="K319" s="508"/>
      <c r="L319" s="508"/>
      <c r="M319" s="508"/>
      <c r="N319" s="519"/>
      <c r="O319"/>
    </row>
    <row r="320" spans="1:15" x14ac:dyDescent="0.2">
      <c r="A320" s="9">
        <v>1</v>
      </c>
      <c r="B320" s="603" t="s">
        <v>344</v>
      </c>
      <c r="C320" s="124"/>
      <c r="D320" s="124"/>
      <c r="E320" s="124"/>
      <c r="F320" s="147" t="s">
        <v>303</v>
      </c>
      <c r="G320" s="147" t="s">
        <v>303</v>
      </c>
      <c r="H320" s="891" t="s">
        <v>988</v>
      </c>
      <c r="I320" s="752">
        <f t="shared" si="15"/>
        <v>17500</v>
      </c>
      <c r="J320" s="485"/>
      <c r="K320" s="484">
        <f>35000*0.5</f>
        <v>17500</v>
      </c>
      <c r="L320" s="139"/>
      <c r="M320" s="132"/>
      <c r="N320" s="516" t="s">
        <v>1049</v>
      </c>
    </row>
    <row r="321" spans="1:18" hidden="1" x14ac:dyDescent="0.2">
      <c r="A321" s="9">
        <v>2</v>
      </c>
      <c r="B321" s="603" t="s">
        <v>344</v>
      </c>
      <c r="C321" s="124"/>
      <c r="D321" s="124"/>
      <c r="E321" s="124"/>
      <c r="F321" s="147" t="s">
        <v>303</v>
      </c>
      <c r="G321" s="147" t="s">
        <v>303</v>
      </c>
      <c r="H321" s="552" t="s">
        <v>1104</v>
      </c>
      <c r="I321" s="484">
        <f t="shared" si="15"/>
        <v>50000</v>
      </c>
      <c r="J321" s="390"/>
      <c r="K321" s="484">
        <v>50000</v>
      </c>
      <c r="L321" s="132"/>
      <c r="M321" s="132"/>
      <c r="N321" s="516" t="s">
        <v>1050</v>
      </c>
      <c r="O321"/>
    </row>
    <row r="322" spans="1:18" x14ac:dyDescent="0.2">
      <c r="A322" s="9">
        <v>1</v>
      </c>
      <c r="C322" s="124"/>
      <c r="D322" s="124"/>
      <c r="E322" s="124"/>
      <c r="F322" s="147" t="s">
        <v>303</v>
      </c>
      <c r="G322" s="147" t="s">
        <v>303</v>
      </c>
      <c r="H322" s="891" t="s">
        <v>1126</v>
      </c>
      <c r="I322" s="752">
        <f>SUM(K322:M322)</f>
        <v>39800</v>
      </c>
      <c r="J322" s="485"/>
      <c r="K322" s="484">
        <v>39800</v>
      </c>
      <c r="L322" s="139"/>
      <c r="M322" s="132"/>
      <c r="N322" s="522" t="s">
        <v>1052</v>
      </c>
      <c r="R322">
        <v>38000</v>
      </c>
    </row>
    <row r="323" spans="1:18" hidden="1" x14ac:dyDescent="0.2">
      <c r="A323" s="9">
        <v>3</v>
      </c>
      <c r="B323" s="603" t="s">
        <v>1082</v>
      </c>
      <c r="C323" s="124"/>
      <c r="D323" s="124"/>
      <c r="E323" s="124"/>
      <c r="F323" s="147" t="s">
        <v>303</v>
      </c>
      <c r="G323" s="147" t="s">
        <v>303</v>
      </c>
      <c r="H323" s="553" t="s">
        <v>568</v>
      </c>
      <c r="I323" s="484">
        <f t="shared" si="15"/>
        <v>50000</v>
      </c>
      <c r="J323" s="390"/>
      <c r="K323" s="484">
        <v>50000</v>
      </c>
      <c r="L323" s="132"/>
      <c r="M323" s="132"/>
      <c r="N323" s="516" t="s">
        <v>1051</v>
      </c>
      <c r="O323"/>
      <c r="R323">
        <v>60000</v>
      </c>
    </row>
    <row r="324" spans="1:18" ht="20.399999999999999" hidden="1" x14ac:dyDescent="0.2">
      <c r="A324" s="9">
        <v>2</v>
      </c>
      <c r="B324" s="603" t="s">
        <v>1081</v>
      </c>
      <c r="C324" s="124"/>
      <c r="D324" s="124"/>
      <c r="E324" s="124"/>
      <c r="F324" s="147" t="s">
        <v>303</v>
      </c>
      <c r="G324" s="147" t="s">
        <v>303</v>
      </c>
      <c r="H324" s="482" t="s">
        <v>990</v>
      </c>
      <c r="I324" s="484">
        <f t="shared" si="15"/>
        <v>20000</v>
      </c>
      <c r="J324" s="390"/>
      <c r="K324" s="580">
        <f>40000-20000</f>
        <v>20000</v>
      </c>
      <c r="L324" s="395"/>
      <c r="M324" s="395"/>
      <c r="N324" s="516"/>
      <c r="O324"/>
    </row>
    <row r="325" spans="1:18" hidden="1" x14ac:dyDescent="0.2">
      <c r="A325" s="9">
        <v>2</v>
      </c>
      <c r="B325" s="603" t="s">
        <v>344</v>
      </c>
      <c r="C325" s="124"/>
      <c r="D325" s="124"/>
      <c r="E325" s="124"/>
      <c r="F325" s="147" t="s">
        <v>303</v>
      </c>
      <c r="G325" s="147" t="s">
        <v>303</v>
      </c>
      <c r="H325" s="482" t="s">
        <v>1134</v>
      </c>
      <c r="I325" s="484">
        <f t="shared" si="15"/>
        <v>15000</v>
      </c>
      <c r="J325" s="390"/>
      <c r="K325" s="580">
        <f>30000-15000</f>
        <v>15000</v>
      </c>
      <c r="L325" s="395"/>
      <c r="M325" s="395"/>
      <c r="N325" s="516" t="s">
        <v>1053</v>
      </c>
      <c r="O325"/>
    </row>
    <row r="326" spans="1:18" hidden="1" x14ac:dyDescent="0.2">
      <c r="A326" s="9">
        <v>2</v>
      </c>
      <c r="B326" s="603" t="s">
        <v>344</v>
      </c>
      <c r="C326" s="124"/>
      <c r="D326" s="124"/>
      <c r="E326" s="124"/>
      <c r="F326" s="147" t="s">
        <v>303</v>
      </c>
      <c r="G326" s="147" t="s">
        <v>303</v>
      </c>
      <c r="H326" s="482" t="s">
        <v>1135</v>
      </c>
      <c r="I326" s="484">
        <f t="shared" si="15"/>
        <v>10000</v>
      </c>
      <c r="J326" s="390"/>
      <c r="K326" s="580">
        <f>40000-30000</f>
        <v>10000</v>
      </c>
      <c r="L326" s="395"/>
      <c r="M326" s="395"/>
      <c r="N326" s="516" t="s">
        <v>1053</v>
      </c>
      <c r="O326"/>
    </row>
    <row r="327" spans="1:18" x14ac:dyDescent="0.2">
      <c r="A327" s="9">
        <v>1</v>
      </c>
      <c r="B327" s="603" t="s">
        <v>1082</v>
      </c>
      <c r="C327" s="124"/>
      <c r="D327" s="124"/>
      <c r="E327" s="124"/>
      <c r="F327" s="147" t="s">
        <v>303</v>
      </c>
      <c r="G327" s="147" t="s">
        <v>303</v>
      </c>
      <c r="H327" s="745" t="s">
        <v>1162</v>
      </c>
      <c r="I327" s="752">
        <f t="shared" si="15"/>
        <v>30000</v>
      </c>
      <c r="J327" s="485"/>
      <c r="K327" s="486">
        <v>30000</v>
      </c>
      <c r="L327" s="145"/>
      <c r="M327" s="395"/>
      <c r="N327" s="516" t="s">
        <v>1054</v>
      </c>
    </row>
    <row r="328" spans="1:18" hidden="1" x14ac:dyDescent="0.2">
      <c r="A328" s="9">
        <v>2</v>
      </c>
      <c r="B328" s="603" t="s">
        <v>1082</v>
      </c>
      <c r="C328" s="124"/>
      <c r="D328" s="124"/>
      <c r="E328" s="124"/>
      <c r="F328" s="147" t="s">
        <v>303</v>
      </c>
      <c r="G328" s="147" t="s">
        <v>303</v>
      </c>
      <c r="H328" s="482" t="s">
        <v>995</v>
      </c>
      <c r="I328" s="484">
        <f t="shared" si="15"/>
        <v>0</v>
      </c>
      <c r="J328" s="390"/>
      <c r="K328" s="486">
        <f>30000-30000</f>
        <v>0</v>
      </c>
      <c r="L328" s="395"/>
      <c r="M328" s="395"/>
      <c r="N328" s="516"/>
      <c r="O328"/>
    </row>
    <row r="329" spans="1:18" hidden="1" x14ac:dyDescent="0.2">
      <c r="A329" s="9">
        <v>2</v>
      </c>
      <c r="B329" s="603" t="s">
        <v>1082</v>
      </c>
      <c r="C329" s="124"/>
      <c r="D329" s="124"/>
      <c r="E329" s="124"/>
      <c r="F329" s="147" t="s">
        <v>303</v>
      </c>
      <c r="G329" s="147" t="s">
        <v>303</v>
      </c>
      <c r="H329" s="482" t="s">
        <v>996</v>
      </c>
      <c r="I329" s="484">
        <f t="shared" si="15"/>
        <v>12000</v>
      </c>
      <c r="J329" s="390"/>
      <c r="K329" s="580">
        <f>22000-10000</f>
        <v>12000</v>
      </c>
      <c r="L329" s="395"/>
      <c r="M329" s="395"/>
      <c r="N329" s="516"/>
      <c r="O329"/>
    </row>
    <row r="330" spans="1:18" hidden="1" x14ac:dyDescent="0.2">
      <c r="A330" s="9">
        <v>2</v>
      </c>
      <c r="B330" s="603" t="s">
        <v>1081</v>
      </c>
      <c r="C330" s="124"/>
      <c r="D330" s="124"/>
      <c r="E330" s="124"/>
      <c r="F330" s="147" t="s">
        <v>303</v>
      </c>
      <c r="G330" s="147" t="s">
        <v>303</v>
      </c>
      <c r="H330" s="482" t="s">
        <v>998</v>
      </c>
      <c r="I330" s="484">
        <f t="shared" si="15"/>
        <v>5000</v>
      </c>
      <c r="J330" s="390"/>
      <c r="K330" s="580">
        <f>8000-3000</f>
        <v>5000</v>
      </c>
      <c r="L330" s="395"/>
      <c r="M330" s="395"/>
      <c r="N330" s="516"/>
      <c r="O330"/>
    </row>
    <row r="331" spans="1:18" ht="22.8" x14ac:dyDescent="0.2">
      <c r="A331" s="9">
        <v>1</v>
      </c>
      <c r="B331" s="603" t="s">
        <v>1081</v>
      </c>
      <c r="C331" s="124"/>
      <c r="D331" s="124"/>
      <c r="E331" s="124"/>
      <c r="F331" s="147" t="s">
        <v>303</v>
      </c>
      <c r="G331" s="147" t="s">
        <v>303</v>
      </c>
      <c r="H331" s="745" t="s">
        <v>1092</v>
      </c>
      <c r="I331" s="743">
        <f t="shared" si="15"/>
        <v>12000</v>
      </c>
      <c r="J331" s="485"/>
      <c r="K331" s="486">
        <f>24000/2</f>
        <v>12000</v>
      </c>
      <c r="L331" s="145"/>
      <c r="M331" s="395"/>
      <c r="N331" s="516" t="s">
        <v>1055</v>
      </c>
    </row>
    <row r="332" spans="1:18" ht="20.399999999999999" hidden="1" x14ac:dyDescent="0.2">
      <c r="A332" s="9">
        <v>2</v>
      </c>
      <c r="B332" s="603" t="s">
        <v>1081</v>
      </c>
      <c r="C332" s="124"/>
      <c r="D332" s="124"/>
      <c r="E332" s="124"/>
      <c r="F332" s="147" t="s">
        <v>303</v>
      </c>
      <c r="G332" s="147" t="s">
        <v>303</v>
      </c>
      <c r="H332" s="482" t="s">
        <v>1105</v>
      </c>
      <c r="I332" s="484">
        <f t="shared" si="15"/>
        <v>20000</v>
      </c>
      <c r="J332" s="390"/>
      <c r="K332" s="486">
        <v>20000</v>
      </c>
      <c r="L332" s="395"/>
      <c r="M332" s="395"/>
      <c r="N332" s="520" t="s">
        <v>1003</v>
      </c>
      <c r="O332"/>
    </row>
    <row r="333" spans="1:18" ht="15" customHeight="1" x14ac:dyDescent="0.2">
      <c r="A333" s="9">
        <v>1</v>
      </c>
      <c r="B333" s="603" t="s">
        <v>1082</v>
      </c>
      <c r="C333" s="124"/>
      <c r="D333" s="124"/>
      <c r="E333" s="124"/>
      <c r="F333" s="147" t="s">
        <v>303</v>
      </c>
      <c r="G333" s="147" t="s">
        <v>303</v>
      </c>
      <c r="H333" s="482" t="s">
        <v>1004</v>
      </c>
      <c r="I333" s="139">
        <f t="shared" si="15"/>
        <v>0</v>
      </c>
      <c r="J333" s="149"/>
      <c r="K333" s="580">
        <f>20000-20000</f>
        <v>0</v>
      </c>
      <c r="L333" s="145"/>
      <c r="M333" s="395"/>
      <c r="N333" s="521" t="s">
        <v>1056</v>
      </c>
    </row>
    <row r="334" spans="1:18" ht="15.6" customHeight="1" x14ac:dyDescent="0.2">
      <c r="A334" s="9">
        <v>1</v>
      </c>
      <c r="B334" s="603" t="s">
        <v>1081</v>
      </c>
      <c r="C334" s="124"/>
      <c r="D334" s="124"/>
      <c r="E334" s="124"/>
      <c r="F334" s="147" t="s">
        <v>303</v>
      </c>
      <c r="G334" s="147" t="s">
        <v>303</v>
      </c>
      <c r="H334" s="482" t="s">
        <v>1005</v>
      </c>
      <c r="I334" s="139">
        <f t="shared" si="15"/>
        <v>0</v>
      </c>
      <c r="J334" s="149"/>
      <c r="K334" s="580">
        <f>2500-2500</f>
        <v>0</v>
      </c>
      <c r="L334" s="145"/>
      <c r="M334" s="395"/>
      <c r="N334" s="520" t="s">
        <v>1006</v>
      </c>
    </row>
    <row r="335" spans="1:18" ht="16.2" hidden="1" customHeight="1" x14ac:dyDescent="0.2">
      <c r="A335" s="9">
        <v>2</v>
      </c>
      <c r="B335" s="603" t="s">
        <v>1081</v>
      </c>
      <c r="C335" s="124"/>
      <c r="D335" s="124"/>
      <c r="E335" s="124"/>
      <c r="F335" s="147" t="s">
        <v>303</v>
      </c>
      <c r="G335" s="147" t="s">
        <v>303</v>
      </c>
      <c r="H335" s="510" t="s">
        <v>1007</v>
      </c>
      <c r="I335" s="484">
        <f t="shared" si="15"/>
        <v>10000</v>
      </c>
      <c r="J335" s="390"/>
      <c r="K335" s="486">
        <v>10000</v>
      </c>
      <c r="L335" s="395"/>
      <c r="M335" s="395"/>
      <c r="N335" s="520" t="s">
        <v>1008</v>
      </c>
      <c r="O335"/>
    </row>
    <row r="336" spans="1:18" x14ac:dyDescent="0.2">
      <c r="A336" s="9">
        <v>1</v>
      </c>
      <c r="B336" s="603" t="s">
        <v>1081</v>
      </c>
      <c r="C336" s="124"/>
      <c r="D336" s="124"/>
      <c r="E336" s="124"/>
      <c r="F336" s="147" t="s">
        <v>303</v>
      </c>
      <c r="G336" s="147" t="s">
        <v>303</v>
      </c>
      <c r="H336" s="483" t="s">
        <v>1009</v>
      </c>
      <c r="I336" s="139">
        <f t="shared" si="15"/>
        <v>0</v>
      </c>
      <c r="J336" s="149"/>
      <c r="K336" s="580">
        <f>3500-3500</f>
        <v>0</v>
      </c>
      <c r="L336" s="145"/>
      <c r="M336" s="395"/>
      <c r="N336" s="520" t="s">
        <v>1010</v>
      </c>
    </row>
    <row r="337" spans="1:18" hidden="1" x14ac:dyDescent="0.2">
      <c r="A337" s="9">
        <v>2</v>
      </c>
      <c r="B337" s="603" t="s">
        <v>1081</v>
      </c>
      <c r="C337" s="124"/>
      <c r="D337" s="124"/>
      <c r="E337" s="124"/>
      <c r="F337" s="147" t="s">
        <v>303</v>
      </c>
      <c r="G337" s="147" t="s">
        <v>303</v>
      </c>
      <c r="H337" s="483" t="s">
        <v>993</v>
      </c>
      <c r="I337" s="484">
        <f t="shared" si="15"/>
        <v>0</v>
      </c>
      <c r="J337" s="390"/>
      <c r="K337" s="486"/>
      <c r="L337" s="395"/>
      <c r="M337" s="395"/>
      <c r="N337" s="520" t="s">
        <v>994</v>
      </c>
      <c r="O337"/>
    </row>
    <row r="338" spans="1:18" hidden="1" x14ac:dyDescent="0.2">
      <c r="A338" s="9">
        <v>2</v>
      </c>
      <c r="B338" s="603" t="s">
        <v>1081</v>
      </c>
      <c r="C338" s="124"/>
      <c r="D338" s="124"/>
      <c r="E338" s="124"/>
      <c r="F338" s="147" t="s">
        <v>303</v>
      </c>
      <c r="G338" s="147" t="s">
        <v>303</v>
      </c>
      <c r="H338" s="483" t="s">
        <v>1057</v>
      </c>
      <c r="I338" s="484">
        <f t="shared" si="15"/>
        <v>0</v>
      </c>
      <c r="J338" s="390"/>
      <c r="K338" s="486"/>
      <c r="L338" s="395"/>
      <c r="M338" s="395"/>
      <c r="N338" s="520"/>
      <c r="O338"/>
    </row>
    <row r="339" spans="1:18" hidden="1" x14ac:dyDescent="0.2">
      <c r="C339" s="124"/>
      <c r="D339" s="124"/>
      <c r="E339" s="124"/>
      <c r="F339" s="147" t="s">
        <v>303</v>
      </c>
      <c r="G339" s="147" t="s">
        <v>303</v>
      </c>
      <c r="H339" s="212"/>
      <c r="I339" s="132">
        <f t="shared" si="15"/>
        <v>0</v>
      </c>
      <c r="J339" s="390"/>
      <c r="K339" s="132"/>
      <c r="L339" s="132"/>
      <c r="M339" s="132"/>
      <c r="O339"/>
      <c r="R339">
        <v>80000</v>
      </c>
    </row>
    <row r="340" spans="1:18" ht="12" hidden="1" x14ac:dyDescent="0.25">
      <c r="H340" s="137" t="s">
        <v>561</v>
      </c>
      <c r="I340" s="186">
        <f>SUM(I172:I339)</f>
        <v>6746604.3399999999</v>
      </c>
      <c r="J340" s="149">
        <f>SUM(J172:J323)</f>
        <v>0</v>
      </c>
      <c r="K340" s="186">
        <f>SUM(K172:K339)</f>
        <v>4871439.51</v>
      </c>
      <c r="L340" s="186">
        <f>SUM(L172:L339)</f>
        <v>1875164.83</v>
      </c>
      <c r="M340" s="181">
        <f>SUM(M172:M339)</f>
        <v>0</v>
      </c>
      <c r="O340"/>
    </row>
    <row r="341" spans="1:18" ht="12" x14ac:dyDescent="0.25">
      <c r="H341" s="512"/>
      <c r="I341" s="378"/>
      <c r="J341" s="149"/>
      <c r="K341" s="378"/>
      <c r="L341" s="378"/>
      <c r="M341" s="182"/>
    </row>
    <row r="342" spans="1:18" ht="12" outlineLevel="1" x14ac:dyDescent="0.25">
      <c r="B342" s="372" t="s">
        <v>1082</v>
      </c>
      <c r="H342" s="512"/>
      <c r="I342" s="513">
        <f>SUMIF($B$172:$B$339,$B342,I$172:I$339)</f>
        <v>3151923</v>
      </c>
      <c r="J342" s="149"/>
      <c r="K342" s="513">
        <f t="shared" ref="K342:M344" si="16">SUMIF($B$172:$B$339,$B342,K$172:K$339)</f>
        <v>3151923</v>
      </c>
      <c r="L342" s="513">
        <f t="shared" si="16"/>
        <v>0</v>
      </c>
      <c r="M342" s="513">
        <f t="shared" si="16"/>
        <v>0</v>
      </c>
      <c r="O342"/>
    </row>
    <row r="343" spans="1:18" ht="12" outlineLevel="1" x14ac:dyDescent="0.25">
      <c r="B343" s="372" t="s">
        <v>344</v>
      </c>
      <c r="H343" s="512"/>
      <c r="I343" s="513">
        <f>SUMIF($B$172:$B$339,$B343,I$172:I$339)</f>
        <v>648877.51</v>
      </c>
      <c r="J343" s="149"/>
      <c r="K343" s="513">
        <f t="shared" si="16"/>
        <v>648877.51</v>
      </c>
      <c r="L343" s="513">
        <f t="shared" si="16"/>
        <v>0</v>
      </c>
      <c r="M343" s="513">
        <f t="shared" si="16"/>
        <v>0</v>
      </c>
      <c r="O343"/>
    </row>
    <row r="344" spans="1:18" ht="12" outlineLevel="1" x14ac:dyDescent="0.25">
      <c r="B344" s="372" t="s">
        <v>1081</v>
      </c>
      <c r="H344" s="512"/>
      <c r="I344" s="513">
        <f>SUMIF($B$172:$B$339,$B344,I$172:I$339)</f>
        <v>2539082.83</v>
      </c>
      <c r="J344" s="149"/>
      <c r="K344" s="513">
        <f t="shared" si="16"/>
        <v>663918</v>
      </c>
      <c r="L344" s="513">
        <f t="shared" si="16"/>
        <v>1875164.83</v>
      </c>
      <c r="M344" s="513">
        <f t="shared" si="16"/>
        <v>0</v>
      </c>
      <c r="O344"/>
    </row>
    <row r="345" spans="1:18" ht="12" outlineLevel="1" x14ac:dyDescent="0.25">
      <c r="B345" s="372"/>
      <c r="H345" s="512"/>
      <c r="I345" s="378"/>
      <c r="J345" s="149"/>
      <c r="K345" s="378"/>
      <c r="L345" s="378"/>
      <c r="M345" s="378"/>
      <c r="O345"/>
    </row>
    <row r="346" spans="1:18" ht="24" x14ac:dyDescent="0.25">
      <c r="H346" s="512" t="s">
        <v>1093</v>
      </c>
      <c r="I346" s="164" t="s">
        <v>360</v>
      </c>
      <c r="J346" s="149"/>
      <c r="K346" s="164" t="s">
        <v>233</v>
      </c>
      <c r="L346" s="164" t="s">
        <v>359</v>
      </c>
      <c r="M346" s="184" t="s">
        <v>314</v>
      </c>
    </row>
    <row r="347" spans="1:18" ht="12" x14ac:dyDescent="0.25">
      <c r="A347">
        <v>1</v>
      </c>
      <c r="H347" s="512">
        <v>1</v>
      </c>
      <c r="I347" s="557">
        <f>SUMIF($A$172:$A$339,$A347,I$172:I$339)</f>
        <v>3120753.02</v>
      </c>
      <c r="J347" s="149"/>
      <c r="K347" s="557">
        <f t="shared" ref="K347:M350" si="17">SUMIF($A$172:$A$339,$A347,K$172:K$339)</f>
        <v>1245588.19</v>
      </c>
      <c r="L347" s="557">
        <f t="shared" si="17"/>
        <v>1875164.83</v>
      </c>
      <c r="M347" s="557">
        <f t="shared" si="17"/>
        <v>0</v>
      </c>
    </row>
    <row r="348" spans="1:18" ht="12" x14ac:dyDescent="0.25">
      <c r="A348">
        <v>2</v>
      </c>
      <c r="H348" s="512">
        <v>2</v>
      </c>
      <c r="I348" s="558">
        <f>SUMIF($A$172:$A$339,$A348,I$172:I$339)</f>
        <v>2771742.3200000003</v>
      </c>
      <c r="J348" s="149"/>
      <c r="K348" s="558">
        <f t="shared" si="17"/>
        <v>2771742.3200000003</v>
      </c>
      <c r="L348" s="558">
        <f t="shared" si="17"/>
        <v>0</v>
      </c>
      <c r="M348" s="558">
        <f t="shared" si="17"/>
        <v>0</v>
      </c>
    </row>
    <row r="349" spans="1:18" ht="12" x14ac:dyDescent="0.25">
      <c r="A349">
        <v>3</v>
      </c>
      <c r="H349" s="512">
        <v>3</v>
      </c>
      <c r="I349" s="559">
        <f>SUMIF($A$172:$A$339,$A349,I$172:I$339)</f>
        <v>854109</v>
      </c>
      <c r="J349" s="149"/>
      <c r="K349" s="559">
        <f t="shared" si="17"/>
        <v>854109</v>
      </c>
      <c r="L349" s="559">
        <f t="shared" si="17"/>
        <v>0</v>
      </c>
      <c r="M349" s="559">
        <f t="shared" si="17"/>
        <v>0</v>
      </c>
    </row>
    <row r="350" spans="1:18" ht="12" x14ac:dyDescent="0.25">
      <c r="A350">
        <v>0</v>
      </c>
      <c r="H350" s="512">
        <v>0</v>
      </c>
      <c r="I350" s="378">
        <f>SUMIF($A$172:$A$339,$A350,I$172:I$339)</f>
        <v>0</v>
      </c>
      <c r="J350" s="149"/>
      <c r="K350" s="378">
        <f t="shared" si="17"/>
        <v>0</v>
      </c>
      <c r="L350" s="378">
        <f t="shared" si="17"/>
        <v>0</v>
      </c>
      <c r="M350" s="378">
        <f t="shared" si="17"/>
        <v>0</v>
      </c>
    </row>
    <row r="351" spans="1:18" x14ac:dyDescent="0.2">
      <c r="K351" s="11"/>
      <c r="L351" s="11"/>
      <c r="M351" s="11"/>
    </row>
    <row r="352" spans="1:18" s="194" customFormat="1" ht="3.6" customHeight="1" x14ac:dyDescent="0.2">
      <c r="B352" s="606"/>
      <c r="M352" s="195"/>
      <c r="N352" s="448"/>
      <c r="O352" s="894"/>
    </row>
    <row r="353" spans="1:21" ht="12" x14ac:dyDescent="0.25">
      <c r="F353" s="193" t="s">
        <v>946</v>
      </c>
    </row>
    <row r="354" spans="1:21" ht="12" x14ac:dyDescent="0.25">
      <c r="C354" s="1053" t="s">
        <v>310</v>
      </c>
      <c r="D354" s="1053" t="s">
        <v>263</v>
      </c>
      <c r="E354" s="1053" t="s">
        <v>264</v>
      </c>
      <c r="F354" s="1053" t="s">
        <v>562</v>
      </c>
      <c r="G354" s="1053" t="s">
        <v>535</v>
      </c>
      <c r="H354" s="1054" t="s">
        <v>536</v>
      </c>
      <c r="I354" s="1058" t="s">
        <v>360</v>
      </c>
      <c r="J354" s="183"/>
      <c r="K354" s="1059" t="s">
        <v>543</v>
      </c>
      <c r="L354" s="1059"/>
      <c r="M354" s="1059"/>
    </row>
    <row r="355" spans="1:21" ht="5.4" customHeight="1" x14ac:dyDescent="0.25">
      <c r="C355" s="1053"/>
      <c r="D355" s="1053"/>
      <c r="E355" s="1053"/>
      <c r="F355" s="1053"/>
      <c r="G355" s="1053"/>
      <c r="H355" s="1055"/>
      <c r="I355" s="1058"/>
      <c r="J355" s="183"/>
      <c r="K355" s="191" t="s">
        <v>233</v>
      </c>
      <c r="L355" s="191" t="s">
        <v>359</v>
      </c>
      <c r="M355" s="192" t="s">
        <v>314</v>
      </c>
    </row>
    <row r="356" spans="1:21" ht="30" customHeight="1" x14ac:dyDescent="0.25">
      <c r="C356" s="942"/>
      <c r="D356" s="942"/>
      <c r="E356" s="942"/>
      <c r="F356" s="941" t="s">
        <v>221</v>
      </c>
      <c r="G356" s="147" t="s">
        <v>900</v>
      </c>
      <c r="H356" s="126" t="s">
        <v>1278</v>
      </c>
      <c r="I356" s="145">
        <f>SUM(K356:M356)</f>
        <v>13541</v>
      </c>
      <c r="J356" s="183"/>
      <c r="K356" s="145">
        <v>13541</v>
      </c>
      <c r="L356" s="139" t="s">
        <v>1298</v>
      </c>
      <c r="M356" s="943"/>
      <c r="O356" s="144"/>
    </row>
    <row r="357" spans="1:21" s="9" customFormat="1" x14ac:dyDescent="0.2">
      <c r="B357" s="603" t="s">
        <v>1082</v>
      </c>
      <c r="C357" s="147"/>
      <c r="D357" s="147"/>
      <c r="E357" s="147"/>
      <c r="F357" s="147" t="s">
        <v>303</v>
      </c>
      <c r="G357" s="147" t="s">
        <v>303</v>
      </c>
      <c r="H357" s="142" t="s">
        <v>1080</v>
      </c>
      <c r="I357" s="145">
        <f>SUM(K357:M357)</f>
        <v>60000</v>
      </c>
      <c r="J357" s="149"/>
      <c r="K357" s="145">
        <f>330000-270000</f>
        <v>60000</v>
      </c>
      <c r="L357" s="139" t="s">
        <v>1303</v>
      </c>
      <c r="M357" s="139"/>
      <c r="N357" s="2"/>
      <c r="O357" s="898"/>
      <c r="R357" s="9">
        <v>11000</v>
      </c>
    </row>
    <row r="358" spans="1:21" ht="12" x14ac:dyDescent="0.25">
      <c r="A358" s="119"/>
      <c r="B358" s="603" t="s">
        <v>344</v>
      </c>
      <c r="C358" s="124"/>
      <c r="D358" s="124"/>
      <c r="E358" s="124"/>
      <c r="F358" s="147" t="s">
        <v>303</v>
      </c>
      <c r="G358" s="147" t="s">
        <v>303</v>
      </c>
      <c r="H358" s="956" t="s">
        <v>1287</v>
      </c>
      <c r="I358" s="957">
        <f>SUM(K358:M358)-308339.67</f>
        <v>0</v>
      </c>
      <c r="J358" s="149"/>
      <c r="K358" s="145">
        <f>308339.67</f>
        <v>308339.67</v>
      </c>
      <c r="L358" s="139"/>
      <c r="M358" s="132"/>
      <c r="N358" s="517" t="s">
        <v>1037</v>
      </c>
    </row>
    <row r="359" spans="1:21" x14ac:dyDescent="0.2">
      <c r="B359" s="603" t="s">
        <v>1082</v>
      </c>
      <c r="C359" s="124"/>
      <c r="D359" s="124"/>
      <c r="E359" s="124"/>
      <c r="F359" s="147" t="s">
        <v>303</v>
      </c>
      <c r="G359" s="147" t="s">
        <v>303</v>
      </c>
      <c r="H359" s="939" t="s">
        <v>1286</v>
      </c>
      <c r="I359" s="145">
        <v>329070</v>
      </c>
      <c r="J359" s="149"/>
      <c r="K359" s="145">
        <v>329070</v>
      </c>
      <c r="L359" s="139" t="s">
        <v>1304</v>
      </c>
      <c r="M359" s="132"/>
      <c r="N359" s="516"/>
    </row>
    <row r="360" spans="1:21" ht="22.8" x14ac:dyDescent="0.2">
      <c r="B360" s="603" t="s">
        <v>344</v>
      </c>
      <c r="C360" s="124"/>
      <c r="D360" s="124"/>
      <c r="E360" s="124"/>
      <c r="F360" s="147" t="s">
        <v>303</v>
      </c>
      <c r="G360" s="147" t="s">
        <v>303</v>
      </c>
      <c r="H360" s="949" t="s">
        <v>1322</v>
      </c>
      <c r="I360" s="947">
        <f>SUM(K360:M360)-55000</f>
        <v>0</v>
      </c>
      <c r="J360" s="149"/>
      <c r="K360" s="145">
        <v>55000</v>
      </c>
      <c r="L360" s="139" t="s">
        <v>1305</v>
      </c>
      <c r="M360" s="132"/>
      <c r="R360">
        <v>38000</v>
      </c>
    </row>
    <row r="361" spans="1:21" ht="12.6" customHeight="1" x14ac:dyDescent="0.2">
      <c r="B361" s="603" t="s">
        <v>1082</v>
      </c>
      <c r="C361" s="124"/>
      <c r="D361" s="124"/>
      <c r="E361" s="124"/>
      <c r="F361" s="147" t="s">
        <v>303</v>
      </c>
      <c r="G361" s="147" t="s">
        <v>303</v>
      </c>
      <c r="H361" s="940" t="s">
        <v>1004</v>
      </c>
      <c r="I361" s="145">
        <v>20000</v>
      </c>
      <c r="J361" s="149"/>
      <c r="K361" s="145">
        <v>20000</v>
      </c>
      <c r="L361" s="145" t="s">
        <v>1306</v>
      </c>
      <c r="M361" s="395"/>
      <c r="N361" s="521" t="s">
        <v>1056</v>
      </c>
    </row>
    <row r="362" spans="1:21" ht="11.4" customHeight="1" x14ac:dyDescent="0.2">
      <c r="B362" s="603" t="s">
        <v>1081</v>
      </c>
      <c r="C362" s="124"/>
      <c r="D362" s="124"/>
      <c r="E362" s="124"/>
      <c r="F362" s="147" t="s">
        <v>303</v>
      </c>
      <c r="G362" s="147" t="s">
        <v>303</v>
      </c>
      <c r="H362" s="940" t="s">
        <v>1005</v>
      </c>
      <c r="I362" s="145">
        <v>2500</v>
      </c>
      <c r="J362" s="149"/>
      <c r="K362" s="145">
        <v>2500</v>
      </c>
      <c r="L362" s="145" t="s">
        <v>1307</v>
      </c>
      <c r="M362" s="395"/>
      <c r="N362" s="520" t="s">
        <v>1006</v>
      </c>
    </row>
    <row r="363" spans="1:21" x14ac:dyDescent="0.2">
      <c r="B363" s="603" t="s">
        <v>1081</v>
      </c>
      <c r="C363" s="124"/>
      <c r="D363" s="124"/>
      <c r="E363" s="124"/>
      <c r="F363" s="147" t="s">
        <v>303</v>
      </c>
      <c r="G363" s="147" t="s">
        <v>303</v>
      </c>
      <c r="H363" s="950" t="s">
        <v>1323</v>
      </c>
      <c r="I363" s="947">
        <f>3500-3500</f>
        <v>0</v>
      </c>
      <c r="J363" s="149"/>
      <c r="K363" s="145">
        <v>3500</v>
      </c>
      <c r="L363" s="145" t="s">
        <v>1308</v>
      </c>
      <c r="M363" s="395"/>
      <c r="N363" s="520" t="s">
        <v>1010</v>
      </c>
    </row>
    <row r="364" spans="1:21" x14ac:dyDescent="0.2">
      <c r="B364" s="603" t="s">
        <v>1082</v>
      </c>
      <c r="C364" s="124"/>
      <c r="D364" s="124"/>
      <c r="E364" s="124"/>
      <c r="F364" s="141" t="s">
        <v>222</v>
      </c>
      <c r="G364" s="124" t="s">
        <v>548</v>
      </c>
      <c r="H364" s="142" t="s">
        <v>522</v>
      </c>
      <c r="I364" s="548">
        <f t="shared" ref="I364:I376" si="18">SUM(K364:M364)</f>
        <v>42500</v>
      </c>
      <c r="J364" s="149"/>
      <c r="K364" s="145">
        <f>42500</f>
        <v>42500</v>
      </c>
      <c r="L364" s="139"/>
      <c r="M364" s="132"/>
      <c r="N364" s="408" t="s">
        <v>779</v>
      </c>
      <c r="R364">
        <v>29874.9</v>
      </c>
    </row>
    <row r="365" spans="1:21" ht="13.95" customHeight="1" x14ac:dyDescent="0.2">
      <c r="B365" s="603" t="s">
        <v>344</v>
      </c>
      <c r="C365" s="491"/>
      <c r="D365" s="491"/>
      <c r="E365" s="491"/>
      <c r="F365" s="490" t="s">
        <v>222</v>
      </c>
      <c r="G365" s="491" t="s">
        <v>548</v>
      </c>
      <c r="H365" s="937" t="s">
        <v>778</v>
      </c>
      <c r="I365" s="938">
        <f t="shared" si="18"/>
        <v>60000</v>
      </c>
      <c r="J365" s="600"/>
      <c r="K365" s="601">
        <f>60000</f>
        <v>60000</v>
      </c>
      <c r="L365" s="954" t="s">
        <v>1315</v>
      </c>
      <c r="M365" s="602"/>
      <c r="N365" s="408" t="s">
        <v>780</v>
      </c>
      <c r="R365">
        <v>7048.25</v>
      </c>
    </row>
    <row r="366" spans="1:21" x14ac:dyDescent="0.2">
      <c r="A366">
        <v>3</v>
      </c>
      <c r="B366" s="603" t="s">
        <v>344</v>
      </c>
      <c r="C366" s="402"/>
      <c r="D366" s="402"/>
      <c r="E366" s="402"/>
      <c r="F366" s="403" t="s">
        <v>448</v>
      </c>
      <c r="G366" s="402" t="s">
        <v>924</v>
      </c>
      <c r="H366" s="951" t="s">
        <v>1324</v>
      </c>
      <c r="I366" s="948">
        <f>8500-8500</f>
        <v>0</v>
      </c>
      <c r="J366" s="149"/>
      <c r="K366" s="537">
        <v>8500</v>
      </c>
      <c r="L366" s="405" t="s">
        <v>1309</v>
      </c>
      <c r="M366" s="406"/>
      <c r="N366" s="408" t="s">
        <v>835</v>
      </c>
      <c r="R366">
        <v>5000</v>
      </c>
    </row>
    <row r="367" spans="1:21" ht="12.6" customHeight="1" x14ac:dyDescent="0.2">
      <c r="A367">
        <v>2</v>
      </c>
      <c r="B367" s="603" t="s">
        <v>344</v>
      </c>
      <c r="C367" s="402"/>
      <c r="D367" s="402"/>
      <c r="E367" s="402"/>
      <c r="F367" s="403" t="s">
        <v>353</v>
      </c>
      <c r="G367" s="402" t="s">
        <v>315</v>
      </c>
      <c r="H367" s="404" t="s">
        <v>781</v>
      </c>
      <c r="I367" s="537">
        <f t="shared" si="18"/>
        <v>76000</v>
      </c>
      <c r="J367" s="149"/>
      <c r="K367" s="537">
        <v>76000</v>
      </c>
      <c r="L367" s="405" t="s">
        <v>1310</v>
      </c>
      <c r="M367" s="406"/>
      <c r="N367" s="408" t="s">
        <v>782</v>
      </c>
      <c r="R367">
        <v>10000</v>
      </c>
    </row>
    <row r="368" spans="1:21" s="9" customFormat="1" x14ac:dyDescent="0.2">
      <c r="A368" s="9">
        <v>3</v>
      </c>
      <c r="B368" s="603" t="s">
        <v>1082</v>
      </c>
      <c r="C368" s="551"/>
      <c r="D368" s="551"/>
      <c r="E368" s="551"/>
      <c r="F368" s="488" t="s">
        <v>225</v>
      </c>
      <c r="G368" s="551" t="s">
        <v>563</v>
      </c>
      <c r="H368" s="404" t="s">
        <v>531</v>
      </c>
      <c r="I368" s="145">
        <f t="shared" si="18"/>
        <v>25000</v>
      </c>
      <c r="J368" s="149"/>
      <c r="K368" s="542">
        <v>25000</v>
      </c>
      <c r="L368" s="538" t="s">
        <v>1311</v>
      </c>
      <c r="M368" s="446"/>
      <c r="N368" s="2"/>
      <c r="O368" s="894"/>
      <c r="P368"/>
      <c r="Q368"/>
      <c r="R368"/>
      <c r="S368"/>
      <c r="T368"/>
      <c r="U368"/>
    </row>
    <row r="369" spans="1:18" x14ac:dyDescent="0.2">
      <c r="A369">
        <v>2</v>
      </c>
      <c r="B369" s="603" t="s">
        <v>1081</v>
      </c>
      <c r="C369" s="433"/>
      <c r="D369" s="402"/>
      <c r="E369" s="402"/>
      <c r="F369" s="141" t="s">
        <v>221</v>
      </c>
      <c r="G369" s="124" t="s">
        <v>900</v>
      </c>
      <c r="H369" s="404" t="s">
        <v>856</v>
      </c>
      <c r="I369" s="547">
        <f t="shared" si="18"/>
        <v>7520</v>
      </c>
      <c r="J369" s="149"/>
      <c r="K369" s="537">
        <v>7520</v>
      </c>
      <c r="L369" s="405"/>
      <c r="M369" s="406"/>
      <c r="N369" s="408"/>
    </row>
    <row r="370" spans="1:18" s="9" customFormat="1" ht="22.8" x14ac:dyDescent="0.2">
      <c r="A370" s="9">
        <v>2</v>
      </c>
      <c r="B370" s="603" t="s">
        <v>344</v>
      </c>
      <c r="C370" s="147"/>
      <c r="D370" s="147"/>
      <c r="E370" s="147"/>
      <c r="F370" s="147" t="s">
        <v>303</v>
      </c>
      <c r="G370" s="147" t="s">
        <v>303</v>
      </c>
      <c r="H370" s="952" t="s">
        <v>1325</v>
      </c>
      <c r="I370" s="947">
        <f>SUM(K370:M370)-7500</f>
        <v>0</v>
      </c>
      <c r="J370" s="149"/>
      <c r="K370" s="145">
        <f>15000/2</f>
        <v>7500</v>
      </c>
      <c r="L370" s="139" t="s">
        <v>1312</v>
      </c>
      <c r="M370" s="139"/>
      <c r="N370" s="2" t="s">
        <v>1021</v>
      </c>
      <c r="O370" s="898"/>
    </row>
    <row r="371" spans="1:18" x14ac:dyDescent="0.2">
      <c r="A371">
        <v>2</v>
      </c>
      <c r="B371" s="603" t="s">
        <v>1081</v>
      </c>
      <c r="C371" s="402"/>
      <c r="D371" s="402"/>
      <c r="E371" s="402"/>
      <c r="F371" s="403" t="s">
        <v>228</v>
      </c>
      <c r="G371" s="402" t="s">
        <v>564</v>
      </c>
      <c r="H371" s="951" t="s">
        <v>1326</v>
      </c>
      <c r="I371" s="948">
        <f>SUM(K371:M371)-7500</f>
        <v>0</v>
      </c>
      <c r="J371" s="149"/>
      <c r="K371" s="145">
        <f>15000/2</f>
        <v>7500</v>
      </c>
      <c r="L371" s="405" t="s">
        <v>1313</v>
      </c>
      <c r="M371" s="406"/>
      <c r="N371" s="3" t="s">
        <v>786</v>
      </c>
      <c r="R371">
        <v>6000</v>
      </c>
    </row>
    <row r="372" spans="1:18" x14ac:dyDescent="0.2">
      <c r="A372" s="9">
        <v>2</v>
      </c>
      <c r="B372" s="603" t="s">
        <v>1081</v>
      </c>
      <c r="C372" s="124"/>
      <c r="D372" s="124"/>
      <c r="E372" s="124"/>
      <c r="F372" s="147" t="s">
        <v>303</v>
      </c>
      <c r="G372" s="147" t="s">
        <v>303</v>
      </c>
      <c r="H372" s="953" t="s">
        <v>1327</v>
      </c>
      <c r="I372" s="947">
        <f>SUM(K372:M372)-21000</f>
        <v>0</v>
      </c>
      <c r="J372" s="149"/>
      <c r="K372" s="145">
        <v>21000</v>
      </c>
      <c r="L372" s="139" t="s">
        <v>1314</v>
      </c>
      <c r="M372" s="132"/>
    </row>
    <row r="373" spans="1:18" x14ac:dyDescent="0.2">
      <c r="A373" t="s">
        <v>1277</v>
      </c>
      <c r="C373" s="402"/>
      <c r="D373" s="402"/>
      <c r="E373" s="402"/>
      <c r="F373" s="910" t="s">
        <v>212</v>
      </c>
      <c r="G373" s="492" t="s">
        <v>1264</v>
      </c>
      <c r="H373" s="404" t="s">
        <v>1265</v>
      </c>
      <c r="I373" s="145">
        <f t="shared" si="18"/>
        <v>8168</v>
      </c>
      <c r="J373" s="149"/>
      <c r="K373" s="537">
        <v>8168</v>
      </c>
      <c r="L373" s="405"/>
      <c r="M373" s="405"/>
    </row>
    <row r="374" spans="1:18" ht="22.8" x14ac:dyDescent="0.2">
      <c r="A374" t="s">
        <v>1277</v>
      </c>
      <c r="C374" s="124"/>
      <c r="D374" s="124"/>
      <c r="E374" s="124"/>
      <c r="F374" s="936" t="s">
        <v>227</v>
      </c>
      <c r="G374" s="124" t="s">
        <v>1285</v>
      </c>
      <c r="H374" s="952" t="s">
        <v>1328</v>
      </c>
      <c r="I374" s="947">
        <f>SUM(K374:M374)-5000</f>
        <v>0</v>
      </c>
      <c r="J374" s="149"/>
      <c r="K374" s="145">
        <v>5000</v>
      </c>
      <c r="L374" s="139" t="s">
        <v>1298</v>
      </c>
      <c r="M374" s="139"/>
    </row>
    <row r="375" spans="1:18" ht="22.8" x14ac:dyDescent="0.2">
      <c r="A375" t="s">
        <v>1277</v>
      </c>
      <c r="C375" s="124"/>
      <c r="D375" s="124"/>
      <c r="E375" s="124"/>
      <c r="F375" s="936" t="s">
        <v>227</v>
      </c>
      <c r="G375" s="124" t="s">
        <v>1285</v>
      </c>
      <c r="H375" s="952" t="s">
        <v>1329</v>
      </c>
      <c r="I375" s="947">
        <f>SUM(K375:M375)-16000</f>
        <v>0</v>
      </c>
      <c r="J375" s="149"/>
      <c r="K375" s="145">
        <v>16000</v>
      </c>
      <c r="L375" s="139" t="s">
        <v>1298</v>
      </c>
      <c r="M375" s="139"/>
    </row>
    <row r="376" spans="1:18" x14ac:dyDescent="0.2">
      <c r="A376" t="s">
        <v>1277</v>
      </c>
      <c r="C376" s="124"/>
      <c r="D376" s="124"/>
      <c r="E376" s="124"/>
      <c r="F376" s="147"/>
      <c r="G376" s="147"/>
      <c r="H376" s="125" t="s">
        <v>537</v>
      </c>
      <c r="I376" s="145">
        <f t="shared" si="18"/>
        <v>9859</v>
      </c>
      <c r="K376" s="139">
        <v>9859</v>
      </c>
      <c r="L376" s="139"/>
      <c r="M376" s="139"/>
    </row>
    <row r="377" spans="1:18" ht="12" x14ac:dyDescent="0.25">
      <c r="I377" s="186">
        <f>SUM(I356:I376)</f>
        <v>654158</v>
      </c>
      <c r="J377" s="149"/>
      <c r="K377" s="186">
        <f>SUM(K356:K376)</f>
        <v>1086497.67</v>
      </c>
      <c r="L377" s="186"/>
      <c r="M377" s="186"/>
    </row>
    <row r="378" spans="1:18" ht="12" x14ac:dyDescent="0.25">
      <c r="A378" t="s">
        <v>1082</v>
      </c>
      <c r="I378" s="378">
        <f>I356+I357+I359+I361+I364+I368+I369+I373+I374+I375</f>
        <v>505799</v>
      </c>
      <c r="J378" s="149"/>
      <c r="K378" s="378"/>
      <c r="L378" s="378"/>
      <c r="M378" s="378"/>
      <c r="O378" s="144"/>
    </row>
    <row r="379" spans="1:18" x14ac:dyDescent="0.2">
      <c r="A379" t="s">
        <v>344</v>
      </c>
      <c r="I379" s="11">
        <f>I377-I378+308340</f>
        <v>456699</v>
      </c>
    </row>
    <row r="380" spans="1:18" ht="12" x14ac:dyDescent="0.25">
      <c r="F380" s="5" t="s">
        <v>1288</v>
      </c>
    </row>
    <row r="381" spans="1:18" x14ac:dyDescent="0.2">
      <c r="H381" t="s">
        <v>1290</v>
      </c>
      <c r="I381" s="7">
        <v>9309</v>
      </c>
    </row>
    <row r="382" spans="1:18" x14ac:dyDescent="0.2">
      <c r="H382" t="s">
        <v>1291</v>
      </c>
      <c r="I382" s="7">
        <v>23095</v>
      </c>
    </row>
    <row r="383" spans="1:18" x14ac:dyDescent="0.2">
      <c r="H383" t="s">
        <v>1289</v>
      </c>
      <c r="I383" s="11">
        <v>89292</v>
      </c>
    </row>
    <row r="384" spans="1:18" x14ac:dyDescent="0.2">
      <c r="H384" t="s">
        <v>1293</v>
      </c>
      <c r="I384" s="11">
        <v>10000</v>
      </c>
    </row>
    <row r="385" spans="3:18" ht="12" x14ac:dyDescent="0.25">
      <c r="H385" s="190" t="s">
        <v>206</v>
      </c>
      <c r="I385" s="570">
        <f>SUBTOTAL(9,I381:I384)</f>
        <v>131696</v>
      </c>
    </row>
    <row r="387" spans="3:18" x14ac:dyDescent="0.2">
      <c r="H387" s="47" t="s">
        <v>1316</v>
      </c>
      <c r="I387" s="11">
        <f>K360+K363+K366+K370+K371+K372+K374+K375</f>
        <v>124000</v>
      </c>
    </row>
    <row r="388" spans="3:18" ht="12" x14ac:dyDescent="0.25">
      <c r="F388" s="193" t="s">
        <v>625</v>
      </c>
    </row>
    <row r="389" spans="3:18" ht="12" x14ac:dyDescent="0.25">
      <c r="C389" s="1051" t="s">
        <v>310</v>
      </c>
      <c r="D389" s="1051" t="s">
        <v>263</v>
      </c>
      <c r="E389" s="1051" t="s">
        <v>264</v>
      </c>
      <c r="F389" s="1051" t="s">
        <v>562</v>
      </c>
      <c r="G389" s="1051" t="s">
        <v>535</v>
      </c>
      <c r="H389" s="1049" t="s">
        <v>536</v>
      </c>
      <c r="I389" s="1051" t="s">
        <v>360</v>
      </c>
      <c r="J389" s="210"/>
      <c r="K389" s="1052" t="s">
        <v>543</v>
      </c>
      <c r="L389" s="1052"/>
      <c r="M389" s="1052"/>
    </row>
    <row r="390" spans="3:18" ht="24" x14ac:dyDescent="0.25">
      <c r="C390" s="1051"/>
      <c r="D390" s="1051"/>
      <c r="E390" s="1051"/>
      <c r="F390" s="1051"/>
      <c r="G390" s="1051"/>
      <c r="H390" s="1050"/>
      <c r="I390" s="1051"/>
      <c r="J390" s="210"/>
      <c r="K390" s="209" t="s">
        <v>233</v>
      </c>
      <c r="L390" s="209" t="s">
        <v>359</v>
      </c>
      <c r="M390" s="211" t="s">
        <v>314</v>
      </c>
    </row>
    <row r="391" spans="3:18" x14ac:dyDescent="0.2">
      <c r="C391" s="196"/>
      <c r="D391" s="197"/>
      <c r="E391" s="197"/>
      <c r="F391" s="198"/>
      <c r="G391" s="196"/>
      <c r="H391" s="197"/>
      <c r="I391" s="199">
        <f>SUM(K391:M391)</f>
        <v>0</v>
      </c>
      <c r="J391" s="200"/>
      <c r="K391" s="201"/>
      <c r="L391" s="199"/>
      <c r="M391" s="199"/>
      <c r="R391">
        <v>10000</v>
      </c>
    </row>
    <row r="392" spans="3:18" x14ac:dyDescent="0.2">
      <c r="C392" s="196"/>
      <c r="D392" s="196"/>
      <c r="E392" s="196"/>
      <c r="F392" s="202"/>
      <c r="G392" s="196"/>
      <c r="H392" s="197"/>
      <c r="I392" s="201">
        <f>SUM(K392:M392)</f>
        <v>0</v>
      </c>
      <c r="J392" s="203"/>
      <c r="K392" s="204"/>
      <c r="L392" s="205"/>
      <c r="M392" s="205"/>
      <c r="R392">
        <v>35000</v>
      </c>
    </row>
    <row r="393" spans="3:18" x14ac:dyDescent="0.2">
      <c r="C393" s="196"/>
      <c r="D393" s="196"/>
      <c r="E393" s="196"/>
      <c r="F393" s="202"/>
      <c r="G393" s="196"/>
      <c r="H393" s="196"/>
      <c r="I393" s="199">
        <f>SUM(K393:M393)</f>
        <v>0</v>
      </c>
      <c r="J393" s="203"/>
      <c r="K393" s="204"/>
      <c r="L393" s="205"/>
      <c r="M393" s="205"/>
      <c r="R393">
        <v>7048.25</v>
      </c>
    </row>
    <row r="394" spans="3:18" x14ac:dyDescent="0.2">
      <c r="C394" s="196"/>
      <c r="D394" s="196"/>
      <c r="E394" s="196"/>
      <c r="F394" s="141"/>
      <c r="G394" s="124"/>
      <c r="H394" s="196"/>
      <c r="I394" s="199">
        <f>SUM(K394:M394)</f>
        <v>0</v>
      </c>
      <c r="J394" s="203"/>
      <c r="K394" s="204"/>
      <c r="L394" s="205"/>
      <c r="M394" s="205"/>
      <c r="R394">
        <v>22723</v>
      </c>
    </row>
    <row r="395" spans="3:18" x14ac:dyDescent="0.2">
      <c r="C395" s="196"/>
      <c r="D395" s="196"/>
      <c r="E395" s="196"/>
      <c r="F395" s="202"/>
      <c r="G395" s="196"/>
      <c r="H395" s="206"/>
      <c r="I395" s="205">
        <f>SUM(K395:M395)</f>
        <v>0</v>
      </c>
      <c r="J395" s="203"/>
      <c r="K395" s="204"/>
      <c r="L395" s="205"/>
      <c r="M395" s="205"/>
      <c r="R395">
        <v>360</v>
      </c>
    </row>
    <row r="396" spans="3:18" x14ac:dyDescent="0.2">
      <c r="C396" s="130"/>
      <c r="D396" s="130"/>
      <c r="E396" s="130"/>
      <c r="F396" s="214"/>
      <c r="G396" s="214"/>
      <c r="H396" s="447" t="s">
        <v>571</v>
      </c>
      <c r="I396" s="419"/>
      <c r="J396" s="440"/>
      <c r="K396" s="420"/>
      <c r="L396" s="420"/>
      <c r="M396" s="420"/>
    </row>
    <row r="397" spans="3:18" x14ac:dyDescent="0.2">
      <c r="C397" s="124"/>
      <c r="D397" s="124"/>
      <c r="E397" s="124"/>
      <c r="F397" s="147" t="s">
        <v>303</v>
      </c>
      <c r="G397" s="147" t="s">
        <v>303</v>
      </c>
      <c r="H397" s="507" t="s">
        <v>953</v>
      </c>
      <c r="I397" s="508"/>
      <c r="J397" s="509"/>
      <c r="K397" s="508"/>
      <c r="L397" s="508"/>
      <c r="M397" s="508"/>
    </row>
    <row r="398" spans="3:18" x14ac:dyDescent="0.2">
      <c r="C398" s="124"/>
      <c r="D398" s="124"/>
      <c r="E398" s="124"/>
      <c r="F398" s="147" t="s">
        <v>303</v>
      </c>
      <c r="G398" s="147" t="s">
        <v>303</v>
      </c>
      <c r="H398" s="477" t="s">
        <v>957</v>
      </c>
      <c r="I398" s="484">
        <f>SUM(K398:M398)</f>
        <v>31000</v>
      </c>
      <c r="J398" s="390"/>
      <c r="K398" s="484">
        <v>31000</v>
      </c>
      <c r="L398" s="132"/>
      <c r="M398" s="132"/>
      <c r="R398">
        <v>60000</v>
      </c>
    </row>
    <row r="399" spans="3:18" x14ac:dyDescent="0.2">
      <c r="C399" s="124"/>
      <c r="D399" s="124"/>
      <c r="E399" s="124"/>
      <c r="F399" s="147" t="s">
        <v>303</v>
      </c>
      <c r="G399" s="147" t="s">
        <v>303</v>
      </c>
      <c r="H399" s="477" t="s">
        <v>960</v>
      </c>
      <c r="I399" s="484">
        <f>SUM(K399:M399)</f>
        <v>48000</v>
      </c>
      <c r="J399" s="390"/>
      <c r="K399" s="484">
        <v>48000</v>
      </c>
      <c r="L399" s="132"/>
      <c r="M399" s="132"/>
      <c r="R399">
        <v>80000</v>
      </c>
    </row>
    <row r="400" spans="3:18" x14ac:dyDescent="0.2">
      <c r="C400" s="124"/>
      <c r="D400" s="124"/>
      <c r="E400" s="124"/>
      <c r="F400" s="147" t="s">
        <v>303</v>
      </c>
      <c r="G400" s="147" t="s">
        <v>303</v>
      </c>
      <c r="H400" s="477" t="s">
        <v>1036</v>
      </c>
      <c r="I400" s="484">
        <f>SUM(K400:M400)</f>
        <v>40000</v>
      </c>
      <c r="J400" s="390"/>
      <c r="K400" s="484">
        <v>40000</v>
      </c>
      <c r="L400" s="132"/>
      <c r="M400" s="132"/>
    </row>
    <row r="401" spans="3:14" x14ac:dyDescent="0.2">
      <c r="C401" s="124"/>
      <c r="D401" s="124"/>
      <c r="E401" s="124"/>
      <c r="F401" s="147" t="s">
        <v>303</v>
      </c>
      <c r="G401" s="147" t="s">
        <v>303</v>
      </c>
      <c r="H401" s="507" t="s">
        <v>962</v>
      </c>
      <c r="I401" s="508"/>
      <c r="J401" s="509"/>
      <c r="K401" s="508"/>
      <c r="L401" s="508"/>
      <c r="M401" s="508"/>
    </row>
    <row r="402" spans="3:14" x14ac:dyDescent="0.2">
      <c r="C402" s="124"/>
      <c r="D402" s="124"/>
      <c r="E402" s="124"/>
      <c r="F402" s="147" t="s">
        <v>303</v>
      </c>
      <c r="G402" s="147" t="s">
        <v>303</v>
      </c>
      <c r="H402" s="478" t="s">
        <v>1038</v>
      </c>
      <c r="I402" s="484">
        <f t="shared" ref="I402:I415" si="19">SUM(K402:M402)</f>
        <v>800000</v>
      </c>
      <c r="J402" s="390"/>
      <c r="K402" s="484">
        <v>800000</v>
      </c>
      <c r="L402" s="132"/>
      <c r="M402" s="132"/>
      <c r="N402" s="522" t="s">
        <v>1039</v>
      </c>
    </row>
    <row r="403" spans="3:14" x14ac:dyDescent="0.2">
      <c r="C403" s="124"/>
      <c r="D403" s="124"/>
      <c r="E403" s="124"/>
      <c r="F403" s="147" t="s">
        <v>303</v>
      </c>
      <c r="G403" s="147" t="s">
        <v>303</v>
      </c>
      <c r="H403" s="479" t="s">
        <v>965</v>
      </c>
      <c r="I403" s="484">
        <f t="shared" si="19"/>
        <v>600000</v>
      </c>
      <c r="J403" s="390"/>
      <c r="K403" s="484">
        <v>600000</v>
      </c>
      <c r="L403" s="132"/>
      <c r="M403" s="132"/>
      <c r="N403" s="522" t="s">
        <v>1039</v>
      </c>
    </row>
    <row r="404" spans="3:14" x14ac:dyDescent="0.2">
      <c r="C404" s="124"/>
      <c r="D404" s="124"/>
      <c r="E404" s="124"/>
      <c r="F404" s="147" t="s">
        <v>303</v>
      </c>
      <c r="G404" s="147" t="s">
        <v>303</v>
      </c>
      <c r="H404" s="477" t="s">
        <v>954</v>
      </c>
      <c r="I404" s="484">
        <f t="shared" si="19"/>
        <v>20000</v>
      </c>
      <c r="J404" s="390"/>
      <c r="K404" s="484">
        <v>20000</v>
      </c>
      <c r="L404" s="132"/>
      <c r="M404" s="132"/>
      <c r="N404" s="519"/>
    </row>
    <row r="405" spans="3:14" x14ac:dyDescent="0.2">
      <c r="C405" s="124"/>
      <c r="D405" s="124"/>
      <c r="E405" s="124"/>
      <c r="F405" s="147" t="s">
        <v>303</v>
      </c>
      <c r="G405" s="147" t="s">
        <v>303</v>
      </c>
      <c r="H405" s="480" t="s">
        <v>963</v>
      </c>
      <c r="I405" s="484">
        <f t="shared" si="19"/>
        <v>15000</v>
      </c>
      <c r="J405" s="390"/>
      <c r="K405" s="484">
        <v>15000</v>
      </c>
      <c r="L405" s="132"/>
      <c r="M405" s="132"/>
      <c r="N405" s="519"/>
    </row>
    <row r="406" spans="3:14" x14ac:dyDescent="0.2">
      <c r="C406" s="124"/>
      <c r="D406" s="124"/>
      <c r="E406" s="124"/>
      <c r="F406" s="147" t="s">
        <v>303</v>
      </c>
      <c r="G406" s="147" t="s">
        <v>303</v>
      </c>
      <c r="H406" s="476" t="s">
        <v>966</v>
      </c>
      <c r="I406" s="484">
        <f t="shared" si="19"/>
        <v>556000</v>
      </c>
      <c r="J406" s="390"/>
      <c r="K406" s="484">
        <v>556000</v>
      </c>
      <c r="L406" s="132"/>
      <c r="M406" s="132"/>
      <c r="N406" s="519"/>
    </row>
    <row r="407" spans="3:14" x14ac:dyDescent="0.2">
      <c r="C407" s="124"/>
      <c r="D407" s="124"/>
      <c r="E407" s="124"/>
      <c r="F407" s="147" t="s">
        <v>303</v>
      </c>
      <c r="G407" s="147" t="s">
        <v>303</v>
      </c>
      <c r="H407" s="480" t="s">
        <v>969</v>
      </c>
      <c r="I407" s="484">
        <f t="shared" si="19"/>
        <v>800000</v>
      </c>
      <c r="J407" s="390"/>
      <c r="K407" s="484">
        <v>800000</v>
      </c>
      <c r="L407" s="132"/>
      <c r="M407" s="132"/>
      <c r="N407" s="519"/>
    </row>
    <row r="408" spans="3:14" x14ac:dyDescent="0.2">
      <c r="C408" s="124"/>
      <c r="D408" s="124"/>
      <c r="E408" s="124"/>
      <c r="F408" s="147" t="s">
        <v>303</v>
      </c>
      <c r="G408" s="147" t="s">
        <v>303</v>
      </c>
      <c r="H408" s="480" t="s">
        <v>970</v>
      </c>
      <c r="I408" s="484">
        <f t="shared" si="19"/>
        <v>45000</v>
      </c>
      <c r="J408" s="390"/>
      <c r="K408" s="484">
        <v>45000</v>
      </c>
      <c r="L408" s="132"/>
      <c r="M408" s="132"/>
      <c r="N408" s="519"/>
    </row>
    <row r="409" spans="3:14" x14ac:dyDescent="0.2">
      <c r="C409" s="124"/>
      <c r="D409" s="124"/>
      <c r="E409" s="124"/>
      <c r="F409" s="147" t="s">
        <v>303</v>
      </c>
      <c r="G409" s="147" t="s">
        <v>303</v>
      </c>
      <c r="H409" s="475" t="s">
        <v>971</v>
      </c>
      <c r="I409" s="484">
        <f t="shared" si="19"/>
        <v>105000</v>
      </c>
      <c r="J409" s="390"/>
      <c r="K409" s="484">
        <v>105000</v>
      </c>
      <c r="L409" s="132"/>
      <c r="M409" s="132"/>
      <c r="N409" s="519"/>
    </row>
    <row r="410" spans="3:14" x14ac:dyDescent="0.2">
      <c r="C410" s="124"/>
      <c r="D410" s="124"/>
      <c r="E410" s="124"/>
      <c r="F410" s="147" t="s">
        <v>303</v>
      </c>
      <c r="G410" s="147" t="s">
        <v>303</v>
      </c>
      <c r="H410" s="475" t="s">
        <v>972</v>
      </c>
      <c r="I410" s="484">
        <f t="shared" si="19"/>
        <v>80000</v>
      </c>
      <c r="J410" s="390"/>
      <c r="K410" s="484">
        <v>80000</v>
      </c>
      <c r="L410" s="132"/>
      <c r="M410" s="132"/>
      <c r="N410" s="519"/>
    </row>
    <row r="411" spans="3:14" x14ac:dyDescent="0.2">
      <c r="C411" s="124"/>
      <c r="D411" s="124"/>
      <c r="E411" s="124"/>
      <c r="F411" s="147" t="s">
        <v>303</v>
      </c>
      <c r="G411" s="147" t="s">
        <v>303</v>
      </c>
      <c r="H411" s="475" t="s">
        <v>973</v>
      </c>
      <c r="I411" s="484">
        <f t="shared" si="19"/>
        <v>50000</v>
      </c>
      <c r="J411" s="390"/>
      <c r="K411" s="484">
        <v>50000</v>
      </c>
      <c r="L411" s="132"/>
      <c r="M411" s="132"/>
      <c r="N411" s="519"/>
    </row>
    <row r="412" spans="3:14" x14ac:dyDescent="0.2">
      <c r="C412" s="124"/>
      <c r="D412" s="124"/>
      <c r="E412" s="124"/>
      <c r="F412" s="147" t="s">
        <v>303</v>
      </c>
      <c r="G412" s="147" t="s">
        <v>303</v>
      </c>
      <c r="H412" s="481" t="s">
        <v>974</v>
      </c>
      <c r="I412" s="484">
        <f t="shared" si="19"/>
        <v>75000</v>
      </c>
      <c r="J412" s="390"/>
      <c r="K412" s="484">
        <v>75000</v>
      </c>
      <c r="L412" s="132"/>
      <c r="M412" s="132"/>
      <c r="N412" s="522" t="s">
        <v>1041</v>
      </c>
    </row>
    <row r="413" spans="3:14" x14ac:dyDescent="0.2">
      <c r="C413" s="124"/>
      <c r="D413" s="124"/>
      <c r="E413" s="124"/>
      <c r="F413" s="147" t="s">
        <v>303</v>
      </c>
      <c r="G413" s="147" t="s">
        <v>303</v>
      </c>
      <c r="H413" s="481" t="s">
        <v>975</v>
      </c>
      <c r="I413" s="484">
        <f t="shared" si="19"/>
        <v>1100000</v>
      </c>
      <c r="J413" s="390"/>
      <c r="K413" s="484">
        <v>1100000</v>
      </c>
      <c r="L413" s="132"/>
      <c r="M413" s="132"/>
      <c r="N413" s="522" t="s">
        <v>1042</v>
      </c>
    </row>
    <row r="414" spans="3:14" x14ac:dyDescent="0.2">
      <c r="C414" s="124"/>
      <c r="D414" s="124"/>
      <c r="E414" s="124"/>
      <c r="F414" s="147" t="s">
        <v>303</v>
      </c>
      <c r="G414" s="147" t="s">
        <v>303</v>
      </c>
      <c r="H414" s="481" t="s">
        <v>976</v>
      </c>
      <c r="I414" s="484">
        <f t="shared" si="19"/>
        <v>2000000</v>
      </c>
      <c r="J414" s="390"/>
      <c r="K414" s="484">
        <v>2000000</v>
      </c>
      <c r="L414" s="132"/>
      <c r="M414" s="132"/>
      <c r="N414" s="522" t="s">
        <v>1042</v>
      </c>
    </row>
    <row r="415" spans="3:14" x14ac:dyDescent="0.2">
      <c r="C415" s="124"/>
      <c r="D415" s="124"/>
      <c r="E415" s="124"/>
      <c r="F415" s="147" t="s">
        <v>303</v>
      </c>
      <c r="G415" s="147" t="s">
        <v>303</v>
      </c>
      <c r="H415" s="475" t="s">
        <v>977</v>
      </c>
      <c r="I415" s="484">
        <f t="shared" si="19"/>
        <v>110000</v>
      </c>
      <c r="J415" s="390"/>
      <c r="K415" s="484">
        <v>110000</v>
      </c>
      <c r="L415" s="132"/>
      <c r="M415" s="132"/>
      <c r="N415" s="519"/>
    </row>
    <row r="416" spans="3:14" x14ac:dyDescent="0.2">
      <c r="C416" s="124"/>
      <c r="D416" s="124"/>
      <c r="E416" s="124"/>
      <c r="F416" s="147" t="s">
        <v>303</v>
      </c>
      <c r="G416" s="147" t="s">
        <v>303</v>
      </c>
      <c r="H416" s="507" t="s">
        <v>257</v>
      </c>
      <c r="I416" s="508"/>
      <c r="J416" s="509"/>
      <c r="K416" s="508"/>
      <c r="L416" s="508"/>
      <c r="M416" s="508"/>
      <c r="N416" s="519"/>
    </row>
    <row r="417" spans="3:18" x14ac:dyDescent="0.2">
      <c r="C417" s="124"/>
      <c r="D417" s="124"/>
      <c r="E417" s="124"/>
      <c r="F417" s="147" t="s">
        <v>303</v>
      </c>
      <c r="G417" s="147" t="s">
        <v>303</v>
      </c>
      <c r="H417" s="475" t="s">
        <v>989</v>
      </c>
      <c r="I417" s="484">
        <f t="shared" ref="I417:I431" si="20">SUM(K417:M417)</f>
        <v>45000</v>
      </c>
      <c r="J417" s="390"/>
      <c r="K417" s="484">
        <v>45000</v>
      </c>
      <c r="L417" s="132"/>
      <c r="M417" s="132"/>
      <c r="N417" s="519"/>
      <c r="R417">
        <v>30000</v>
      </c>
    </row>
    <row r="418" spans="3:18" x14ac:dyDescent="0.2">
      <c r="C418" s="124"/>
      <c r="D418" s="124"/>
      <c r="E418" s="124"/>
      <c r="F418" s="147" t="s">
        <v>303</v>
      </c>
      <c r="G418" s="147" t="s">
        <v>303</v>
      </c>
      <c r="H418" s="482" t="s">
        <v>1058</v>
      </c>
      <c r="I418" s="484">
        <f t="shared" si="20"/>
        <v>40000</v>
      </c>
      <c r="J418" s="390"/>
      <c r="K418" s="486">
        <v>40000</v>
      </c>
      <c r="L418" s="395"/>
      <c r="M418" s="395"/>
      <c r="N418" s="522" t="s">
        <v>1059</v>
      </c>
    </row>
    <row r="419" spans="3:18" x14ac:dyDescent="0.2">
      <c r="C419" s="124"/>
      <c r="D419" s="124"/>
      <c r="E419" s="124"/>
      <c r="F419" s="147" t="s">
        <v>303</v>
      </c>
      <c r="G419" s="147" t="s">
        <v>303</v>
      </c>
      <c r="H419" s="482" t="s">
        <v>997</v>
      </c>
      <c r="I419" s="484">
        <f t="shared" si="20"/>
        <v>8500</v>
      </c>
      <c r="J419" s="390"/>
      <c r="K419" s="486">
        <v>8500</v>
      </c>
      <c r="L419" s="395"/>
      <c r="M419" s="395"/>
      <c r="N419" s="522"/>
    </row>
    <row r="420" spans="3:18" ht="20.399999999999999" x14ac:dyDescent="0.2">
      <c r="C420" s="124"/>
      <c r="D420" s="124"/>
      <c r="E420" s="124"/>
      <c r="F420" s="147" t="s">
        <v>303</v>
      </c>
      <c r="G420" s="147" t="s">
        <v>303</v>
      </c>
      <c r="H420" s="482" t="s">
        <v>999</v>
      </c>
      <c r="I420" s="484">
        <f t="shared" si="20"/>
        <v>20000</v>
      </c>
      <c r="J420" s="390"/>
      <c r="K420" s="486">
        <v>20000</v>
      </c>
      <c r="L420" s="395"/>
      <c r="M420" s="395"/>
      <c r="N420" s="522" t="s">
        <v>1060</v>
      </c>
    </row>
    <row r="421" spans="3:18" x14ac:dyDescent="0.2">
      <c r="C421" s="124"/>
      <c r="D421" s="124"/>
      <c r="E421" s="124"/>
      <c r="F421" s="147" t="s">
        <v>303</v>
      </c>
      <c r="G421" s="147" t="s">
        <v>303</v>
      </c>
      <c r="H421" s="482" t="s">
        <v>1061</v>
      </c>
      <c r="I421" s="484">
        <f t="shared" si="20"/>
        <v>150000</v>
      </c>
      <c r="J421" s="390"/>
      <c r="K421" s="486">
        <v>150000</v>
      </c>
      <c r="L421" s="395"/>
      <c r="M421" s="395"/>
      <c r="N421" s="523"/>
    </row>
    <row r="422" spans="3:18" ht="20.399999999999999" x14ac:dyDescent="0.2">
      <c r="C422" s="124"/>
      <c r="D422" s="124"/>
      <c r="E422" s="124"/>
      <c r="F422" s="147" t="s">
        <v>303</v>
      </c>
      <c r="G422" s="147" t="s">
        <v>303</v>
      </c>
      <c r="H422" s="482" t="s">
        <v>991</v>
      </c>
      <c r="I422" s="484">
        <f t="shared" si="20"/>
        <v>24000</v>
      </c>
      <c r="J422" s="390"/>
      <c r="K422" s="486">
        <v>24000</v>
      </c>
      <c r="L422" s="395"/>
      <c r="M422" s="395"/>
      <c r="N422" s="519"/>
    </row>
    <row r="423" spans="3:18" x14ac:dyDescent="0.2">
      <c r="C423" s="124"/>
      <c r="D423" s="124"/>
      <c r="E423" s="124"/>
      <c r="F423" s="147" t="s">
        <v>303</v>
      </c>
      <c r="G423" s="147" t="s">
        <v>303</v>
      </c>
      <c r="H423" s="482" t="s">
        <v>992</v>
      </c>
      <c r="I423" s="484">
        <f t="shared" si="20"/>
        <v>60000</v>
      </c>
      <c r="J423" s="390"/>
      <c r="K423" s="486">
        <v>60000</v>
      </c>
      <c r="L423" s="395"/>
      <c r="M423" s="395"/>
      <c r="N423" s="519"/>
    </row>
    <row r="424" spans="3:18" x14ac:dyDescent="0.2">
      <c r="C424" s="124"/>
      <c r="D424" s="124"/>
      <c r="E424" s="124"/>
      <c r="F424" s="147" t="s">
        <v>303</v>
      </c>
      <c r="G424" s="147" t="s">
        <v>303</v>
      </c>
      <c r="H424" s="482" t="s">
        <v>1062</v>
      </c>
      <c r="I424" s="484">
        <f t="shared" si="20"/>
        <v>80000</v>
      </c>
      <c r="J424" s="390"/>
      <c r="K424" s="486">
        <v>80000</v>
      </c>
      <c r="L424" s="395"/>
      <c r="M424" s="395"/>
      <c r="N424" s="519"/>
    </row>
    <row r="425" spans="3:18" x14ac:dyDescent="0.2">
      <c r="C425" s="124"/>
      <c r="D425" s="124"/>
      <c r="E425" s="124"/>
      <c r="F425" s="147" t="s">
        <v>303</v>
      </c>
      <c r="G425" s="147" t="s">
        <v>303</v>
      </c>
      <c r="H425" s="482" t="s">
        <v>1063</v>
      </c>
      <c r="I425" s="484">
        <f t="shared" si="20"/>
        <v>70000</v>
      </c>
      <c r="J425" s="390"/>
      <c r="K425" s="486">
        <v>70000</v>
      </c>
      <c r="L425" s="395"/>
      <c r="M425" s="395"/>
      <c r="N425" s="519"/>
    </row>
    <row r="426" spans="3:18" x14ac:dyDescent="0.2">
      <c r="C426" s="124"/>
      <c r="D426" s="124"/>
      <c r="E426" s="124"/>
      <c r="F426" s="147" t="s">
        <v>303</v>
      </c>
      <c r="G426" s="147" t="s">
        <v>303</v>
      </c>
      <c r="H426" s="482" t="s">
        <v>1064</v>
      </c>
      <c r="I426" s="484">
        <f t="shared" si="20"/>
        <v>65000</v>
      </c>
      <c r="J426" s="390"/>
      <c r="K426" s="486">
        <v>65000</v>
      </c>
      <c r="L426" s="395"/>
      <c r="M426" s="395"/>
      <c r="N426" s="519"/>
    </row>
    <row r="427" spans="3:18" x14ac:dyDescent="0.2">
      <c r="C427" s="124"/>
      <c r="D427" s="124"/>
      <c r="E427" s="124"/>
      <c r="F427" s="147" t="s">
        <v>303</v>
      </c>
      <c r="G427" s="147" t="s">
        <v>303</v>
      </c>
      <c r="H427" s="482" t="s">
        <v>1065</v>
      </c>
      <c r="I427" s="484">
        <f t="shared" si="20"/>
        <v>30000</v>
      </c>
      <c r="J427" s="390"/>
      <c r="K427" s="486">
        <v>30000</v>
      </c>
      <c r="L427" s="395"/>
      <c r="M427" s="395"/>
      <c r="N427" s="519"/>
    </row>
    <row r="428" spans="3:18" x14ac:dyDescent="0.2">
      <c r="C428" s="124"/>
      <c r="D428" s="124"/>
      <c r="E428" s="124"/>
      <c r="F428" s="147" t="s">
        <v>303</v>
      </c>
      <c r="G428" s="147" t="s">
        <v>303</v>
      </c>
      <c r="H428" s="482" t="s">
        <v>1066</v>
      </c>
      <c r="I428" s="484">
        <f t="shared" si="20"/>
        <v>90000</v>
      </c>
      <c r="J428" s="390"/>
      <c r="K428" s="486">
        <v>90000</v>
      </c>
      <c r="L428" s="395"/>
      <c r="M428" s="395"/>
      <c r="N428" s="519"/>
    </row>
    <row r="429" spans="3:18" x14ac:dyDescent="0.2">
      <c r="C429" s="124"/>
      <c r="D429" s="124"/>
      <c r="E429" s="124"/>
      <c r="F429" s="147" t="s">
        <v>303</v>
      </c>
      <c r="G429" s="147" t="s">
        <v>303</v>
      </c>
      <c r="H429" s="482" t="s">
        <v>1067</v>
      </c>
      <c r="I429" s="484">
        <f t="shared" si="20"/>
        <v>0</v>
      </c>
      <c r="J429" s="390"/>
      <c r="K429" s="486"/>
      <c r="L429" s="395"/>
      <c r="M429" s="395"/>
      <c r="N429" s="519"/>
    </row>
    <row r="430" spans="3:18" ht="71.400000000000006" x14ac:dyDescent="0.2">
      <c r="C430" s="124"/>
      <c r="D430" s="124"/>
      <c r="E430" s="124"/>
      <c r="F430" s="147" t="s">
        <v>303</v>
      </c>
      <c r="G430" s="147" t="s">
        <v>303</v>
      </c>
      <c r="H430" s="482" t="s">
        <v>1000</v>
      </c>
      <c r="I430" s="484">
        <f t="shared" si="20"/>
        <v>70000</v>
      </c>
      <c r="J430" s="390"/>
      <c r="K430" s="486">
        <v>70000</v>
      </c>
      <c r="L430" s="395"/>
      <c r="M430" s="395"/>
      <c r="N430" s="524" t="s">
        <v>1084</v>
      </c>
    </row>
    <row r="431" spans="3:18" ht="51" x14ac:dyDescent="0.2">
      <c r="C431" s="124"/>
      <c r="D431" s="124"/>
      <c r="E431" s="124"/>
      <c r="F431" s="147" t="s">
        <v>303</v>
      </c>
      <c r="G431" s="147" t="s">
        <v>303</v>
      </c>
      <c r="H431" s="482" t="s">
        <v>1001</v>
      </c>
      <c r="I431" s="484">
        <f t="shared" si="20"/>
        <v>500000</v>
      </c>
      <c r="J431" s="390"/>
      <c r="K431" s="486">
        <v>500000</v>
      </c>
      <c r="L431" s="395"/>
      <c r="M431" s="395"/>
      <c r="N431" s="524" t="s">
        <v>1002</v>
      </c>
    </row>
    <row r="432" spans="3:18" x14ac:dyDescent="0.2">
      <c r="C432" s="124"/>
      <c r="D432" s="124"/>
      <c r="E432" s="124"/>
      <c r="F432" s="147"/>
      <c r="G432" s="147"/>
      <c r="H432" s="197"/>
      <c r="I432" s="484"/>
      <c r="J432" s="390"/>
      <c r="K432" s="484"/>
      <c r="L432" s="132"/>
      <c r="M432" s="132"/>
    </row>
    <row r="433" spans="3:13" x14ac:dyDescent="0.2">
      <c r="C433" s="124"/>
      <c r="D433" s="124"/>
      <c r="E433" s="124"/>
      <c r="F433" s="147"/>
      <c r="G433" s="147"/>
      <c r="H433" s="197"/>
      <c r="I433" s="484"/>
      <c r="J433" s="390"/>
      <c r="K433" s="484"/>
      <c r="L433" s="132"/>
      <c r="M433" s="132"/>
    </row>
    <row r="434" spans="3:13" x14ac:dyDescent="0.2">
      <c r="C434" s="124"/>
      <c r="D434" s="124"/>
      <c r="E434" s="124"/>
      <c r="F434" s="147"/>
      <c r="G434" s="147"/>
      <c r="H434" s="197"/>
      <c r="I434" s="484"/>
      <c r="J434" s="390"/>
      <c r="K434" s="484"/>
      <c r="L434" s="132"/>
      <c r="M434" s="132"/>
    </row>
    <row r="435" spans="3:13" x14ac:dyDescent="0.2">
      <c r="C435" s="124"/>
      <c r="D435" s="124"/>
      <c r="E435" s="124"/>
      <c r="F435" s="147"/>
      <c r="G435" s="147"/>
      <c r="H435" s="197"/>
      <c r="I435" s="484"/>
      <c r="J435" s="390"/>
      <c r="K435" s="484"/>
      <c r="L435" s="132"/>
      <c r="M435" s="132"/>
    </row>
    <row r="436" spans="3:13" x14ac:dyDescent="0.2">
      <c r="C436" s="124"/>
      <c r="D436" s="124"/>
      <c r="E436" s="124"/>
      <c r="F436" s="147"/>
      <c r="G436" s="147"/>
      <c r="H436" s="197"/>
      <c r="I436" s="484"/>
      <c r="J436" s="390"/>
      <c r="K436" s="484"/>
      <c r="L436" s="132"/>
      <c r="M436" s="132"/>
    </row>
    <row r="437" spans="3:13" x14ac:dyDescent="0.2">
      <c r="C437" s="124"/>
      <c r="D437" s="124"/>
      <c r="E437" s="124"/>
      <c r="F437" s="147"/>
      <c r="G437" s="147"/>
      <c r="H437" s="197"/>
      <c r="I437" s="484"/>
      <c r="J437" s="390"/>
      <c r="K437" s="484"/>
      <c r="L437" s="132"/>
      <c r="M437" s="132"/>
    </row>
    <row r="438" spans="3:13" x14ac:dyDescent="0.2">
      <c r="C438" s="124"/>
      <c r="D438" s="124"/>
      <c r="E438" s="124"/>
      <c r="F438" s="147"/>
      <c r="G438" s="147"/>
      <c r="H438" s="197"/>
      <c r="I438" s="484"/>
      <c r="J438" s="390"/>
      <c r="K438" s="484"/>
      <c r="L438" s="132"/>
      <c r="M438" s="132"/>
    </row>
    <row r="439" spans="3:13" x14ac:dyDescent="0.2">
      <c r="C439" s="124"/>
      <c r="D439" s="124"/>
      <c r="E439" s="124"/>
      <c r="F439" s="147"/>
      <c r="G439" s="147"/>
      <c r="H439" s="197"/>
      <c r="I439" s="484"/>
      <c r="J439" s="390"/>
      <c r="K439" s="484"/>
      <c r="L439" s="132"/>
      <c r="M439" s="132"/>
    </row>
    <row r="440" spans="3:13" x14ac:dyDescent="0.2">
      <c r="C440" s="124"/>
      <c r="D440" s="124"/>
      <c r="E440" s="124"/>
      <c r="F440" s="147"/>
      <c r="G440" s="147"/>
      <c r="H440" s="197"/>
      <c r="I440" s="484"/>
      <c r="J440" s="390"/>
      <c r="K440" s="484"/>
      <c r="L440" s="132"/>
      <c r="M440" s="132"/>
    </row>
    <row r="441" spans="3:13" x14ac:dyDescent="0.2">
      <c r="C441" s="124"/>
      <c r="D441" s="124"/>
      <c r="E441" s="124"/>
      <c r="F441" s="147"/>
      <c r="G441" s="147"/>
      <c r="H441" s="197"/>
      <c r="I441" s="484"/>
      <c r="J441" s="390"/>
      <c r="K441" s="484"/>
      <c r="L441" s="132"/>
      <c r="M441" s="132"/>
    </row>
    <row r="442" spans="3:13" x14ac:dyDescent="0.2">
      <c r="C442" s="124"/>
      <c r="D442" s="124"/>
      <c r="E442" s="124"/>
      <c r="F442" s="147"/>
      <c r="G442" s="147"/>
      <c r="H442" s="197"/>
      <c r="I442" s="484"/>
      <c r="J442" s="390"/>
      <c r="K442" s="484"/>
      <c r="L442" s="132"/>
      <c r="M442" s="132"/>
    </row>
    <row r="443" spans="3:13" x14ac:dyDescent="0.2">
      <c r="C443" s="124"/>
      <c r="D443" s="124"/>
      <c r="E443" s="124"/>
      <c r="F443" s="147"/>
      <c r="G443" s="147"/>
      <c r="H443" s="197"/>
      <c r="I443" s="484"/>
      <c r="J443" s="390"/>
      <c r="K443" s="484"/>
      <c r="L443" s="132"/>
      <c r="M443" s="132"/>
    </row>
    <row r="444" spans="3:13" x14ac:dyDescent="0.2">
      <c r="C444" s="124"/>
      <c r="D444" s="124"/>
      <c r="E444" s="124"/>
      <c r="F444" s="147"/>
      <c r="G444" s="147"/>
      <c r="H444" s="197"/>
      <c r="I444" s="484"/>
      <c r="J444" s="390"/>
      <c r="K444" s="484"/>
      <c r="L444" s="132"/>
      <c r="M444" s="132"/>
    </row>
    <row r="445" spans="3:13" x14ac:dyDescent="0.2">
      <c r="C445" s="124"/>
      <c r="D445" s="124"/>
      <c r="E445" s="124"/>
      <c r="F445" s="147"/>
      <c r="G445" s="147"/>
      <c r="H445" s="197"/>
      <c r="I445" s="484"/>
      <c r="J445" s="390"/>
      <c r="K445" s="484"/>
      <c r="L445" s="132"/>
      <c r="M445" s="132"/>
    </row>
    <row r="446" spans="3:13" x14ac:dyDescent="0.2">
      <c r="C446" s="124"/>
      <c r="D446" s="124"/>
      <c r="E446" s="124"/>
      <c r="F446" s="147"/>
      <c r="G446" s="147"/>
      <c r="H446" s="197"/>
      <c r="I446" s="484"/>
      <c r="J446" s="390"/>
      <c r="K446" s="484"/>
      <c r="L446" s="132"/>
      <c r="M446" s="132"/>
    </row>
    <row r="447" spans="3:13" x14ac:dyDescent="0.2">
      <c r="C447" s="124"/>
      <c r="D447" s="124"/>
      <c r="E447" s="124"/>
      <c r="F447" s="147"/>
      <c r="G447" s="147"/>
      <c r="H447" s="197"/>
      <c r="I447" s="484"/>
      <c r="J447" s="390"/>
      <c r="K447" s="484"/>
      <c r="L447" s="132"/>
      <c r="M447" s="132"/>
    </row>
    <row r="448" spans="3:13" x14ac:dyDescent="0.2">
      <c r="C448" s="124"/>
      <c r="D448" s="124"/>
      <c r="E448" s="124"/>
      <c r="F448" s="147"/>
      <c r="G448" s="147"/>
      <c r="H448" s="197"/>
      <c r="I448" s="484"/>
      <c r="J448" s="390"/>
      <c r="K448" s="484"/>
      <c r="L448" s="132"/>
      <c r="M448" s="132"/>
    </row>
    <row r="449" spans="2:23" x14ac:dyDescent="0.2">
      <c r="C449" s="124"/>
      <c r="D449" s="124"/>
      <c r="E449" s="124"/>
      <c r="F449" s="147"/>
      <c r="G449" s="147"/>
      <c r="H449" s="197"/>
      <c r="I449" s="484"/>
      <c r="J449" s="390"/>
      <c r="K449" s="484"/>
      <c r="L449" s="132"/>
      <c r="M449" s="132"/>
    </row>
    <row r="450" spans="2:23" x14ac:dyDescent="0.2">
      <c r="C450" s="124"/>
      <c r="D450" s="124"/>
      <c r="E450" s="124"/>
      <c r="F450" s="147"/>
      <c r="G450" s="147"/>
      <c r="H450" s="197"/>
      <c r="I450" s="484"/>
      <c r="J450" s="390"/>
      <c r="K450" s="484"/>
      <c r="L450" s="132"/>
      <c r="M450" s="132"/>
    </row>
    <row r="451" spans="2:23" x14ac:dyDescent="0.2">
      <c r="C451" s="124"/>
      <c r="D451" s="124"/>
      <c r="E451" s="124"/>
      <c r="F451" s="147"/>
      <c r="G451" s="147"/>
      <c r="H451" s="197"/>
      <c r="I451" s="484"/>
      <c r="J451" s="390"/>
      <c r="K451" s="484"/>
      <c r="L451" s="132"/>
      <c r="M451" s="132"/>
    </row>
    <row r="452" spans="2:23" x14ac:dyDescent="0.2">
      <c r="C452" s="124"/>
      <c r="D452" s="124"/>
      <c r="E452" s="124"/>
      <c r="F452" s="147"/>
      <c r="G452" s="147"/>
      <c r="H452" s="197"/>
      <c r="I452" s="484"/>
      <c r="J452" s="390"/>
      <c r="K452" s="484"/>
      <c r="L452" s="132"/>
      <c r="M452" s="132"/>
    </row>
    <row r="453" spans="2:23" x14ac:dyDescent="0.2">
      <c r="C453" s="124"/>
      <c r="D453" s="124"/>
      <c r="E453" s="124"/>
      <c r="F453" s="147"/>
      <c r="G453" s="147"/>
      <c r="H453" s="197"/>
      <c r="I453" s="484"/>
      <c r="J453" s="390"/>
      <c r="K453" s="484"/>
      <c r="L453" s="132"/>
      <c r="M453" s="132"/>
    </row>
    <row r="454" spans="2:23" x14ac:dyDescent="0.2">
      <c r="C454" s="124"/>
      <c r="D454" s="124"/>
      <c r="E454" s="124"/>
      <c r="F454" s="147"/>
      <c r="G454" s="147"/>
      <c r="H454" s="197"/>
      <c r="I454" s="484"/>
      <c r="J454" s="390"/>
      <c r="K454" s="484"/>
      <c r="L454" s="132"/>
      <c r="M454" s="132"/>
    </row>
    <row r="455" spans="2:23" x14ac:dyDescent="0.2">
      <c r="C455" s="124"/>
      <c r="D455" s="124"/>
      <c r="E455" s="124"/>
      <c r="F455" s="147"/>
      <c r="G455" s="147"/>
      <c r="H455" s="197"/>
      <c r="I455" s="484"/>
      <c r="J455" s="390"/>
      <c r="K455" s="484"/>
      <c r="L455" s="132"/>
      <c r="M455" s="132"/>
    </row>
    <row r="456" spans="2:23" x14ac:dyDescent="0.2">
      <c r="C456" s="124"/>
      <c r="D456" s="124"/>
      <c r="E456" s="124"/>
      <c r="F456" s="147"/>
      <c r="G456" s="147"/>
      <c r="H456" s="197"/>
      <c r="I456" s="484"/>
      <c r="J456" s="390"/>
      <c r="K456" s="484"/>
      <c r="L456" s="132"/>
      <c r="M456" s="132"/>
    </row>
    <row r="457" spans="2:23" x14ac:dyDescent="0.2">
      <c r="C457" s="124"/>
      <c r="D457" s="124"/>
      <c r="E457" s="124"/>
      <c r="F457" s="147"/>
      <c r="G457" s="147"/>
      <c r="H457" s="197"/>
      <c r="I457" s="484"/>
      <c r="J457" s="390"/>
      <c r="K457" s="484"/>
      <c r="L457" s="132"/>
      <c r="M457" s="132"/>
    </row>
    <row r="458" spans="2:23" x14ac:dyDescent="0.2">
      <c r="C458" s="124"/>
      <c r="D458" s="124"/>
      <c r="E458" s="124"/>
      <c r="F458" s="147"/>
      <c r="G458" s="147"/>
      <c r="H458" s="197"/>
      <c r="I458" s="484"/>
      <c r="J458" s="390"/>
      <c r="K458" s="484"/>
      <c r="L458" s="132"/>
      <c r="M458" s="132"/>
    </row>
    <row r="459" spans="2:23" x14ac:dyDescent="0.2">
      <c r="C459" s="124"/>
      <c r="D459" s="124"/>
      <c r="E459" s="124"/>
      <c r="F459" s="147"/>
      <c r="G459" s="147"/>
      <c r="H459" s="197"/>
      <c r="I459" s="484"/>
      <c r="J459" s="390"/>
      <c r="K459" s="484"/>
      <c r="L459" s="132"/>
      <c r="M459" s="132"/>
    </row>
    <row r="460" spans="2:23" x14ac:dyDescent="0.2">
      <c r="C460" s="196"/>
      <c r="D460" s="196"/>
      <c r="E460" s="196"/>
      <c r="F460" s="196"/>
      <c r="G460" s="196"/>
      <c r="H460" s="197"/>
      <c r="I460" s="204">
        <f>SUM(K460:M460)</f>
        <v>0</v>
      </c>
      <c r="J460" s="203"/>
      <c r="K460" s="205"/>
      <c r="L460" s="205"/>
      <c r="M460" s="205"/>
      <c r="R460">
        <v>11000</v>
      </c>
    </row>
    <row r="461" spans="2:23" s="46" customFormat="1" ht="12" x14ac:dyDescent="0.25">
      <c r="B461" s="603"/>
      <c r="C461" s="207"/>
      <c r="D461" s="207"/>
      <c r="E461" s="207"/>
      <c r="F461" s="207"/>
      <c r="G461" s="207"/>
      <c r="H461" s="207"/>
      <c r="I461" s="208">
        <f>SUM(I391:I460)</f>
        <v>7727500</v>
      </c>
      <c r="J461" s="203"/>
      <c r="K461" s="208">
        <f>SUM(K391:K460)</f>
        <v>7727500</v>
      </c>
      <c r="L461" s="208"/>
      <c r="M461" s="208"/>
      <c r="O461" s="894"/>
      <c r="P461"/>
      <c r="Q461"/>
      <c r="R461"/>
      <c r="S461"/>
      <c r="T461"/>
      <c r="U461"/>
      <c r="V461"/>
      <c r="W461"/>
    </row>
    <row r="463" spans="2:23" s="46" customFormat="1" x14ac:dyDescent="0.2">
      <c r="B463" s="603"/>
      <c r="C463"/>
      <c r="D463"/>
      <c r="E463"/>
      <c r="F463"/>
      <c r="G463"/>
      <c r="H463"/>
      <c r="I463" s="11"/>
      <c r="J463"/>
      <c r="K463" s="11"/>
      <c r="L463"/>
      <c r="M463" s="7"/>
      <c r="O463" s="894"/>
      <c r="P463"/>
      <c r="Q463"/>
      <c r="R463"/>
      <c r="S463"/>
      <c r="T463"/>
      <c r="U463"/>
      <c r="V463"/>
      <c r="W463"/>
    </row>
  </sheetData>
  <autoFilter ref="A171:W340" xr:uid="{34A192B1-81F0-4FC0-97F9-946F07D61EF1}">
    <filterColumn colId="0">
      <filters>
        <filter val="1"/>
      </filters>
    </filterColumn>
  </autoFilter>
  <mergeCells count="44">
    <mergeCell ref="B39:B40"/>
    <mergeCell ref="B87:B88"/>
    <mergeCell ref="N174:R174"/>
    <mergeCell ref="I354:I355"/>
    <mergeCell ref="K354:M354"/>
    <mergeCell ref="K87:M87"/>
    <mergeCell ref="C170:C171"/>
    <mergeCell ref="D170:D171"/>
    <mergeCell ref="E170:E171"/>
    <mergeCell ref="F170:F171"/>
    <mergeCell ref="G170:G171"/>
    <mergeCell ref="H170:H171"/>
    <mergeCell ref="I170:I171"/>
    <mergeCell ref="K170:M170"/>
    <mergeCell ref="I39:I40"/>
    <mergeCell ref="K39:M39"/>
    <mergeCell ref="H389:H390"/>
    <mergeCell ref="I389:I390"/>
    <mergeCell ref="K389:M389"/>
    <mergeCell ref="C354:C355"/>
    <mergeCell ref="D354:D355"/>
    <mergeCell ref="E354:E355"/>
    <mergeCell ref="F354:F355"/>
    <mergeCell ref="G354:G355"/>
    <mergeCell ref="H354:H355"/>
    <mergeCell ref="C389:C390"/>
    <mergeCell ref="D389:D390"/>
    <mergeCell ref="E389:E390"/>
    <mergeCell ref="F389:F390"/>
    <mergeCell ref="G389:G390"/>
    <mergeCell ref="N55:R55"/>
    <mergeCell ref="C87:C88"/>
    <mergeCell ref="D87:D88"/>
    <mergeCell ref="E87:E88"/>
    <mergeCell ref="F87:F88"/>
    <mergeCell ref="G87:G88"/>
    <mergeCell ref="H87:H88"/>
    <mergeCell ref="I87:I88"/>
    <mergeCell ref="H39:H40"/>
    <mergeCell ref="C39:C40"/>
    <mergeCell ref="D39:D40"/>
    <mergeCell ref="E39:E40"/>
    <mergeCell ref="F39:F40"/>
    <mergeCell ref="G39:G40"/>
  </mergeCells>
  <pageMargins left="0.25" right="0.25" top="0.75" bottom="0.75" header="0.3" footer="0.3"/>
  <pageSetup paperSize="9" fitToHeight="0" orientation="landscape" r:id="rId1"/>
  <rowBreaks count="2" manualBreakCount="2">
    <brk id="38" max="16383" man="1"/>
    <brk id="85"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apa10">
    <tabColor rgb="FF92D050"/>
    <pageSetUpPr fitToPage="1"/>
  </sheetPr>
  <dimension ref="A1:W301"/>
  <sheetViews>
    <sheetView zoomScaleNormal="100" zoomScaleSheetLayoutView="80" workbookViewId="0">
      <pane xSplit="4" ySplit="5" topLeftCell="L6" activePane="bottomRight" state="frozen"/>
      <selection activeCell="C1" sqref="C1"/>
      <selection pane="topRight" activeCell="E1" sqref="E1"/>
      <selection pane="bottomLeft" activeCell="C6" sqref="C6"/>
      <selection pane="bottomRight" activeCell="S13" sqref="S13"/>
    </sheetView>
  </sheetViews>
  <sheetFormatPr defaultRowHeight="13.8" outlineLevelRow="1" outlineLevelCol="2" x14ac:dyDescent="0.25"/>
  <cols>
    <col min="1" max="1" width="7.875" style="12" hidden="1" customWidth="1" outlineLevel="2"/>
    <col min="2" max="2" width="11.375" style="12" hidden="1" customWidth="1" outlineLevel="2"/>
    <col min="3" max="3" width="15" style="14" customWidth="1" collapsed="1"/>
    <col min="4" max="4" width="50.25" style="13" customWidth="1"/>
    <col min="5" max="5" width="14.875" style="112" customWidth="1"/>
    <col min="6" max="6" width="14.875" style="117" customWidth="1" collapsed="1"/>
    <col min="7" max="7" width="14.875" style="12" hidden="1" customWidth="1" outlineLevel="1"/>
    <col min="8" max="8" width="54" style="796" hidden="1" customWidth="1" outlineLevel="1" collapsed="1"/>
    <col min="9" max="9" width="14.875" style="12" customWidth="1" collapsed="1"/>
    <col min="10" max="10" width="14.875" style="12" hidden="1" customWidth="1" outlineLevel="1"/>
    <col min="11" max="11" width="56.375" style="1" hidden="1" customWidth="1" outlineLevel="1" collapsed="1"/>
    <col min="12" max="12" width="14.875" style="12" customWidth="1" collapsed="1"/>
    <col min="13" max="13" width="14.875" style="12" hidden="1" customWidth="1" outlineLevel="1"/>
    <col min="14" max="14" width="64.875" style="1" hidden="1" customWidth="1" outlineLevel="1" collapsed="1"/>
    <col min="15" max="15" width="14.875" style="12" customWidth="1" collapsed="1"/>
    <col min="16" max="16" width="14.875" style="12" hidden="1" customWidth="1" outlineLevel="1"/>
    <col min="17" max="17" width="56.375" style="1" hidden="1" customWidth="1" outlineLevel="1" collapsed="1"/>
    <col min="18" max="18" width="4.625" style="1" customWidth="1" collapsed="1"/>
    <col min="19" max="19" width="14.875" style="12" customWidth="1" outlineLevel="1" collapsed="1"/>
    <col min="20" max="20" width="14.875" style="319" customWidth="1" outlineLevel="1" collapsed="1"/>
    <col min="21" max="21" width="45.875" style="178" customWidth="1" outlineLevel="1" collapsed="1"/>
    <col min="22" max="22" width="12.375" style="12" bestFit="1" customWidth="1"/>
    <col min="23" max="187" width="9" style="12"/>
    <col min="188" max="189" width="0" style="12" hidden="1" customWidth="1"/>
    <col min="190" max="190" width="13.75" style="12" customWidth="1"/>
    <col min="191" max="191" width="52.875" style="12" customWidth="1"/>
    <col min="192" max="231" width="0" style="12" hidden="1" customWidth="1"/>
    <col min="232" max="233" width="14.875" style="12" customWidth="1"/>
    <col min="234" max="235" width="0" style="12" hidden="1" customWidth="1"/>
    <col min="236" max="236" width="14.875" style="12" customWidth="1"/>
    <col min="237" max="238" width="0" style="12" hidden="1" customWidth="1"/>
    <col min="239" max="239" width="14.875" style="12" customWidth="1"/>
    <col min="240" max="241" width="0" style="12" hidden="1" customWidth="1"/>
    <col min="242" max="242" width="14.875" style="12" customWidth="1"/>
    <col min="243" max="244" width="0" style="12" hidden="1" customWidth="1"/>
    <col min="245" max="245" width="14.875" style="12" customWidth="1"/>
    <col min="246" max="247" width="0" style="12" hidden="1" customWidth="1"/>
    <col min="248" max="249" width="14.875" style="12" customWidth="1"/>
    <col min="250" max="250" width="44.375" style="12" customWidth="1"/>
    <col min="251" max="255" width="14.875" style="12" customWidth="1"/>
    <col min="256" max="256" width="63.875" style="12" customWidth="1"/>
    <col min="257" max="257" width="13.25" style="12" customWidth="1"/>
    <col min="258" max="443" width="9" style="12"/>
    <col min="444" max="445" width="0" style="12" hidden="1" customWidth="1"/>
    <col min="446" max="446" width="13.75" style="12" customWidth="1"/>
    <col min="447" max="447" width="52.875" style="12" customWidth="1"/>
    <col min="448" max="487" width="0" style="12" hidden="1" customWidth="1"/>
    <col min="488" max="489" width="14.875" style="12" customWidth="1"/>
    <col min="490" max="491" width="0" style="12" hidden="1" customWidth="1"/>
    <col min="492" max="492" width="14.875" style="12" customWidth="1"/>
    <col min="493" max="494" width="0" style="12" hidden="1" customWidth="1"/>
    <col min="495" max="495" width="14.875" style="12" customWidth="1"/>
    <col min="496" max="497" width="0" style="12" hidden="1" customWidth="1"/>
    <col min="498" max="498" width="14.875" style="12" customWidth="1"/>
    <col min="499" max="500" width="0" style="12" hidden="1" customWidth="1"/>
    <col min="501" max="501" width="14.875" style="12" customWidth="1"/>
    <col min="502" max="503" width="0" style="12" hidden="1" customWidth="1"/>
    <col min="504" max="505" width="14.875" style="12" customWidth="1"/>
    <col min="506" max="506" width="44.375" style="12" customWidth="1"/>
    <col min="507" max="511" width="14.875" style="12" customWidth="1"/>
    <col min="512" max="512" width="63.875" style="12" customWidth="1"/>
    <col min="513" max="513" width="13.25" style="12" customWidth="1"/>
    <col min="514" max="699" width="9" style="12"/>
    <col min="700" max="701" width="0" style="12" hidden="1" customWidth="1"/>
    <col min="702" max="702" width="13.75" style="12" customWidth="1"/>
    <col min="703" max="703" width="52.875" style="12" customWidth="1"/>
    <col min="704" max="743" width="0" style="12" hidden="1" customWidth="1"/>
    <col min="744" max="745" width="14.875" style="12" customWidth="1"/>
    <col min="746" max="747" width="0" style="12" hidden="1" customWidth="1"/>
    <col min="748" max="748" width="14.875" style="12" customWidth="1"/>
    <col min="749" max="750" width="0" style="12" hidden="1" customWidth="1"/>
    <col min="751" max="751" width="14.875" style="12" customWidth="1"/>
    <col min="752" max="753" width="0" style="12" hidden="1" customWidth="1"/>
    <col min="754" max="754" width="14.875" style="12" customWidth="1"/>
    <col min="755" max="756" width="0" style="12" hidden="1" customWidth="1"/>
    <col min="757" max="757" width="14.875" style="12" customWidth="1"/>
    <col min="758" max="759" width="0" style="12" hidden="1" customWidth="1"/>
    <col min="760" max="761" width="14.875" style="12" customWidth="1"/>
    <col min="762" max="762" width="44.375" style="12" customWidth="1"/>
    <col min="763" max="767" width="14.875" style="12" customWidth="1"/>
    <col min="768" max="768" width="63.875" style="12" customWidth="1"/>
    <col min="769" max="769" width="13.25" style="12" customWidth="1"/>
    <col min="770" max="955" width="9" style="12"/>
    <col min="956" max="957" width="0" style="12" hidden="1" customWidth="1"/>
    <col min="958" max="958" width="13.75" style="12" customWidth="1"/>
    <col min="959" max="959" width="52.875" style="12" customWidth="1"/>
    <col min="960" max="999" width="0" style="12" hidden="1" customWidth="1"/>
    <col min="1000" max="1001" width="14.875" style="12" customWidth="1"/>
    <col min="1002" max="1003" width="0" style="12" hidden="1" customWidth="1"/>
    <col min="1004" max="1004" width="14.875" style="12" customWidth="1"/>
    <col min="1005" max="1006" width="0" style="12" hidden="1" customWidth="1"/>
    <col min="1007" max="1007" width="14.875" style="12" customWidth="1"/>
    <col min="1008" max="1009" width="0" style="12" hidden="1" customWidth="1"/>
    <col min="1010" max="1010" width="14.875" style="12" customWidth="1"/>
    <col min="1011" max="1012" width="0" style="12" hidden="1" customWidth="1"/>
    <col min="1013" max="1013" width="14.875" style="12" customWidth="1"/>
    <col min="1014" max="1015" width="0" style="12" hidden="1" customWidth="1"/>
    <col min="1016" max="1017" width="14.875" style="12" customWidth="1"/>
    <col min="1018" max="1018" width="44.375" style="12" customWidth="1"/>
    <col min="1019" max="1023" width="14.875" style="12" customWidth="1"/>
    <col min="1024" max="1024" width="63.875" style="12" customWidth="1"/>
    <col min="1025" max="1025" width="13.25" style="12" customWidth="1"/>
    <col min="1026" max="1211" width="9" style="12"/>
    <col min="1212" max="1213" width="0" style="12" hidden="1" customWidth="1"/>
    <col min="1214" max="1214" width="13.75" style="12" customWidth="1"/>
    <col min="1215" max="1215" width="52.875" style="12" customWidth="1"/>
    <col min="1216" max="1255" width="0" style="12" hidden="1" customWidth="1"/>
    <col min="1256" max="1257" width="14.875" style="12" customWidth="1"/>
    <col min="1258" max="1259" width="0" style="12" hidden="1" customWidth="1"/>
    <col min="1260" max="1260" width="14.875" style="12" customWidth="1"/>
    <col min="1261" max="1262" width="0" style="12" hidden="1" customWidth="1"/>
    <col min="1263" max="1263" width="14.875" style="12" customWidth="1"/>
    <col min="1264" max="1265" width="0" style="12" hidden="1" customWidth="1"/>
    <col min="1266" max="1266" width="14.875" style="12" customWidth="1"/>
    <col min="1267" max="1268" width="0" style="12" hidden="1" customWidth="1"/>
    <col min="1269" max="1269" width="14.875" style="12" customWidth="1"/>
    <col min="1270" max="1271" width="0" style="12" hidden="1" customWidth="1"/>
    <col min="1272" max="1273" width="14.875" style="12" customWidth="1"/>
    <col min="1274" max="1274" width="44.375" style="12" customWidth="1"/>
    <col min="1275" max="1279" width="14.875" style="12" customWidth="1"/>
    <col min="1280" max="1280" width="63.875" style="12" customWidth="1"/>
    <col min="1281" max="1281" width="13.25" style="12" customWidth="1"/>
    <col min="1282" max="1467" width="9" style="12"/>
    <col min="1468" max="1469" width="0" style="12" hidden="1" customWidth="1"/>
    <col min="1470" max="1470" width="13.75" style="12" customWidth="1"/>
    <col min="1471" max="1471" width="52.875" style="12" customWidth="1"/>
    <col min="1472" max="1511" width="0" style="12" hidden="1" customWidth="1"/>
    <col min="1512" max="1513" width="14.875" style="12" customWidth="1"/>
    <col min="1514" max="1515" width="0" style="12" hidden="1" customWidth="1"/>
    <col min="1516" max="1516" width="14.875" style="12" customWidth="1"/>
    <col min="1517" max="1518" width="0" style="12" hidden="1" customWidth="1"/>
    <col min="1519" max="1519" width="14.875" style="12" customWidth="1"/>
    <col min="1520" max="1521" width="0" style="12" hidden="1" customWidth="1"/>
    <col min="1522" max="1522" width="14.875" style="12" customWidth="1"/>
    <col min="1523" max="1524" width="0" style="12" hidden="1" customWidth="1"/>
    <col min="1525" max="1525" width="14.875" style="12" customWidth="1"/>
    <col min="1526" max="1527" width="0" style="12" hidden="1" customWidth="1"/>
    <col min="1528" max="1529" width="14.875" style="12" customWidth="1"/>
    <col min="1530" max="1530" width="44.375" style="12" customWidth="1"/>
    <col min="1531" max="1535" width="14.875" style="12" customWidth="1"/>
    <col min="1536" max="1536" width="63.875" style="12" customWidth="1"/>
    <col min="1537" max="1537" width="13.25" style="12" customWidth="1"/>
    <col min="1538" max="1723" width="9" style="12"/>
    <col min="1724" max="1725" width="0" style="12" hidden="1" customWidth="1"/>
    <col min="1726" max="1726" width="13.75" style="12" customWidth="1"/>
    <col min="1727" max="1727" width="52.875" style="12" customWidth="1"/>
    <col min="1728" max="1767" width="0" style="12" hidden="1" customWidth="1"/>
    <col min="1768" max="1769" width="14.875" style="12" customWidth="1"/>
    <col min="1770" max="1771" width="0" style="12" hidden="1" customWidth="1"/>
    <col min="1772" max="1772" width="14.875" style="12" customWidth="1"/>
    <col min="1773" max="1774" width="0" style="12" hidden="1" customWidth="1"/>
    <col min="1775" max="1775" width="14.875" style="12" customWidth="1"/>
    <col min="1776" max="1777" width="0" style="12" hidden="1" customWidth="1"/>
    <col min="1778" max="1778" width="14.875" style="12" customWidth="1"/>
    <col min="1779" max="1780" width="0" style="12" hidden="1" customWidth="1"/>
    <col min="1781" max="1781" width="14.875" style="12" customWidth="1"/>
    <col min="1782" max="1783" width="0" style="12" hidden="1" customWidth="1"/>
    <col min="1784" max="1785" width="14.875" style="12" customWidth="1"/>
    <col min="1786" max="1786" width="44.375" style="12" customWidth="1"/>
    <col min="1787" max="1791" width="14.875" style="12" customWidth="1"/>
    <col min="1792" max="1792" width="63.875" style="12" customWidth="1"/>
    <col min="1793" max="1793" width="13.25" style="12" customWidth="1"/>
    <col min="1794" max="1979" width="9" style="12"/>
    <col min="1980" max="1981" width="0" style="12" hidden="1" customWidth="1"/>
    <col min="1982" max="1982" width="13.75" style="12" customWidth="1"/>
    <col min="1983" max="1983" width="52.875" style="12" customWidth="1"/>
    <col min="1984" max="2023" width="0" style="12" hidden="1" customWidth="1"/>
    <col min="2024" max="2025" width="14.875" style="12" customWidth="1"/>
    <col min="2026" max="2027" width="0" style="12" hidden="1" customWidth="1"/>
    <col min="2028" max="2028" width="14.875" style="12" customWidth="1"/>
    <col min="2029" max="2030" width="0" style="12" hidden="1" customWidth="1"/>
    <col min="2031" max="2031" width="14.875" style="12" customWidth="1"/>
    <col min="2032" max="2033" width="0" style="12" hidden="1" customWidth="1"/>
    <col min="2034" max="2034" width="14.875" style="12" customWidth="1"/>
    <col min="2035" max="2036" width="0" style="12" hidden="1" customWidth="1"/>
    <col min="2037" max="2037" width="14.875" style="12" customWidth="1"/>
    <col min="2038" max="2039" width="0" style="12" hidden="1" customWidth="1"/>
    <col min="2040" max="2041" width="14.875" style="12" customWidth="1"/>
    <col min="2042" max="2042" width="44.375" style="12" customWidth="1"/>
    <col min="2043" max="2047" width="14.875" style="12" customWidth="1"/>
    <col min="2048" max="2048" width="63.875" style="12" customWidth="1"/>
    <col min="2049" max="2049" width="13.25" style="12" customWidth="1"/>
    <col min="2050" max="2235" width="9" style="12"/>
    <col min="2236" max="2237" width="0" style="12" hidden="1" customWidth="1"/>
    <col min="2238" max="2238" width="13.75" style="12" customWidth="1"/>
    <col min="2239" max="2239" width="52.875" style="12" customWidth="1"/>
    <col min="2240" max="2279" width="0" style="12" hidden="1" customWidth="1"/>
    <col min="2280" max="2281" width="14.875" style="12" customWidth="1"/>
    <col min="2282" max="2283" width="0" style="12" hidden="1" customWidth="1"/>
    <col min="2284" max="2284" width="14.875" style="12" customWidth="1"/>
    <col min="2285" max="2286" width="0" style="12" hidden="1" customWidth="1"/>
    <col min="2287" max="2287" width="14.875" style="12" customWidth="1"/>
    <col min="2288" max="2289" width="0" style="12" hidden="1" customWidth="1"/>
    <col min="2290" max="2290" width="14.875" style="12" customWidth="1"/>
    <col min="2291" max="2292" width="0" style="12" hidden="1" customWidth="1"/>
    <col min="2293" max="2293" width="14.875" style="12" customWidth="1"/>
    <col min="2294" max="2295" width="0" style="12" hidden="1" customWidth="1"/>
    <col min="2296" max="2297" width="14.875" style="12" customWidth="1"/>
    <col min="2298" max="2298" width="44.375" style="12" customWidth="1"/>
    <col min="2299" max="2303" width="14.875" style="12" customWidth="1"/>
    <col min="2304" max="2304" width="63.875" style="12" customWidth="1"/>
    <col min="2305" max="2305" width="13.25" style="12" customWidth="1"/>
    <col min="2306" max="2491" width="9" style="12"/>
    <col min="2492" max="2493" width="0" style="12" hidden="1" customWidth="1"/>
    <col min="2494" max="2494" width="13.75" style="12" customWidth="1"/>
    <col min="2495" max="2495" width="52.875" style="12" customWidth="1"/>
    <col min="2496" max="2535" width="0" style="12" hidden="1" customWidth="1"/>
    <col min="2536" max="2537" width="14.875" style="12" customWidth="1"/>
    <col min="2538" max="2539" width="0" style="12" hidden="1" customWidth="1"/>
    <col min="2540" max="2540" width="14.875" style="12" customWidth="1"/>
    <col min="2541" max="2542" width="0" style="12" hidden="1" customWidth="1"/>
    <col min="2543" max="2543" width="14.875" style="12" customWidth="1"/>
    <col min="2544" max="2545" width="0" style="12" hidden="1" customWidth="1"/>
    <col min="2546" max="2546" width="14.875" style="12" customWidth="1"/>
    <col min="2547" max="2548" width="0" style="12" hidden="1" customWidth="1"/>
    <col min="2549" max="2549" width="14.875" style="12" customWidth="1"/>
    <col min="2550" max="2551" width="0" style="12" hidden="1" customWidth="1"/>
    <col min="2552" max="2553" width="14.875" style="12" customWidth="1"/>
    <col min="2554" max="2554" width="44.375" style="12" customWidth="1"/>
    <col min="2555" max="2559" width="14.875" style="12" customWidth="1"/>
    <col min="2560" max="2560" width="63.875" style="12" customWidth="1"/>
    <col min="2561" max="2561" width="13.25" style="12" customWidth="1"/>
    <col min="2562" max="2747" width="9" style="12"/>
    <col min="2748" max="2749" width="0" style="12" hidden="1" customWidth="1"/>
    <col min="2750" max="2750" width="13.75" style="12" customWidth="1"/>
    <col min="2751" max="2751" width="52.875" style="12" customWidth="1"/>
    <col min="2752" max="2791" width="0" style="12" hidden="1" customWidth="1"/>
    <col min="2792" max="2793" width="14.875" style="12" customWidth="1"/>
    <col min="2794" max="2795" width="0" style="12" hidden="1" customWidth="1"/>
    <col min="2796" max="2796" width="14.875" style="12" customWidth="1"/>
    <col min="2797" max="2798" width="0" style="12" hidden="1" customWidth="1"/>
    <col min="2799" max="2799" width="14.875" style="12" customWidth="1"/>
    <col min="2800" max="2801" width="0" style="12" hidden="1" customWidth="1"/>
    <col min="2802" max="2802" width="14.875" style="12" customWidth="1"/>
    <col min="2803" max="2804" width="0" style="12" hidden="1" customWidth="1"/>
    <col min="2805" max="2805" width="14.875" style="12" customWidth="1"/>
    <col min="2806" max="2807" width="0" style="12" hidden="1" customWidth="1"/>
    <col min="2808" max="2809" width="14.875" style="12" customWidth="1"/>
    <col min="2810" max="2810" width="44.375" style="12" customWidth="1"/>
    <col min="2811" max="2815" width="14.875" style="12" customWidth="1"/>
    <col min="2816" max="2816" width="63.875" style="12" customWidth="1"/>
    <col min="2817" max="2817" width="13.25" style="12" customWidth="1"/>
    <col min="2818" max="3003" width="9" style="12"/>
    <col min="3004" max="3005" width="0" style="12" hidden="1" customWidth="1"/>
    <col min="3006" max="3006" width="13.75" style="12" customWidth="1"/>
    <col min="3007" max="3007" width="52.875" style="12" customWidth="1"/>
    <col min="3008" max="3047" width="0" style="12" hidden="1" customWidth="1"/>
    <col min="3048" max="3049" width="14.875" style="12" customWidth="1"/>
    <col min="3050" max="3051" width="0" style="12" hidden="1" customWidth="1"/>
    <col min="3052" max="3052" width="14.875" style="12" customWidth="1"/>
    <col min="3053" max="3054" width="0" style="12" hidden="1" customWidth="1"/>
    <col min="3055" max="3055" width="14.875" style="12" customWidth="1"/>
    <col min="3056" max="3057" width="0" style="12" hidden="1" customWidth="1"/>
    <col min="3058" max="3058" width="14.875" style="12" customWidth="1"/>
    <col min="3059" max="3060" width="0" style="12" hidden="1" customWidth="1"/>
    <col min="3061" max="3061" width="14.875" style="12" customWidth="1"/>
    <col min="3062" max="3063" width="0" style="12" hidden="1" customWidth="1"/>
    <col min="3064" max="3065" width="14.875" style="12" customWidth="1"/>
    <col min="3066" max="3066" width="44.375" style="12" customWidth="1"/>
    <col min="3067" max="3071" width="14.875" style="12" customWidth="1"/>
    <col min="3072" max="3072" width="63.875" style="12" customWidth="1"/>
    <col min="3073" max="3073" width="13.25" style="12" customWidth="1"/>
    <col min="3074" max="3259" width="9" style="12"/>
    <col min="3260" max="3261" width="0" style="12" hidden="1" customWidth="1"/>
    <col min="3262" max="3262" width="13.75" style="12" customWidth="1"/>
    <col min="3263" max="3263" width="52.875" style="12" customWidth="1"/>
    <col min="3264" max="3303" width="0" style="12" hidden="1" customWidth="1"/>
    <col min="3304" max="3305" width="14.875" style="12" customWidth="1"/>
    <col min="3306" max="3307" width="0" style="12" hidden="1" customWidth="1"/>
    <col min="3308" max="3308" width="14.875" style="12" customWidth="1"/>
    <col min="3309" max="3310" width="0" style="12" hidden="1" customWidth="1"/>
    <col min="3311" max="3311" width="14.875" style="12" customWidth="1"/>
    <col min="3312" max="3313" width="0" style="12" hidden="1" customWidth="1"/>
    <col min="3314" max="3314" width="14.875" style="12" customWidth="1"/>
    <col min="3315" max="3316" width="0" style="12" hidden="1" customWidth="1"/>
    <col min="3317" max="3317" width="14.875" style="12" customWidth="1"/>
    <col min="3318" max="3319" width="0" style="12" hidden="1" customWidth="1"/>
    <col min="3320" max="3321" width="14.875" style="12" customWidth="1"/>
    <col min="3322" max="3322" width="44.375" style="12" customWidth="1"/>
    <col min="3323" max="3327" width="14.875" style="12" customWidth="1"/>
    <col min="3328" max="3328" width="63.875" style="12" customWidth="1"/>
    <col min="3329" max="3329" width="13.25" style="12" customWidth="1"/>
    <col min="3330" max="3515" width="9" style="12"/>
    <col min="3516" max="3517" width="0" style="12" hidden="1" customWidth="1"/>
    <col min="3518" max="3518" width="13.75" style="12" customWidth="1"/>
    <col min="3519" max="3519" width="52.875" style="12" customWidth="1"/>
    <col min="3520" max="3559" width="0" style="12" hidden="1" customWidth="1"/>
    <col min="3560" max="3561" width="14.875" style="12" customWidth="1"/>
    <col min="3562" max="3563" width="0" style="12" hidden="1" customWidth="1"/>
    <col min="3564" max="3564" width="14.875" style="12" customWidth="1"/>
    <col min="3565" max="3566" width="0" style="12" hidden="1" customWidth="1"/>
    <col min="3567" max="3567" width="14.875" style="12" customWidth="1"/>
    <col min="3568" max="3569" width="0" style="12" hidden="1" customWidth="1"/>
    <col min="3570" max="3570" width="14.875" style="12" customWidth="1"/>
    <col min="3571" max="3572" width="0" style="12" hidden="1" customWidth="1"/>
    <col min="3573" max="3573" width="14.875" style="12" customWidth="1"/>
    <col min="3574" max="3575" width="0" style="12" hidden="1" customWidth="1"/>
    <col min="3576" max="3577" width="14.875" style="12" customWidth="1"/>
    <col min="3578" max="3578" width="44.375" style="12" customWidth="1"/>
    <col min="3579" max="3583" width="14.875" style="12" customWidth="1"/>
    <col min="3584" max="3584" width="63.875" style="12" customWidth="1"/>
    <col min="3585" max="3585" width="13.25" style="12" customWidth="1"/>
    <col min="3586" max="3771" width="9" style="12"/>
    <col min="3772" max="3773" width="0" style="12" hidden="1" customWidth="1"/>
    <col min="3774" max="3774" width="13.75" style="12" customWidth="1"/>
    <col min="3775" max="3775" width="52.875" style="12" customWidth="1"/>
    <col min="3776" max="3815" width="0" style="12" hidden="1" customWidth="1"/>
    <col min="3816" max="3817" width="14.875" style="12" customWidth="1"/>
    <col min="3818" max="3819" width="0" style="12" hidden="1" customWidth="1"/>
    <col min="3820" max="3820" width="14.875" style="12" customWidth="1"/>
    <col min="3821" max="3822" width="0" style="12" hidden="1" customWidth="1"/>
    <col min="3823" max="3823" width="14.875" style="12" customWidth="1"/>
    <col min="3824" max="3825" width="0" style="12" hidden="1" customWidth="1"/>
    <col min="3826" max="3826" width="14.875" style="12" customWidth="1"/>
    <col min="3827" max="3828" width="0" style="12" hidden="1" customWidth="1"/>
    <col min="3829" max="3829" width="14.875" style="12" customWidth="1"/>
    <col min="3830" max="3831" width="0" style="12" hidden="1" customWidth="1"/>
    <col min="3832" max="3833" width="14.875" style="12" customWidth="1"/>
    <col min="3834" max="3834" width="44.375" style="12" customWidth="1"/>
    <col min="3835" max="3839" width="14.875" style="12" customWidth="1"/>
    <col min="3840" max="3840" width="63.875" style="12" customWidth="1"/>
    <col min="3841" max="3841" width="13.25" style="12" customWidth="1"/>
    <col min="3842" max="4027" width="9" style="12"/>
    <col min="4028" max="4029" width="0" style="12" hidden="1" customWidth="1"/>
    <col min="4030" max="4030" width="13.75" style="12" customWidth="1"/>
    <col min="4031" max="4031" width="52.875" style="12" customWidth="1"/>
    <col min="4032" max="4071" width="0" style="12" hidden="1" customWidth="1"/>
    <col min="4072" max="4073" width="14.875" style="12" customWidth="1"/>
    <col min="4074" max="4075" width="0" style="12" hidden="1" customWidth="1"/>
    <col min="4076" max="4076" width="14.875" style="12" customWidth="1"/>
    <col min="4077" max="4078" width="0" style="12" hidden="1" customWidth="1"/>
    <col min="4079" max="4079" width="14.875" style="12" customWidth="1"/>
    <col min="4080" max="4081" width="0" style="12" hidden="1" customWidth="1"/>
    <col min="4082" max="4082" width="14.875" style="12" customWidth="1"/>
    <col min="4083" max="4084" width="0" style="12" hidden="1" customWidth="1"/>
    <col min="4085" max="4085" width="14.875" style="12" customWidth="1"/>
    <col min="4086" max="4087" width="0" style="12" hidden="1" customWidth="1"/>
    <col min="4088" max="4089" width="14.875" style="12" customWidth="1"/>
    <col min="4090" max="4090" width="44.375" style="12" customWidth="1"/>
    <col min="4091" max="4095" width="14.875" style="12" customWidth="1"/>
    <col min="4096" max="4096" width="63.875" style="12" customWidth="1"/>
    <col min="4097" max="4097" width="13.25" style="12" customWidth="1"/>
    <col min="4098" max="4283" width="9" style="12"/>
    <col min="4284" max="4285" width="0" style="12" hidden="1" customWidth="1"/>
    <col min="4286" max="4286" width="13.75" style="12" customWidth="1"/>
    <col min="4287" max="4287" width="52.875" style="12" customWidth="1"/>
    <col min="4288" max="4327" width="0" style="12" hidden="1" customWidth="1"/>
    <col min="4328" max="4329" width="14.875" style="12" customWidth="1"/>
    <col min="4330" max="4331" width="0" style="12" hidden="1" customWidth="1"/>
    <col min="4332" max="4332" width="14.875" style="12" customWidth="1"/>
    <col min="4333" max="4334" width="0" style="12" hidden="1" customWidth="1"/>
    <col min="4335" max="4335" width="14.875" style="12" customWidth="1"/>
    <col min="4336" max="4337" width="0" style="12" hidden="1" customWidth="1"/>
    <col min="4338" max="4338" width="14.875" style="12" customWidth="1"/>
    <col min="4339" max="4340" width="0" style="12" hidden="1" customWidth="1"/>
    <col min="4341" max="4341" width="14.875" style="12" customWidth="1"/>
    <col min="4342" max="4343" width="0" style="12" hidden="1" customWidth="1"/>
    <col min="4344" max="4345" width="14.875" style="12" customWidth="1"/>
    <col min="4346" max="4346" width="44.375" style="12" customWidth="1"/>
    <col min="4347" max="4351" width="14.875" style="12" customWidth="1"/>
    <col min="4352" max="4352" width="63.875" style="12" customWidth="1"/>
    <col min="4353" max="4353" width="13.25" style="12" customWidth="1"/>
    <col min="4354" max="4539" width="9" style="12"/>
    <col min="4540" max="4541" width="0" style="12" hidden="1" customWidth="1"/>
    <col min="4542" max="4542" width="13.75" style="12" customWidth="1"/>
    <col min="4543" max="4543" width="52.875" style="12" customWidth="1"/>
    <col min="4544" max="4583" width="0" style="12" hidden="1" customWidth="1"/>
    <col min="4584" max="4585" width="14.875" style="12" customWidth="1"/>
    <col min="4586" max="4587" width="0" style="12" hidden="1" customWidth="1"/>
    <col min="4588" max="4588" width="14.875" style="12" customWidth="1"/>
    <col min="4589" max="4590" width="0" style="12" hidden="1" customWidth="1"/>
    <col min="4591" max="4591" width="14.875" style="12" customWidth="1"/>
    <col min="4592" max="4593" width="0" style="12" hidden="1" customWidth="1"/>
    <col min="4594" max="4594" width="14.875" style="12" customWidth="1"/>
    <col min="4595" max="4596" width="0" style="12" hidden="1" customWidth="1"/>
    <col min="4597" max="4597" width="14.875" style="12" customWidth="1"/>
    <col min="4598" max="4599" width="0" style="12" hidden="1" customWidth="1"/>
    <col min="4600" max="4601" width="14.875" style="12" customWidth="1"/>
    <col min="4602" max="4602" width="44.375" style="12" customWidth="1"/>
    <col min="4603" max="4607" width="14.875" style="12" customWidth="1"/>
    <col min="4608" max="4608" width="63.875" style="12" customWidth="1"/>
    <col min="4609" max="4609" width="13.25" style="12" customWidth="1"/>
    <col min="4610" max="4795" width="9" style="12"/>
    <col min="4796" max="4797" width="0" style="12" hidden="1" customWidth="1"/>
    <col min="4798" max="4798" width="13.75" style="12" customWidth="1"/>
    <col min="4799" max="4799" width="52.875" style="12" customWidth="1"/>
    <col min="4800" max="4839" width="0" style="12" hidden="1" customWidth="1"/>
    <col min="4840" max="4841" width="14.875" style="12" customWidth="1"/>
    <col min="4842" max="4843" width="0" style="12" hidden="1" customWidth="1"/>
    <col min="4844" max="4844" width="14.875" style="12" customWidth="1"/>
    <col min="4845" max="4846" width="0" style="12" hidden="1" customWidth="1"/>
    <col min="4847" max="4847" width="14.875" style="12" customWidth="1"/>
    <col min="4848" max="4849" width="0" style="12" hidden="1" customWidth="1"/>
    <col min="4850" max="4850" width="14.875" style="12" customWidth="1"/>
    <col min="4851" max="4852" width="0" style="12" hidden="1" customWidth="1"/>
    <col min="4853" max="4853" width="14.875" style="12" customWidth="1"/>
    <col min="4854" max="4855" width="0" style="12" hidden="1" customWidth="1"/>
    <col min="4856" max="4857" width="14.875" style="12" customWidth="1"/>
    <col min="4858" max="4858" width="44.375" style="12" customWidth="1"/>
    <col min="4859" max="4863" width="14.875" style="12" customWidth="1"/>
    <col min="4864" max="4864" width="63.875" style="12" customWidth="1"/>
    <col min="4865" max="4865" width="13.25" style="12" customWidth="1"/>
    <col min="4866" max="5051" width="9" style="12"/>
    <col min="5052" max="5053" width="0" style="12" hidden="1" customWidth="1"/>
    <col min="5054" max="5054" width="13.75" style="12" customWidth="1"/>
    <col min="5055" max="5055" width="52.875" style="12" customWidth="1"/>
    <col min="5056" max="5095" width="0" style="12" hidden="1" customWidth="1"/>
    <col min="5096" max="5097" width="14.875" style="12" customWidth="1"/>
    <col min="5098" max="5099" width="0" style="12" hidden="1" customWidth="1"/>
    <col min="5100" max="5100" width="14.875" style="12" customWidth="1"/>
    <col min="5101" max="5102" width="0" style="12" hidden="1" customWidth="1"/>
    <col min="5103" max="5103" width="14.875" style="12" customWidth="1"/>
    <col min="5104" max="5105" width="0" style="12" hidden="1" customWidth="1"/>
    <col min="5106" max="5106" width="14.875" style="12" customWidth="1"/>
    <col min="5107" max="5108" width="0" style="12" hidden="1" customWidth="1"/>
    <col min="5109" max="5109" width="14.875" style="12" customWidth="1"/>
    <col min="5110" max="5111" width="0" style="12" hidden="1" customWidth="1"/>
    <col min="5112" max="5113" width="14.875" style="12" customWidth="1"/>
    <col min="5114" max="5114" width="44.375" style="12" customWidth="1"/>
    <col min="5115" max="5119" width="14.875" style="12" customWidth="1"/>
    <col min="5120" max="5120" width="63.875" style="12" customWidth="1"/>
    <col min="5121" max="5121" width="13.25" style="12" customWidth="1"/>
    <col min="5122" max="5307" width="9" style="12"/>
    <col min="5308" max="5309" width="0" style="12" hidden="1" customWidth="1"/>
    <col min="5310" max="5310" width="13.75" style="12" customWidth="1"/>
    <col min="5311" max="5311" width="52.875" style="12" customWidth="1"/>
    <col min="5312" max="5351" width="0" style="12" hidden="1" customWidth="1"/>
    <col min="5352" max="5353" width="14.875" style="12" customWidth="1"/>
    <col min="5354" max="5355" width="0" style="12" hidden="1" customWidth="1"/>
    <col min="5356" max="5356" width="14.875" style="12" customWidth="1"/>
    <col min="5357" max="5358" width="0" style="12" hidden="1" customWidth="1"/>
    <col min="5359" max="5359" width="14.875" style="12" customWidth="1"/>
    <col min="5360" max="5361" width="0" style="12" hidden="1" customWidth="1"/>
    <col min="5362" max="5362" width="14.875" style="12" customWidth="1"/>
    <col min="5363" max="5364" width="0" style="12" hidden="1" customWidth="1"/>
    <col min="5365" max="5365" width="14.875" style="12" customWidth="1"/>
    <col min="5366" max="5367" width="0" style="12" hidden="1" customWidth="1"/>
    <col min="5368" max="5369" width="14.875" style="12" customWidth="1"/>
    <col min="5370" max="5370" width="44.375" style="12" customWidth="1"/>
    <col min="5371" max="5375" width="14.875" style="12" customWidth="1"/>
    <col min="5376" max="5376" width="63.875" style="12" customWidth="1"/>
    <col min="5377" max="5377" width="13.25" style="12" customWidth="1"/>
    <col min="5378" max="5563" width="9" style="12"/>
    <col min="5564" max="5565" width="0" style="12" hidden="1" customWidth="1"/>
    <col min="5566" max="5566" width="13.75" style="12" customWidth="1"/>
    <col min="5567" max="5567" width="52.875" style="12" customWidth="1"/>
    <col min="5568" max="5607" width="0" style="12" hidden="1" customWidth="1"/>
    <col min="5608" max="5609" width="14.875" style="12" customWidth="1"/>
    <col min="5610" max="5611" width="0" style="12" hidden="1" customWidth="1"/>
    <col min="5612" max="5612" width="14.875" style="12" customWidth="1"/>
    <col min="5613" max="5614" width="0" style="12" hidden="1" customWidth="1"/>
    <col min="5615" max="5615" width="14.875" style="12" customWidth="1"/>
    <col min="5616" max="5617" width="0" style="12" hidden="1" customWidth="1"/>
    <col min="5618" max="5618" width="14.875" style="12" customWidth="1"/>
    <col min="5619" max="5620" width="0" style="12" hidden="1" customWidth="1"/>
    <col min="5621" max="5621" width="14.875" style="12" customWidth="1"/>
    <col min="5622" max="5623" width="0" style="12" hidden="1" customWidth="1"/>
    <col min="5624" max="5625" width="14.875" style="12" customWidth="1"/>
    <col min="5626" max="5626" width="44.375" style="12" customWidth="1"/>
    <col min="5627" max="5631" width="14.875" style="12" customWidth="1"/>
    <col min="5632" max="5632" width="63.875" style="12" customWidth="1"/>
    <col min="5633" max="5633" width="13.25" style="12" customWidth="1"/>
    <col min="5634" max="5819" width="9" style="12"/>
    <col min="5820" max="5821" width="0" style="12" hidden="1" customWidth="1"/>
    <col min="5822" max="5822" width="13.75" style="12" customWidth="1"/>
    <col min="5823" max="5823" width="52.875" style="12" customWidth="1"/>
    <col min="5824" max="5863" width="0" style="12" hidden="1" customWidth="1"/>
    <col min="5864" max="5865" width="14.875" style="12" customWidth="1"/>
    <col min="5866" max="5867" width="0" style="12" hidden="1" customWidth="1"/>
    <col min="5868" max="5868" width="14.875" style="12" customWidth="1"/>
    <col min="5869" max="5870" width="0" style="12" hidden="1" customWidth="1"/>
    <col min="5871" max="5871" width="14.875" style="12" customWidth="1"/>
    <col min="5872" max="5873" width="0" style="12" hidden="1" customWidth="1"/>
    <col min="5874" max="5874" width="14.875" style="12" customWidth="1"/>
    <col min="5875" max="5876" width="0" style="12" hidden="1" customWidth="1"/>
    <col min="5877" max="5877" width="14.875" style="12" customWidth="1"/>
    <col min="5878" max="5879" width="0" style="12" hidden="1" customWidth="1"/>
    <col min="5880" max="5881" width="14.875" style="12" customWidth="1"/>
    <col min="5882" max="5882" width="44.375" style="12" customWidth="1"/>
    <col min="5883" max="5887" width="14.875" style="12" customWidth="1"/>
    <col min="5888" max="5888" width="63.875" style="12" customWidth="1"/>
    <col min="5889" max="5889" width="13.25" style="12" customWidth="1"/>
    <col min="5890" max="6075" width="9" style="12"/>
    <col min="6076" max="6077" width="0" style="12" hidden="1" customWidth="1"/>
    <col min="6078" max="6078" width="13.75" style="12" customWidth="1"/>
    <col min="6079" max="6079" width="52.875" style="12" customWidth="1"/>
    <col min="6080" max="6119" width="0" style="12" hidden="1" customWidth="1"/>
    <col min="6120" max="6121" width="14.875" style="12" customWidth="1"/>
    <col min="6122" max="6123" width="0" style="12" hidden="1" customWidth="1"/>
    <col min="6124" max="6124" width="14.875" style="12" customWidth="1"/>
    <col min="6125" max="6126" width="0" style="12" hidden="1" customWidth="1"/>
    <col min="6127" max="6127" width="14.875" style="12" customWidth="1"/>
    <col min="6128" max="6129" width="0" style="12" hidden="1" customWidth="1"/>
    <col min="6130" max="6130" width="14.875" style="12" customWidth="1"/>
    <col min="6131" max="6132" width="0" style="12" hidden="1" customWidth="1"/>
    <col min="6133" max="6133" width="14.875" style="12" customWidth="1"/>
    <col min="6134" max="6135" width="0" style="12" hidden="1" customWidth="1"/>
    <col min="6136" max="6137" width="14.875" style="12" customWidth="1"/>
    <col min="6138" max="6138" width="44.375" style="12" customWidth="1"/>
    <col min="6139" max="6143" width="14.875" style="12" customWidth="1"/>
    <col min="6144" max="6144" width="63.875" style="12" customWidth="1"/>
    <col min="6145" max="6145" width="13.25" style="12" customWidth="1"/>
    <col min="6146" max="6331" width="9" style="12"/>
    <col min="6332" max="6333" width="0" style="12" hidden="1" customWidth="1"/>
    <col min="6334" max="6334" width="13.75" style="12" customWidth="1"/>
    <col min="6335" max="6335" width="52.875" style="12" customWidth="1"/>
    <col min="6336" max="6375" width="0" style="12" hidden="1" customWidth="1"/>
    <col min="6376" max="6377" width="14.875" style="12" customWidth="1"/>
    <col min="6378" max="6379" width="0" style="12" hidden="1" customWidth="1"/>
    <col min="6380" max="6380" width="14.875" style="12" customWidth="1"/>
    <col min="6381" max="6382" width="0" style="12" hidden="1" customWidth="1"/>
    <col min="6383" max="6383" width="14.875" style="12" customWidth="1"/>
    <col min="6384" max="6385" width="0" style="12" hidden="1" customWidth="1"/>
    <col min="6386" max="6386" width="14.875" style="12" customWidth="1"/>
    <col min="6387" max="6388" width="0" style="12" hidden="1" customWidth="1"/>
    <col min="6389" max="6389" width="14.875" style="12" customWidth="1"/>
    <col min="6390" max="6391" width="0" style="12" hidden="1" customWidth="1"/>
    <col min="6392" max="6393" width="14.875" style="12" customWidth="1"/>
    <col min="6394" max="6394" width="44.375" style="12" customWidth="1"/>
    <col min="6395" max="6399" width="14.875" style="12" customWidth="1"/>
    <col min="6400" max="6400" width="63.875" style="12" customWidth="1"/>
    <col min="6401" max="6401" width="13.25" style="12" customWidth="1"/>
    <col min="6402" max="6587" width="9" style="12"/>
    <col min="6588" max="6589" width="0" style="12" hidden="1" customWidth="1"/>
    <col min="6590" max="6590" width="13.75" style="12" customWidth="1"/>
    <col min="6591" max="6591" width="52.875" style="12" customWidth="1"/>
    <col min="6592" max="6631" width="0" style="12" hidden="1" customWidth="1"/>
    <col min="6632" max="6633" width="14.875" style="12" customWidth="1"/>
    <col min="6634" max="6635" width="0" style="12" hidden="1" customWidth="1"/>
    <col min="6636" max="6636" width="14.875" style="12" customWidth="1"/>
    <col min="6637" max="6638" width="0" style="12" hidden="1" customWidth="1"/>
    <col min="6639" max="6639" width="14.875" style="12" customWidth="1"/>
    <col min="6640" max="6641" width="0" style="12" hidden="1" customWidth="1"/>
    <col min="6642" max="6642" width="14.875" style="12" customWidth="1"/>
    <col min="6643" max="6644" width="0" style="12" hidden="1" customWidth="1"/>
    <col min="6645" max="6645" width="14.875" style="12" customWidth="1"/>
    <col min="6646" max="6647" width="0" style="12" hidden="1" customWidth="1"/>
    <col min="6648" max="6649" width="14.875" style="12" customWidth="1"/>
    <col min="6650" max="6650" width="44.375" style="12" customWidth="1"/>
    <col min="6651" max="6655" width="14.875" style="12" customWidth="1"/>
    <col min="6656" max="6656" width="63.875" style="12" customWidth="1"/>
    <col min="6657" max="6657" width="13.25" style="12" customWidth="1"/>
    <col min="6658" max="6843" width="9" style="12"/>
    <col min="6844" max="6845" width="0" style="12" hidden="1" customWidth="1"/>
    <col min="6846" max="6846" width="13.75" style="12" customWidth="1"/>
    <col min="6847" max="6847" width="52.875" style="12" customWidth="1"/>
    <col min="6848" max="6887" width="0" style="12" hidden="1" customWidth="1"/>
    <col min="6888" max="6889" width="14.875" style="12" customWidth="1"/>
    <col min="6890" max="6891" width="0" style="12" hidden="1" customWidth="1"/>
    <col min="6892" max="6892" width="14.875" style="12" customWidth="1"/>
    <col min="6893" max="6894" width="0" style="12" hidden="1" customWidth="1"/>
    <col min="6895" max="6895" width="14.875" style="12" customWidth="1"/>
    <col min="6896" max="6897" width="0" style="12" hidden="1" customWidth="1"/>
    <col min="6898" max="6898" width="14.875" style="12" customWidth="1"/>
    <col min="6899" max="6900" width="0" style="12" hidden="1" customWidth="1"/>
    <col min="6901" max="6901" width="14.875" style="12" customWidth="1"/>
    <col min="6902" max="6903" width="0" style="12" hidden="1" customWidth="1"/>
    <col min="6904" max="6905" width="14.875" style="12" customWidth="1"/>
    <col min="6906" max="6906" width="44.375" style="12" customWidth="1"/>
    <col min="6907" max="6911" width="14.875" style="12" customWidth="1"/>
    <col min="6912" max="6912" width="63.875" style="12" customWidth="1"/>
    <col min="6913" max="6913" width="13.25" style="12" customWidth="1"/>
    <col min="6914" max="7099" width="9" style="12"/>
    <col min="7100" max="7101" width="0" style="12" hidden="1" customWidth="1"/>
    <col min="7102" max="7102" width="13.75" style="12" customWidth="1"/>
    <col min="7103" max="7103" width="52.875" style="12" customWidth="1"/>
    <col min="7104" max="7143" width="0" style="12" hidden="1" customWidth="1"/>
    <col min="7144" max="7145" width="14.875" style="12" customWidth="1"/>
    <col min="7146" max="7147" width="0" style="12" hidden="1" customWidth="1"/>
    <col min="7148" max="7148" width="14.875" style="12" customWidth="1"/>
    <col min="7149" max="7150" width="0" style="12" hidden="1" customWidth="1"/>
    <col min="7151" max="7151" width="14.875" style="12" customWidth="1"/>
    <col min="7152" max="7153" width="0" style="12" hidden="1" customWidth="1"/>
    <col min="7154" max="7154" width="14.875" style="12" customWidth="1"/>
    <col min="7155" max="7156" width="0" style="12" hidden="1" customWidth="1"/>
    <col min="7157" max="7157" width="14.875" style="12" customWidth="1"/>
    <col min="7158" max="7159" width="0" style="12" hidden="1" customWidth="1"/>
    <col min="7160" max="7161" width="14.875" style="12" customWidth="1"/>
    <col min="7162" max="7162" width="44.375" style="12" customWidth="1"/>
    <col min="7163" max="7167" width="14.875" style="12" customWidth="1"/>
    <col min="7168" max="7168" width="63.875" style="12" customWidth="1"/>
    <col min="7169" max="7169" width="13.25" style="12" customWidth="1"/>
    <col min="7170" max="7355" width="9" style="12"/>
    <col min="7356" max="7357" width="0" style="12" hidden="1" customWidth="1"/>
    <col min="7358" max="7358" width="13.75" style="12" customWidth="1"/>
    <col min="7359" max="7359" width="52.875" style="12" customWidth="1"/>
    <col min="7360" max="7399" width="0" style="12" hidden="1" customWidth="1"/>
    <col min="7400" max="7401" width="14.875" style="12" customWidth="1"/>
    <col min="7402" max="7403" width="0" style="12" hidden="1" customWidth="1"/>
    <col min="7404" max="7404" width="14.875" style="12" customWidth="1"/>
    <col min="7405" max="7406" width="0" style="12" hidden="1" customWidth="1"/>
    <col min="7407" max="7407" width="14.875" style="12" customWidth="1"/>
    <col min="7408" max="7409" width="0" style="12" hidden="1" customWidth="1"/>
    <col min="7410" max="7410" width="14.875" style="12" customWidth="1"/>
    <col min="7411" max="7412" width="0" style="12" hidden="1" customWidth="1"/>
    <col min="7413" max="7413" width="14.875" style="12" customWidth="1"/>
    <col min="7414" max="7415" width="0" style="12" hidden="1" customWidth="1"/>
    <col min="7416" max="7417" width="14.875" style="12" customWidth="1"/>
    <col min="7418" max="7418" width="44.375" style="12" customWidth="1"/>
    <col min="7419" max="7423" width="14.875" style="12" customWidth="1"/>
    <col min="7424" max="7424" width="63.875" style="12" customWidth="1"/>
    <col min="7425" max="7425" width="13.25" style="12" customWidth="1"/>
    <col min="7426" max="7611" width="9" style="12"/>
    <col min="7612" max="7613" width="0" style="12" hidden="1" customWidth="1"/>
    <col min="7614" max="7614" width="13.75" style="12" customWidth="1"/>
    <col min="7615" max="7615" width="52.875" style="12" customWidth="1"/>
    <col min="7616" max="7655" width="0" style="12" hidden="1" customWidth="1"/>
    <col min="7656" max="7657" width="14.875" style="12" customWidth="1"/>
    <col min="7658" max="7659" width="0" style="12" hidden="1" customWidth="1"/>
    <col min="7660" max="7660" width="14.875" style="12" customWidth="1"/>
    <col min="7661" max="7662" width="0" style="12" hidden="1" customWidth="1"/>
    <col min="7663" max="7663" width="14.875" style="12" customWidth="1"/>
    <col min="7664" max="7665" width="0" style="12" hidden="1" customWidth="1"/>
    <col min="7666" max="7666" width="14.875" style="12" customWidth="1"/>
    <col min="7667" max="7668" width="0" style="12" hidden="1" customWidth="1"/>
    <col min="7669" max="7669" width="14.875" style="12" customWidth="1"/>
    <col min="7670" max="7671" width="0" style="12" hidden="1" customWidth="1"/>
    <col min="7672" max="7673" width="14.875" style="12" customWidth="1"/>
    <col min="7674" max="7674" width="44.375" style="12" customWidth="1"/>
    <col min="7675" max="7679" width="14.875" style="12" customWidth="1"/>
    <col min="7680" max="7680" width="63.875" style="12" customWidth="1"/>
    <col min="7681" max="7681" width="13.25" style="12" customWidth="1"/>
    <col min="7682" max="7867" width="9" style="12"/>
    <col min="7868" max="7869" width="0" style="12" hidden="1" customWidth="1"/>
    <col min="7870" max="7870" width="13.75" style="12" customWidth="1"/>
    <col min="7871" max="7871" width="52.875" style="12" customWidth="1"/>
    <col min="7872" max="7911" width="0" style="12" hidden="1" customWidth="1"/>
    <col min="7912" max="7913" width="14.875" style="12" customWidth="1"/>
    <col min="7914" max="7915" width="0" style="12" hidden="1" customWidth="1"/>
    <col min="7916" max="7916" width="14.875" style="12" customWidth="1"/>
    <col min="7917" max="7918" width="0" style="12" hidden="1" customWidth="1"/>
    <col min="7919" max="7919" width="14.875" style="12" customWidth="1"/>
    <col min="7920" max="7921" width="0" style="12" hidden="1" customWidth="1"/>
    <col min="7922" max="7922" width="14.875" style="12" customWidth="1"/>
    <col min="7923" max="7924" width="0" style="12" hidden="1" customWidth="1"/>
    <col min="7925" max="7925" width="14.875" style="12" customWidth="1"/>
    <col min="7926" max="7927" width="0" style="12" hidden="1" customWidth="1"/>
    <col min="7928" max="7929" width="14.875" style="12" customWidth="1"/>
    <col min="7930" max="7930" width="44.375" style="12" customWidth="1"/>
    <col min="7931" max="7935" width="14.875" style="12" customWidth="1"/>
    <col min="7936" max="7936" width="63.875" style="12" customWidth="1"/>
    <col min="7937" max="7937" width="13.25" style="12" customWidth="1"/>
    <col min="7938" max="8123" width="9" style="12"/>
    <col min="8124" max="8125" width="0" style="12" hidden="1" customWidth="1"/>
    <col min="8126" max="8126" width="13.75" style="12" customWidth="1"/>
    <col min="8127" max="8127" width="52.875" style="12" customWidth="1"/>
    <col min="8128" max="8167" width="0" style="12" hidden="1" customWidth="1"/>
    <col min="8168" max="8169" width="14.875" style="12" customWidth="1"/>
    <col min="8170" max="8171" width="0" style="12" hidden="1" customWidth="1"/>
    <col min="8172" max="8172" width="14.875" style="12" customWidth="1"/>
    <col min="8173" max="8174" width="0" style="12" hidden="1" customWidth="1"/>
    <col min="8175" max="8175" width="14.875" style="12" customWidth="1"/>
    <col min="8176" max="8177" width="0" style="12" hidden="1" customWidth="1"/>
    <col min="8178" max="8178" width="14.875" style="12" customWidth="1"/>
    <col min="8179" max="8180" width="0" style="12" hidden="1" customWidth="1"/>
    <col min="8181" max="8181" width="14.875" style="12" customWidth="1"/>
    <col min="8182" max="8183" width="0" style="12" hidden="1" customWidth="1"/>
    <col min="8184" max="8185" width="14.875" style="12" customWidth="1"/>
    <col min="8186" max="8186" width="44.375" style="12" customWidth="1"/>
    <col min="8187" max="8191" width="14.875" style="12" customWidth="1"/>
    <col min="8192" max="8192" width="63.875" style="12" customWidth="1"/>
    <col min="8193" max="8193" width="13.25" style="12" customWidth="1"/>
    <col min="8194" max="8379" width="9" style="12"/>
    <col min="8380" max="8381" width="0" style="12" hidden="1" customWidth="1"/>
    <col min="8382" max="8382" width="13.75" style="12" customWidth="1"/>
    <col min="8383" max="8383" width="52.875" style="12" customWidth="1"/>
    <col min="8384" max="8423" width="0" style="12" hidden="1" customWidth="1"/>
    <col min="8424" max="8425" width="14.875" style="12" customWidth="1"/>
    <col min="8426" max="8427" width="0" style="12" hidden="1" customWidth="1"/>
    <col min="8428" max="8428" width="14.875" style="12" customWidth="1"/>
    <col min="8429" max="8430" width="0" style="12" hidden="1" customWidth="1"/>
    <col min="8431" max="8431" width="14.875" style="12" customWidth="1"/>
    <col min="8432" max="8433" width="0" style="12" hidden="1" customWidth="1"/>
    <col min="8434" max="8434" width="14.875" style="12" customWidth="1"/>
    <col min="8435" max="8436" width="0" style="12" hidden="1" customWidth="1"/>
    <col min="8437" max="8437" width="14.875" style="12" customWidth="1"/>
    <col min="8438" max="8439" width="0" style="12" hidden="1" customWidth="1"/>
    <col min="8440" max="8441" width="14.875" style="12" customWidth="1"/>
    <col min="8442" max="8442" width="44.375" style="12" customWidth="1"/>
    <col min="8443" max="8447" width="14.875" style="12" customWidth="1"/>
    <col min="8448" max="8448" width="63.875" style="12" customWidth="1"/>
    <col min="8449" max="8449" width="13.25" style="12" customWidth="1"/>
    <col min="8450" max="8635" width="9" style="12"/>
    <col min="8636" max="8637" width="0" style="12" hidden="1" customWidth="1"/>
    <col min="8638" max="8638" width="13.75" style="12" customWidth="1"/>
    <col min="8639" max="8639" width="52.875" style="12" customWidth="1"/>
    <col min="8640" max="8679" width="0" style="12" hidden="1" customWidth="1"/>
    <col min="8680" max="8681" width="14.875" style="12" customWidth="1"/>
    <col min="8682" max="8683" width="0" style="12" hidden="1" customWidth="1"/>
    <col min="8684" max="8684" width="14.875" style="12" customWidth="1"/>
    <col min="8685" max="8686" width="0" style="12" hidden="1" customWidth="1"/>
    <col min="8687" max="8687" width="14.875" style="12" customWidth="1"/>
    <col min="8688" max="8689" width="0" style="12" hidden="1" customWidth="1"/>
    <col min="8690" max="8690" width="14.875" style="12" customWidth="1"/>
    <col min="8691" max="8692" width="0" style="12" hidden="1" customWidth="1"/>
    <col min="8693" max="8693" width="14.875" style="12" customWidth="1"/>
    <col min="8694" max="8695" width="0" style="12" hidden="1" customWidth="1"/>
    <col min="8696" max="8697" width="14.875" style="12" customWidth="1"/>
    <col min="8698" max="8698" width="44.375" style="12" customWidth="1"/>
    <col min="8699" max="8703" width="14.875" style="12" customWidth="1"/>
    <col min="8704" max="8704" width="63.875" style="12" customWidth="1"/>
    <col min="8705" max="8705" width="13.25" style="12" customWidth="1"/>
    <col min="8706" max="8891" width="9" style="12"/>
    <col min="8892" max="8893" width="0" style="12" hidden="1" customWidth="1"/>
    <col min="8894" max="8894" width="13.75" style="12" customWidth="1"/>
    <col min="8895" max="8895" width="52.875" style="12" customWidth="1"/>
    <col min="8896" max="8935" width="0" style="12" hidden="1" customWidth="1"/>
    <col min="8936" max="8937" width="14.875" style="12" customWidth="1"/>
    <col min="8938" max="8939" width="0" style="12" hidden="1" customWidth="1"/>
    <col min="8940" max="8940" width="14.875" style="12" customWidth="1"/>
    <col min="8941" max="8942" width="0" style="12" hidden="1" customWidth="1"/>
    <col min="8943" max="8943" width="14.875" style="12" customWidth="1"/>
    <col min="8944" max="8945" width="0" style="12" hidden="1" customWidth="1"/>
    <col min="8946" max="8946" width="14.875" style="12" customWidth="1"/>
    <col min="8947" max="8948" width="0" style="12" hidden="1" customWidth="1"/>
    <col min="8949" max="8949" width="14.875" style="12" customWidth="1"/>
    <col min="8950" max="8951" width="0" style="12" hidden="1" customWidth="1"/>
    <col min="8952" max="8953" width="14.875" style="12" customWidth="1"/>
    <col min="8954" max="8954" width="44.375" style="12" customWidth="1"/>
    <col min="8955" max="8959" width="14.875" style="12" customWidth="1"/>
    <col min="8960" max="8960" width="63.875" style="12" customWidth="1"/>
    <col min="8961" max="8961" width="13.25" style="12" customWidth="1"/>
    <col min="8962" max="9147" width="9" style="12"/>
    <col min="9148" max="9149" width="0" style="12" hidden="1" customWidth="1"/>
    <col min="9150" max="9150" width="13.75" style="12" customWidth="1"/>
    <col min="9151" max="9151" width="52.875" style="12" customWidth="1"/>
    <col min="9152" max="9191" width="0" style="12" hidden="1" customWidth="1"/>
    <col min="9192" max="9193" width="14.875" style="12" customWidth="1"/>
    <col min="9194" max="9195" width="0" style="12" hidden="1" customWidth="1"/>
    <col min="9196" max="9196" width="14.875" style="12" customWidth="1"/>
    <col min="9197" max="9198" width="0" style="12" hidden="1" customWidth="1"/>
    <col min="9199" max="9199" width="14.875" style="12" customWidth="1"/>
    <col min="9200" max="9201" width="0" style="12" hidden="1" customWidth="1"/>
    <col min="9202" max="9202" width="14.875" style="12" customWidth="1"/>
    <col min="9203" max="9204" width="0" style="12" hidden="1" customWidth="1"/>
    <col min="9205" max="9205" width="14.875" style="12" customWidth="1"/>
    <col min="9206" max="9207" width="0" style="12" hidden="1" customWidth="1"/>
    <col min="9208" max="9209" width="14.875" style="12" customWidth="1"/>
    <col min="9210" max="9210" width="44.375" style="12" customWidth="1"/>
    <col min="9211" max="9215" width="14.875" style="12" customWidth="1"/>
    <col min="9216" max="9216" width="63.875" style="12" customWidth="1"/>
    <col min="9217" max="9217" width="13.25" style="12" customWidth="1"/>
    <col min="9218" max="9403" width="9" style="12"/>
    <col min="9404" max="9405" width="0" style="12" hidden="1" customWidth="1"/>
    <col min="9406" max="9406" width="13.75" style="12" customWidth="1"/>
    <col min="9407" max="9407" width="52.875" style="12" customWidth="1"/>
    <col min="9408" max="9447" width="0" style="12" hidden="1" customWidth="1"/>
    <col min="9448" max="9449" width="14.875" style="12" customWidth="1"/>
    <col min="9450" max="9451" width="0" style="12" hidden="1" customWidth="1"/>
    <col min="9452" max="9452" width="14.875" style="12" customWidth="1"/>
    <col min="9453" max="9454" width="0" style="12" hidden="1" customWidth="1"/>
    <col min="9455" max="9455" width="14.875" style="12" customWidth="1"/>
    <col min="9456" max="9457" width="0" style="12" hidden="1" customWidth="1"/>
    <col min="9458" max="9458" width="14.875" style="12" customWidth="1"/>
    <col min="9459" max="9460" width="0" style="12" hidden="1" customWidth="1"/>
    <col min="9461" max="9461" width="14.875" style="12" customWidth="1"/>
    <col min="9462" max="9463" width="0" style="12" hidden="1" customWidth="1"/>
    <col min="9464" max="9465" width="14.875" style="12" customWidth="1"/>
    <col min="9466" max="9466" width="44.375" style="12" customWidth="1"/>
    <col min="9467" max="9471" width="14.875" style="12" customWidth="1"/>
    <col min="9472" max="9472" width="63.875" style="12" customWidth="1"/>
    <col min="9473" max="9473" width="13.25" style="12" customWidth="1"/>
    <col min="9474" max="9659" width="9" style="12"/>
    <col min="9660" max="9661" width="0" style="12" hidden="1" customWidth="1"/>
    <col min="9662" max="9662" width="13.75" style="12" customWidth="1"/>
    <col min="9663" max="9663" width="52.875" style="12" customWidth="1"/>
    <col min="9664" max="9703" width="0" style="12" hidden="1" customWidth="1"/>
    <col min="9704" max="9705" width="14.875" style="12" customWidth="1"/>
    <col min="9706" max="9707" width="0" style="12" hidden="1" customWidth="1"/>
    <col min="9708" max="9708" width="14.875" style="12" customWidth="1"/>
    <col min="9709" max="9710" width="0" style="12" hidden="1" customWidth="1"/>
    <col min="9711" max="9711" width="14.875" style="12" customWidth="1"/>
    <col min="9712" max="9713" width="0" style="12" hidden="1" customWidth="1"/>
    <col min="9714" max="9714" width="14.875" style="12" customWidth="1"/>
    <col min="9715" max="9716" width="0" style="12" hidden="1" customWidth="1"/>
    <col min="9717" max="9717" width="14.875" style="12" customWidth="1"/>
    <col min="9718" max="9719" width="0" style="12" hidden="1" customWidth="1"/>
    <col min="9720" max="9721" width="14.875" style="12" customWidth="1"/>
    <col min="9722" max="9722" width="44.375" style="12" customWidth="1"/>
    <col min="9723" max="9727" width="14.875" style="12" customWidth="1"/>
    <col min="9728" max="9728" width="63.875" style="12" customWidth="1"/>
    <col min="9729" max="9729" width="13.25" style="12" customWidth="1"/>
    <col min="9730" max="9915" width="9" style="12"/>
    <col min="9916" max="9917" width="0" style="12" hidden="1" customWidth="1"/>
    <col min="9918" max="9918" width="13.75" style="12" customWidth="1"/>
    <col min="9919" max="9919" width="52.875" style="12" customWidth="1"/>
    <col min="9920" max="9959" width="0" style="12" hidden="1" customWidth="1"/>
    <col min="9960" max="9961" width="14.875" style="12" customWidth="1"/>
    <col min="9962" max="9963" width="0" style="12" hidden="1" customWidth="1"/>
    <col min="9964" max="9964" width="14.875" style="12" customWidth="1"/>
    <col min="9965" max="9966" width="0" style="12" hidden="1" customWidth="1"/>
    <col min="9967" max="9967" width="14.875" style="12" customWidth="1"/>
    <col min="9968" max="9969" width="0" style="12" hidden="1" customWidth="1"/>
    <col min="9970" max="9970" width="14.875" style="12" customWidth="1"/>
    <col min="9971" max="9972" width="0" style="12" hidden="1" customWidth="1"/>
    <col min="9973" max="9973" width="14.875" style="12" customWidth="1"/>
    <col min="9974" max="9975" width="0" style="12" hidden="1" customWidth="1"/>
    <col min="9976" max="9977" width="14.875" style="12" customWidth="1"/>
    <col min="9978" max="9978" width="44.375" style="12" customWidth="1"/>
    <col min="9979" max="9983" width="14.875" style="12" customWidth="1"/>
    <col min="9984" max="9984" width="63.875" style="12" customWidth="1"/>
    <col min="9985" max="9985" width="13.25" style="12" customWidth="1"/>
    <col min="9986" max="10171" width="9" style="12"/>
    <col min="10172" max="10173" width="0" style="12" hidden="1" customWidth="1"/>
    <col min="10174" max="10174" width="13.75" style="12" customWidth="1"/>
    <col min="10175" max="10175" width="52.875" style="12" customWidth="1"/>
    <col min="10176" max="10215" width="0" style="12" hidden="1" customWidth="1"/>
    <col min="10216" max="10217" width="14.875" style="12" customWidth="1"/>
    <col min="10218" max="10219" width="0" style="12" hidden="1" customWidth="1"/>
    <col min="10220" max="10220" width="14.875" style="12" customWidth="1"/>
    <col min="10221" max="10222" width="0" style="12" hidden="1" customWidth="1"/>
    <col min="10223" max="10223" width="14.875" style="12" customWidth="1"/>
    <col min="10224" max="10225" width="0" style="12" hidden="1" customWidth="1"/>
    <col min="10226" max="10226" width="14.875" style="12" customWidth="1"/>
    <col min="10227" max="10228" width="0" style="12" hidden="1" customWidth="1"/>
    <col min="10229" max="10229" width="14.875" style="12" customWidth="1"/>
    <col min="10230" max="10231" width="0" style="12" hidden="1" customWidth="1"/>
    <col min="10232" max="10233" width="14.875" style="12" customWidth="1"/>
    <col min="10234" max="10234" width="44.375" style="12" customWidth="1"/>
    <col min="10235" max="10239" width="14.875" style="12" customWidth="1"/>
    <col min="10240" max="10240" width="63.875" style="12" customWidth="1"/>
    <col min="10241" max="10241" width="13.25" style="12" customWidth="1"/>
    <col min="10242" max="10427" width="9" style="12"/>
    <col min="10428" max="10429" width="0" style="12" hidden="1" customWidth="1"/>
    <col min="10430" max="10430" width="13.75" style="12" customWidth="1"/>
    <col min="10431" max="10431" width="52.875" style="12" customWidth="1"/>
    <col min="10432" max="10471" width="0" style="12" hidden="1" customWidth="1"/>
    <col min="10472" max="10473" width="14.875" style="12" customWidth="1"/>
    <col min="10474" max="10475" width="0" style="12" hidden="1" customWidth="1"/>
    <col min="10476" max="10476" width="14.875" style="12" customWidth="1"/>
    <col min="10477" max="10478" width="0" style="12" hidden="1" customWidth="1"/>
    <col min="10479" max="10479" width="14.875" style="12" customWidth="1"/>
    <col min="10480" max="10481" width="0" style="12" hidden="1" customWidth="1"/>
    <col min="10482" max="10482" width="14.875" style="12" customWidth="1"/>
    <col min="10483" max="10484" width="0" style="12" hidden="1" customWidth="1"/>
    <col min="10485" max="10485" width="14.875" style="12" customWidth="1"/>
    <col min="10486" max="10487" width="0" style="12" hidden="1" customWidth="1"/>
    <col min="10488" max="10489" width="14.875" style="12" customWidth="1"/>
    <col min="10490" max="10490" width="44.375" style="12" customWidth="1"/>
    <col min="10491" max="10495" width="14.875" style="12" customWidth="1"/>
    <col min="10496" max="10496" width="63.875" style="12" customWidth="1"/>
    <col min="10497" max="10497" width="13.25" style="12" customWidth="1"/>
    <col min="10498" max="10683" width="9" style="12"/>
    <col min="10684" max="10685" width="0" style="12" hidden="1" customWidth="1"/>
    <col min="10686" max="10686" width="13.75" style="12" customWidth="1"/>
    <col min="10687" max="10687" width="52.875" style="12" customWidth="1"/>
    <col min="10688" max="10727" width="0" style="12" hidden="1" customWidth="1"/>
    <col min="10728" max="10729" width="14.875" style="12" customWidth="1"/>
    <col min="10730" max="10731" width="0" style="12" hidden="1" customWidth="1"/>
    <col min="10732" max="10732" width="14.875" style="12" customWidth="1"/>
    <col min="10733" max="10734" width="0" style="12" hidden="1" customWidth="1"/>
    <col min="10735" max="10735" width="14.875" style="12" customWidth="1"/>
    <col min="10736" max="10737" width="0" style="12" hidden="1" customWidth="1"/>
    <col min="10738" max="10738" width="14.875" style="12" customWidth="1"/>
    <col min="10739" max="10740" width="0" style="12" hidden="1" customWidth="1"/>
    <col min="10741" max="10741" width="14.875" style="12" customWidth="1"/>
    <col min="10742" max="10743" width="0" style="12" hidden="1" customWidth="1"/>
    <col min="10744" max="10745" width="14.875" style="12" customWidth="1"/>
    <col min="10746" max="10746" width="44.375" style="12" customWidth="1"/>
    <col min="10747" max="10751" width="14.875" style="12" customWidth="1"/>
    <col min="10752" max="10752" width="63.875" style="12" customWidth="1"/>
    <col min="10753" max="10753" width="13.25" style="12" customWidth="1"/>
    <col min="10754" max="10939" width="9" style="12"/>
    <col min="10940" max="10941" width="0" style="12" hidden="1" customWidth="1"/>
    <col min="10942" max="10942" width="13.75" style="12" customWidth="1"/>
    <col min="10943" max="10943" width="52.875" style="12" customWidth="1"/>
    <col min="10944" max="10983" width="0" style="12" hidden="1" customWidth="1"/>
    <col min="10984" max="10985" width="14.875" style="12" customWidth="1"/>
    <col min="10986" max="10987" width="0" style="12" hidden="1" customWidth="1"/>
    <col min="10988" max="10988" width="14.875" style="12" customWidth="1"/>
    <col min="10989" max="10990" width="0" style="12" hidden="1" customWidth="1"/>
    <col min="10991" max="10991" width="14.875" style="12" customWidth="1"/>
    <col min="10992" max="10993" width="0" style="12" hidden="1" customWidth="1"/>
    <col min="10994" max="10994" width="14.875" style="12" customWidth="1"/>
    <col min="10995" max="10996" width="0" style="12" hidden="1" customWidth="1"/>
    <col min="10997" max="10997" width="14.875" style="12" customWidth="1"/>
    <col min="10998" max="10999" width="0" style="12" hidden="1" customWidth="1"/>
    <col min="11000" max="11001" width="14.875" style="12" customWidth="1"/>
    <col min="11002" max="11002" width="44.375" style="12" customWidth="1"/>
    <col min="11003" max="11007" width="14.875" style="12" customWidth="1"/>
    <col min="11008" max="11008" width="63.875" style="12" customWidth="1"/>
    <col min="11009" max="11009" width="13.25" style="12" customWidth="1"/>
    <col min="11010" max="11195" width="9" style="12"/>
    <col min="11196" max="11197" width="0" style="12" hidden="1" customWidth="1"/>
    <col min="11198" max="11198" width="13.75" style="12" customWidth="1"/>
    <col min="11199" max="11199" width="52.875" style="12" customWidth="1"/>
    <col min="11200" max="11239" width="0" style="12" hidden="1" customWidth="1"/>
    <col min="11240" max="11241" width="14.875" style="12" customWidth="1"/>
    <col min="11242" max="11243" width="0" style="12" hidden="1" customWidth="1"/>
    <col min="11244" max="11244" width="14.875" style="12" customWidth="1"/>
    <col min="11245" max="11246" width="0" style="12" hidden="1" customWidth="1"/>
    <col min="11247" max="11247" width="14.875" style="12" customWidth="1"/>
    <col min="11248" max="11249" width="0" style="12" hidden="1" customWidth="1"/>
    <col min="11250" max="11250" width="14.875" style="12" customWidth="1"/>
    <col min="11251" max="11252" width="0" style="12" hidden="1" customWidth="1"/>
    <col min="11253" max="11253" width="14.875" style="12" customWidth="1"/>
    <col min="11254" max="11255" width="0" style="12" hidden="1" customWidth="1"/>
    <col min="11256" max="11257" width="14.875" style="12" customWidth="1"/>
    <col min="11258" max="11258" width="44.375" style="12" customWidth="1"/>
    <col min="11259" max="11263" width="14.875" style="12" customWidth="1"/>
    <col min="11264" max="11264" width="63.875" style="12" customWidth="1"/>
    <col min="11265" max="11265" width="13.25" style="12" customWidth="1"/>
    <col min="11266" max="11451" width="9" style="12"/>
    <col min="11452" max="11453" width="0" style="12" hidden="1" customWidth="1"/>
    <col min="11454" max="11454" width="13.75" style="12" customWidth="1"/>
    <col min="11455" max="11455" width="52.875" style="12" customWidth="1"/>
    <col min="11456" max="11495" width="0" style="12" hidden="1" customWidth="1"/>
    <col min="11496" max="11497" width="14.875" style="12" customWidth="1"/>
    <col min="11498" max="11499" width="0" style="12" hidden="1" customWidth="1"/>
    <col min="11500" max="11500" width="14.875" style="12" customWidth="1"/>
    <col min="11501" max="11502" width="0" style="12" hidden="1" customWidth="1"/>
    <col min="11503" max="11503" width="14.875" style="12" customWidth="1"/>
    <col min="11504" max="11505" width="0" style="12" hidden="1" customWidth="1"/>
    <col min="11506" max="11506" width="14.875" style="12" customWidth="1"/>
    <col min="11507" max="11508" width="0" style="12" hidden="1" customWidth="1"/>
    <col min="11509" max="11509" width="14.875" style="12" customWidth="1"/>
    <col min="11510" max="11511" width="0" style="12" hidden="1" customWidth="1"/>
    <col min="11512" max="11513" width="14.875" style="12" customWidth="1"/>
    <col min="11514" max="11514" width="44.375" style="12" customWidth="1"/>
    <col min="11515" max="11519" width="14.875" style="12" customWidth="1"/>
    <col min="11520" max="11520" width="63.875" style="12" customWidth="1"/>
    <col min="11521" max="11521" width="13.25" style="12" customWidth="1"/>
    <col min="11522" max="11707" width="9" style="12"/>
    <col min="11708" max="11709" width="0" style="12" hidden="1" customWidth="1"/>
    <col min="11710" max="11710" width="13.75" style="12" customWidth="1"/>
    <col min="11711" max="11711" width="52.875" style="12" customWidth="1"/>
    <col min="11712" max="11751" width="0" style="12" hidden="1" customWidth="1"/>
    <col min="11752" max="11753" width="14.875" style="12" customWidth="1"/>
    <col min="11754" max="11755" width="0" style="12" hidden="1" customWidth="1"/>
    <col min="11756" max="11756" width="14.875" style="12" customWidth="1"/>
    <col min="11757" max="11758" width="0" style="12" hidden="1" customWidth="1"/>
    <col min="11759" max="11759" width="14.875" style="12" customWidth="1"/>
    <col min="11760" max="11761" width="0" style="12" hidden="1" customWidth="1"/>
    <col min="11762" max="11762" width="14.875" style="12" customWidth="1"/>
    <col min="11763" max="11764" width="0" style="12" hidden="1" customWidth="1"/>
    <col min="11765" max="11765" width="14.875" style="12" customWidth="1"/>
    <col min="11766" max="11767" width="0" style="12" hidden="1" customWidth="1"/>
    <col min="11768" max="11769" width="14.875" style="12" customWidth="1"/>
    <col min="11770" max="11770" width="44.375" style="12" customWidth="1"/>
    <col min="11771" max="11775" width="14.875" style="12" customWidth="1"/>
    <col min="11776" max="11776" width="63.875" style="12" customWidth="1"/>
    <col min="11777" max="11777" width="13.25" style="12" customWidth="1"/>
    <col min="11778" max="11963" width="9" style="12"/>
    <col min="11964" max="11965" width="0" style="12" hidden="1" customWidth="1"/>
    <col min="11966" max="11966" width="13.75" style="12" customWidth="1"/>
    <col min="11967" max="11967" width="52.875" style="12" customWidth="1"/>
    <col min="11968" max="12007" width="0" style="12" hidden="1" customWidth="1"/>
    <col min="12008" max="12009" width="14.875" style="12" customWidth="1"/>
    <col min="12010" max="12011" width="0" style="12" hidden="1" customWidth="1"/>
    <col min="12012" max="12012" width="14.875" style="12" customWidth="1"/>
    <col min="12013" max="12014" width="0" style="12" hidden="1" customWidth="1"/>
    <col min="12015" max="12015" width="14.875" style="12" customWidth="1"/>
    <col min="12016" max="12017" width="0" style="12" hidden="1" customWidth="1"/>
    <col min="12018" max="12018" width="14.875" style="12" customWidth="1"/>
    <col min="12019" max="12020" width="0" style="12" hidden="1" customWidth="1"/>
    <col min="12021" max="12021" width="14.875" style="12" customWidth="1"/>
    <col min="12022" max="12023" width="0" style="12" hidden="1" customWidth="1"/>
    <col min="12024" max="12025" width="14.875" style="12" customWidth="1"/>
    <col min="12026" max="12026" width="44.375" style="12" customWidth="1"/>
    <col min="12027" max="12031" width="14.875" style="12" customWidth="1"/>
    <col min="12032" max="12032" width="63.875" style="12" customWidth="1"/>
    <col min="12033" max="12033" width="13.25" style="12" customWidth="1"/>
    <col min="12034" max="12219" width="9" style="12"/>
    <col min="12220" max="12221" width="0" style="12" hidden="1" customWidth="1"/>
    <col min="12222" max="12222" width="13.75" style="12" customWidth="1"/>
    <col min="12223" max="12223" width="52.875" style="12" customWidth="1"/>
    <col min="12224" max="12263" width="0" style="12" hidden="1" customWidth="1"/>
    <col min="12264" max="12265" width="14.875" style="12" customWidth="1"/>
    <col min="12266" max="12267" width="0" style="12" hidden="1" customWidth="1"/>
    <col min="12268" max="12268" width="14.875" style="12" customWidth="1"/>
    <col min="12269" max="12270" width="0" style="12" hidden="1" customWidth="1"/>
    <col min="12271" max="12271" width="14.875" style="12" customWidth="1"/>
    <col min="12272" max="12273" width="0" style="12" hidden="1" customWidth="1"/>
    <col min="12274" max="12274" width="14.875" style="12" customWidth="1"/>
    <col min="12275" max="12276" width="0" style="12" hidden="1" customWidth="1"/>
    <col min="12277" max="12277" width="14.875" style="12" customWidth="1"/>
    <col min="12278" max="12279" width="0" style="12" hidden="1" customWidth="1"/>
    <col min="12280" max="12281" width="14.875" style="12" customWidth="1"/>
    <col min="12282" max="12282" width="44.375" style="12" customWidth="1"/>
    <col min="12283" max="12287" width="14.875" style="12" customWidth="1"/>
    <col min="12288" max="12288" width="63.875" style="12" customWidth="1"/>
    <col min="12289" max="12289" width="13.25" style="12" customWidth="1"/>
    <col min="12290" max="12475" width="9" style="12"/>
    <col min="12476" max="12477" width="0" style="12" hidden="1" customWidth="1"/>
    <col min="12478" max="12478" width="13.75" style="12" customWidth="1"/>
    <col min="12479" max="12479" width="52.875" style="12" customWidth="1"/>
    <col min="12480" max="12519" width="0" style="12" hidden="1" customWidth="1"/>
    <col min="12520" max="12521" width="14.875" style="12" customWidth="1"/>
    <col min="12522" max="12523" width="0" style="12" hidden="1" customWidth="1"/>
    <col min="12524" max="12524" width="14.875" style="12" customWidth="1"/>
    <col min="12525" max="12526" width="0" style="12" hidden="1" customWidth="1"/>
    <col min="12527" max="12527" width="14.875" style="12" customWidth="1"/>
    <col min="12528" max="12529" width="0" style="12" hidden="1" customWidth="1"/>
    <col min="12530" max="12530" width="14.875" style="12" customWidth="1"/>
    <col min="12531" max="12532" width="0" style="12" hidden="1" customWidth="1"/>
    <col min="12533" max="12533" width="14.875" style="12" customWidth="1"/>
    <col min="12534" max="12535" width="0" style="12" hidden="1" customWidth="1"/>
    <col min="12536" max="12537" width="14.875" style="12" customWidth="1"/>
    <col min="12538" max="12538" width="44.375" style="12" customWidth="1"/>
    <col min="12539" max="12543" width="14.875" style="12" customWidth="1"/>
    <col min="12544" max="12544" width="63.875" style="12" customWidth="1"/>
    <col min="12545" max="12545" width="13.25" style="12" customWidth="1"/>
    <col min="12546" max="12731" width="9" style="12"/>
    <col min="12732" max="12733" width="0" style="12" hidden="1" customWidth="1"/>
    <col min="12734" max="12734" width="13.75" style="12" customWidth="1"/>
    <col min="12735" max="12735" width="52.875" style="12" customWidth="1"/>
    <col min="12736" max="12775" width="0" style="12" hidden="1" customWidth="1"/>
    <col min="12776" max="12777" width="14.875" style="12" customWidth="1"/>
    <col min="12778" max="12779" width="0" style="12" hidden="1" customWidth="1"/>
    <col min="12780" max="12780" width="14.875" style="12" customWidth="1"/>
    <col min="12781" max="12782" width="0" style="12" hidden="1" customWidth="1"/>
    <col min="12783" max="12783" width="14.875" style="12" customWidth="1"/>
    <col min="12784" max="12785" width="0" style="12" hidden="1" customWidth="1"/>
    <col min="12786" max="12786" width="14.875" style="12" customWidth="1"/>
    <col min="12787" max="12788" width="0" style="12" hidden="1" customWidth="1"/>
    <col min="12789" max="12789" width="14.875" style="12" customWidth="1"/>
    <col min="12790" max="12791" width="0" style="12" hidden="1" customWidth="1"/>
    <col min="12792" max="12793" width="14.875" style="12" customWidth="1"/>
    <col min="12794" max="12794" width="44.375" style="12" customWidth="1"/>
    <col min="12795" max="12799" width="14.875" style="12" customWidth="1"/>
    <col min="12800" max="12800" width="63.875" style="12" customWidth="1"/>
    <col min="12801" max="12801" width="13.25" style="12" customWidth="1"/>
    <col min="12802" max="12987" width="9" style="12"/>
    <col min="12988" max="12989" width="0" style="12" hidden="1" customWidth="1"/>
    <col min="12990" max="12990" width="13.75" style="12" customWidth="1"/>
    <col min="12991" max="12991" width="52.875" style="12" customWidth="1"/>
    <col min="12992" max="13031" width="0" style="12" hidden="1" customWidth="1"/>
    <col min="13032" max="13033" width="14.875" style="12" customWidth="1"/>
    <col min="13034" max="13035" width="0" style="12" hidden="1" customWidth="1"/>
    <col min="13036" max="13036" width="14.875" style="12" customWidth="1"/>
    <col min="13037" max="13038" width="0" style="12" hidden="1" customWidth="1"/>
    <col min="13039" max="13039" width="14.875" style="12" customWidth="1"/>
    <col min="13040" max="13041" width="0" style="12" hidden="1" customWidth="1"/>
    <col min="13042" max="13042" width="14.875" style="12" customWidth="1"/>
    <col min="13043" max="13044" width="0" style="12" hidden="1" customWidth="1"/>
    <col min="13045" max="13045" width="14.875" style="12" customWidth="1"/>
    <col min="13046" max="13047" width="0" style="12" hidden="1" customWidth="1"/>
    <col min="13048" max="13049" width="14.875" style="12" customWidth="1"/>
    <col min="13050" max="13050" width="44.375" style="12" customWidth="1"/>
    <col min="13051" max="13055" width="14.875" style="12" customWidth="1"/>
    <col min="13056" max="13056" width="63.875" style="12" customWidth="1"/>
    <col min="13057" max="13057" width="13.25" style="12" customWidth="1"/>
    <col min="13058" max="13243" width="9" style="12"/>
    <col min="13244" max="13245" width="0" style="12" hidden="1" customWidth="1"/>
    <col min="13246" max="13246" width="13.75" style="12" customWidth="1"/>
    <col min="13247" max="13247" width="52.875" style="12" customWidth="1"/>
    <col min="13248" max="13287" width="0" style="12" hidden="1" customWidth="1"/>
    <col min="13288" max="13289" width="14.875" style="12" customWidth="1"/>
    <col min="13290" max="13291" width="0" style="12" hidden="1" customWidth="1"/>
    <col min="13292" max="13292" width="14.875" style="12" customWidth="1"/>
    <col min="13293" max="13294" width="0" style="12" hidden="1" customWidth="1"/>
    <col min="13295" max="13295" width="14.875" style="12" customWidth="1"/>
    <col min="13296" max="13297" width="0" style="12" hidden="1" customWidth="1"/>
    <col min="13298" max="13298" width="14.875" style="12" customWidth="1"/>
    <col min="13299" max="13300" width="0" style="12" hidden="1" customWidth="1"/>
    <col min="13301" max="13301" width="14.875" style="12" customWidth="1"/>
    <col min="13302" max="13303" width="0" style="12" hidden="1" customWidth="1"/>
    <col min="13304" max="13305" width="14.875" style="12" customWidth="1"/>
    <col min="13306" max="13306" width="44.375" style="12" customWidth="1"/>
    <col min="13307" max="13311" width="14.875" style="12" customWidth="1"/>
    <col min="13312" max="13312" width="63.875" style="12" customWidth="1"/>
    <col min="13313" max="13313" width="13.25" style="12" customWidth="1"/>
    <col min="13314" max="13499" width="9" style="12"/>
    <col min="13500" max="13501" width="0" style="12" hidden="1" customWidth="1"/>
    <col min="13502" max="13502" width="13.75" style="12" customWidth="1"/>
    <col min="13503" max="13503" width="52.875" style="12" customWidth="1"/>
    <col min="13504" max="13543" width="0" style="12" hidden="1" customWidth="1"/>
    <col min="13544" max="13545" width="14.875" style="12" customWidth="1"/>
    <col min="13546" max="13547" width="0" style="12" hidden="1" customWidth="1"/>
    <col min="13548" max="13548" width="14.875" style="12" customWidth="1"/>
    <col min="13549" max="13550" width="0" style="12" hidden="1" customWidth="1"/>
    <col min="13551" max="13551" width="14.875" style="12" customWidth="1"/>
    <col min="13552" max="13553" width="0" style="12" hidden="1" customWidth="1"/>
    <col min="13554" max="13554" width="14.875" style="12" customWidth="1"/>
    <col min="13555" max="13556" width="0" style="12" hidden="1" customWidth="1"/>
    <col min="13557" max="13557" width="14.875" style="12" customWidth="1"/>
    <col min="13558" max="13559" width="0" style="12" hidden="1" customWidth="1"/>
    <col min="13560" max="13561" width="14.875" style="12" customWidth="1"/>
    <col min="13562" max="13562" width="44.375" style="12" customWidth="1"/>
    <col min="13563" max="13567" width="14.875" style="12" customWidth="1"/>
    <col min="13568" max="13568" width="63.875" style="12" customWidth="1"/>
    <col min="13569" max="13569" width="13.25" style="12" customWidth="1"/>
    <col min="13570" max="13755" width="9" style="12"/>
    <col min="13756" max="13757" width="0" style="12" hidden="1" customWidth="1"/>
    <col min="13758" max="13758" width="13.75" style="12" customWidth="1"/>
    <col min="13759" max="13759" width="52.875" style="12" customWidth="1"/>
    <col min="13760" max="13799" width="0" style="12" hidden="1" customWidth="1"/>
    <col min="13800" max="13801" width="14.875" style="12" customWidth="1"/>
    <col min="13802" max="13803" width="0" style="12" hidden="1" customWidth="1"/>
    <col min="13804" max="13804" width="14.875" style="12" customWidth="1"/>
    <col min="13805" max="13806" width="0" style="12" hidden="1" customWidth="1"/>
    <col min="13807" max="13807" width="14.875" style="12" customWidth="1"/>
    <col min="13808" max="13809" width="0" style="12" hidden="1" customWidth="1"/>
    <col min="13810" max="13810" width="14.875" style="12" customWidth="1"/>
    <col min="13811" max="13812" width="0" style="12" hidden="1" customWidth="1"/>
    <col min="13813" max="13813" width="14.875" style="12" customWidth="1"/>
    <col min="13814" max="13815" width="0" style="12" hidden="1" customWidth="1"/>
    <col min="13816" max="13817" width="14.875" style="12" customWidth="1"/>
    <col min="13818" max="13818" width="44.375" style="12" customWidth="1"/>
    <col min="13819" max="13823" width="14.875" style="12" customWidth="1"/>
    <col min="13824" max="13824" width="63.875" style="12" customWidth="1"/>
    <col min="13825" max="13825" width="13.25" style="12" customWidth="1"/>
    <col min="13826" max="14011" width="9" style="12"/>
    <col min="14012" max="14013" width="0" style="12" hidden="1" customWidth="1"/>
    <col min="14014" max="14014" width="13.75" style="12" customWidth="1"/>
    <col min="14015" max="14015" width="52.875" style="12" customWidth="1"/>
    <col min="14016" max="14055" width="0" style="12" hidden="1" customWidth="1"/>
    <col min="14056" max="14057" width="14.875" style="12" customWidth="1"/>
    <col min="14058" max="14059" width="0" style="12" hidden="1" customWidth="1"/>
    <col min="14060" max="14060" width="14.875" style="12" customWidth="1"/>
    <col min="14061" max="14062" width="0" style="12" hidden="1" customWidth="1"/>
    <col min="14063" max="14063" width="14.875" style="12" customWidth="1"/>
    <col min="14064" max="14065" width="0" style="12" hidden="1" customWidth="1"/>
    <col min="14066" max="14066" width="14.875" style="12" customWidth="1"/>
    <col min="14067" max="14068" width="0" style="12" hidden="1" customWidth="1"/>
    <col min="14069" max="14069" width="14.875" style="12" customWidth="1"/>
    <col min="14070" max="14071" width="0" style="12" hidden="1" customWidth="1"/>
    <col min="14072" max="14073" width="14.875" style="12" customWidth="1"/>
    <col min="14074" max="14074" width="44.375" style="12" customWidth="1"/>
    <col min="14075" max="14079" width="14.875" style="12" customWidth="1"/>
    <col min="14080" max="14080" width="63.875" style="12" customWidth="1"/>
    <col min="14081" max="14081" width="13.25" style="12" customWidth="1"/>
    <col min="14082" max="14267" width="9" style="12"/>
    <col min="14268" max="14269" width="0" style="12" hidden="1" customWidth="1"/>
    <col min="14270" max="14270" width="13.75" style="12" customWidth="1"/>
    <col min="14271" max="14271" width="52.875" style="12" customWidth="1"/>
    <col min="14272" max="14311" width="0" style="12" hidden="1" customWidth="1"/>
    <col min="14312" max="14313" width="14.875" style="12" customWidth="1"/>
    <col min="14314" max="14315" width="0" style="12" hidden="1" customWidth="1"/>
    <col min="14316" max="14316" width="14.875" style="12" customWidth="1"/>
    <col min="14317" max="14318" width="0" style="12" hidden="1" customWidth="1"/>
    <col min="14319" max="14319" width="14.875" style="12" customWidth="1"/>
    <col min="14320" max="14321" width="0" style="12" hidden="1" customWidth="1"/>
    <col min="14322" max="14322" width="14.875" style="12" customWidth="1"/>
    <col min="14323" max="14324" width="0" style="12" hidden="1" customWidth="1"/>
    <col min="14325" max="14325" width="14.875" style="12" customWidth="1"/>
    <col min="14326" max="14327" width="0" style="12" hidden="1" customWidth="1"/>
    <col min="14328" max="14329" width="14.875" style="12" customWidth="1"/>
    <col min="14330" max="14330" width="44.375" style="12" customWidth="1"/>
    <col min="14331" max="14335" width="14.875" style="12" customWidth="1"/>
    <col min="14336" max="14336" width="63.875" style="12" customWidth="1"/>
    <col min="14337" max="14337" width="13.25" style="12" customWidth="1"/>
    <col min="14338" max="14523" width="9" style="12"/>
    <col min="14524" max="14525" width="0" style="12" hidden="1" customWidth="1"/>
    <col min="14526" max="14526" width="13.75" style="12" customWidth="1"/>
    <col min="14527" max="14527" width="52.875" style="12" customWidth="1"/>
    <col min="14528" max="14567" width="0" style="12" hidden="1" customWidth="1"/>
    <col min="14568" max="14569" width="14.875" style="12" customWidth="1"/>
    <col min="14570" max="14571" width="0" style="12" hidden="1" customWidth="1"/>
    <col min="14572" max="14572" width="14.875" style="12" customWidth="1"/>
    <col min="14573" max="14574" width="0" style="12" hidden="1" customWidth="1"/>
    <col min="14575" max="14575" width="14.875" style="12" customWidth="1"/>
    <col min="14576" max="14577" width="0" style="12" hidden="1" customWidth="1"/>
    <col min="14578" max="14578" width="14.875" style="12" customWidth="1"/>
    <col min="14579" max="14580" width="0" style="12" hidden="1" customWidth="1"/>
    <col min="14581" max="14581" width="14.875" style="12" customWidth="1"/>
    <col min="14582" max="14583" width="0" style="12" hidden="1" customWidth="1"/>
    <col min="14584" max="14585" width="14.875" style="12" customWidth="1"/>
    <col min="14586" max="14586" width="44.375" style="12" customWidth="1"/>
    <col min="14587" max="14591" width="14.875" style="12" customWidth="1"/>
    <col min="14592" max="14592" width="63.875" style="12" customWidth="1"/>
    <col min="14593" max="14593" width="13.25" style="12" customWidth="1"/>
    <col min="14594" max="14779" width="9" style="12"/>
    <col min="14780" max="14781" width="0" style="12" hidden="1" customWidth="1"/>
    <col min="14782" max="14782" width="13.75" style="12" customWidth="1"/>
    <col min="14783" max="14783" width="52.875" style="12" customWidth="1"/>
    <col min="14784" max="14823" width="0" style="12" hidden="1" customWidth="1"/>
    <col min="14824" max="14825" width="14.875" style="12" customWidth="1"/>
    <col min="14826" max="14827" width="0" style="12" hidden="1" customWidth="1"/>
    <col min="14828" max="14828" width="14.875" style="12" customWidth="1"/>
    <col min="14829" max="14830" width="0" style="12" hidden="1" customWidth="1"/>
    <col min="14831" max="14831" width="14.875" style="12" customWidth="1"/>
    <col min="14832" max="14833" width="0" style="12" hidden="1" customWidth="1"/>
    <col min="14834" max="14834" width="14.875" style="12" customWidth="1"/>
    <col min="14835" max="14836" width="0" style="12" hidden="1" customWidth="1"/>
    <col min="14837" max="14837" width="14.875" style="12" customWidth="1"/>
    <col min="14838" max="14839" width="0" style="12" hidden="1" customWidth="1"/>
    <col min="14840" max="14841" width="14.875" style="12" customWidth="1"/>
    <col min="14842" max="14842" width="44.375" style="12" customWidth="1"/>
    <col min="14843" max="14847" width="14.875" style="12" customWidth="1"/>
    <col min="14848" max="14848" width="63.875" style="12" customWidth="1"/>
    <col min="14849" max="14849" width="13.25" style="12" customWidth="1"/>
    <col min="14850" max="15035" width="9" style="12"/>
    <col min="15036" max="15037" width="0" style="12" hidden="1" customWidth="1"/>
    <col min="15038" max="15038" width="13.75" style="12" customWidth="1"/>
    <col min="15039" max="15039" width="52.875" style="12" customWidth="1"/>
    <col min="15040" max="15079" width="0" style="12" hidden="1" customWidth="1"/>
    <col min="15080" max="15081" width="14.875" style="12" customWidth="1"/>
    <col min="15082" max="15083" width="0" style="12" hidden="1" customWidth="1"/>
    <col min="15084" max="15084" width="14.875" style="12" customWidth="1"/>
    <col min="15085" max="15086" width="0" style="12" hidden="1" customWidth="1"/>
    <col min="15087" max="15087" width="14.875" style="12" customWidth="1"/>
    <col min="15088" max="15089" width="0" style="12" hidden="1" customWidth="1"/>
    <col min="15090" max="15090" width="14.875" style="12" customWidth="1"/>
    <col min="15091" max="15092" width="0" style="12" hidden="1" customWidth="1"/>
    <col min="15093" max="15093" width="14.875" style="12" customWidth="1"/>
    <col min="15094" max="15095" width="0" style="12" hidden="1" customWidth="1"/>
    <col min="15096" max="15097" width="14.875" style="12" customWidth="1"/>
    <col min="15098" max="15098" width="44.375" style="12" customWidth="1"/>
    <col min="15099" max="15103" width="14.875" style="12" customWidth="1"/>
    <col min="15104" max="15104" width="63.875" style="12" customWidth="1"/>
    <col min="15105" max="15105" width="13.25" style="12" customWidth="1"/>
    <col min="15106" max="15291" width="9" style="12"/>
    <col min="15292" max="15293" width="0" style="12" hidden="1" customWidth="1"/>
    <col min="15294" max="15294" width="13.75" style="12" customWidth="1"/>
    <col min="15295" max="15295" width="52.875" style="12" customWidth="1"/>
    <col min="15296" max="15335" width="0" style="12" hidden="1" customWidth="1"/>
    <col min="15336" max="15337" width="14.875" style="12" customWidth="1"/>
    <col min="15338" max="15339" width="0" style="12" hidden="1" customWidth="1"/>
    <col min="15340" max="15340" width="14.875" style="12" customWidth="1"/>
    <col min="15341" max="15342" width="0" style="12" hidden="1" customWidth="1"/>
    <col min="15343" max="15343" width="14.875" style="12" customWidth="1"/>
    <col min="15344" max="15345" width="0" style="12" hidden="1" customWidth="1"/>
    <col min="15346" max="15346" width="14.875" style="12" customWidth="1"/>
    <col min="15347" max="15348" width="0" style="12" hidden="1" customWidth="1"/>
    <col min="15349" max="15349" width="14.875" style="12" customWidth="1"/>
    <col min="15350" max="15351" width="0" style="12" hidden="1" customWidth="1"/>
    <col min="15352" max="15353" width="14.875" style="12" customWidth="1"/>
    <col min="15354" max="15354" width="44.375" style="12" customWidth="1"/>
    <col min="15355" max="15359" width="14.875" style="12" customWidth="1"/>
    <col min="15360" max="15360" width="63.875" style="12" customWidth="1"/>
    <col min="15361" max="15361" width="13.25" style="12" customWidth="1"/>
    <col min="15362" max="15547" width="9" style="12"/>
    <col min="15548" max="15549" width="0" style="12" hidden="1" customWidth="1"/>
    <col min="15550" max="15550" width="13.75" style="12" customWidth="1"/>
    <col min="15551" max="15551" width="52.875" style="12" customWidth="1"/>
    <col min="15552" max="15591" width="0" style="12" hidden="1" customWidth="1"/>
    <col min="15592" max="15593" width="14.875" style="12" customWidth="1"/>
    <col min="15594" max="15595" width="0" style="12" hidden="1" customWidth="1"/>
    <col min="15596" max="15596" width="14.875" style="12" customWidth="1"/>
    <col min="15597" max="15598" width="0" style="12" hidden="1" customWidth="1"/>
    <col min="15599" max="15599" width="14.875" style="12" customWidth="1"/>
    <col min="15600" max="15601" width="0" style="12" hidden="1" customWidth="1"/>
    <col min="15602" max="15602" width="14.875" style="12" customWidth="1"/>
    <col min="15603" max="15604" width="0" style="12" hidden="1" customWidth="1"/>
    <col min="15605" max="15605" width="14.875" style="12" customWidth="1"/>
    <col min="15606" max="15607" width="0" style="12" hidden="1" customWidth="1"/>
    <col min="15608" max="15609" width="14.875" style="12" customWidth="1"/>
    <col min="15610" max="15610" width="44.375" style="12" customWidth="1"/>
    <col min="15611" max="15615" width="14.875" style="12" customWidth="1"/>
    <col min="15616" max="15616" width="63.875" style="12" customWidth="1"/>
    <col min="15617" max="15617" width="13.25" style="12" customWidth="1"/>
    <col min="15618" max="15803" width="9" style="12"/>
    <col min="15804" max="15805" width="0" style="12" hidden="1" customWidth="1"/>
    <col min="15806" max="15806" width="13.75" style="12" customWidth="1"/>
    <col min="15807" max="15807" width="52.875" style="12" customWidth="1"/>
    <col min="15808" max="15847" width="0" style="12" hidden="1" customWidth="1"/>
    <col min="15848" max="15849" width="14.875" style="12" customWidth="1"/>
    <col min="15850" max="15851" width="0" style="12" hidden="1" customWidth="1"/>
    <col min="15852" max="15852" width="14.875" style="12" customWidth="1"/>
    <col min="15853" max="15854" width="0" style="12" hidden="1" customWidth="1"/>
    <col min="15855" max="15855" width="14.875" style="12" customWidth="1"/>
    <col min="15856" max="15857" width="0" style="12" hidden="1" customWidth="1"/>
    <col min="15858" max="15858" width="14.875" style="12" customWidth="1"/>
    <col min="15859" max="15860" width="0" style="12" hidden="1" customWidth="1"/>
    <col min="15861" max="15861" width="14.875" style="12" customWidth="1"/>
    <col min="15862" max="15863" width="0" style="12" hidden="1" customWidth="1"/>
    <col min="15864" max="15865" width="14.875" style="12" customWidth="1"/>
    <col min="15866" max="15866" width="44.375" style="12" customWidth="1"/>
    <col min="15867" max="15871" width="14.875" style="12" customWidth="1"/>
    <col min="15872" max="15872" width="63.875" style="12" customWidth="1"/>
    <col min="15873" max="15873" width="13.25" style="12" customWidth="1"/>
    <col min="15874" max="16059" width="9" style="12"/>
    <col min="16060" max="16061" width="0" style="12" hidden="1" customWidth="1"/>
    <col min="16062" max="16062" width="13.75" style="12" customWidth="1"/>
    <col min="16063" max="16063" width="52.875" style="12" customWidth="1"/>
    <col min="16064" max="16103" width="0" style="12" hidden="1" customWidth="1"/>
    <col min="16104" max="16105" width="14.875" style="12" customWidth="1"/>
    <col min="16106" max="16107" width="0" style="12" hidden="1" customWidth="1"/>
    <col min="16108" max="16108" width="14.875" style="12" customWidth="1"/>
    <col min="16109" max="16110" width="0" style="12" hidden="1" customWidth="1"/>
    <col min="16111" max="16111" width="14.875" style="12" customWidth="1"/>
    <col min="16112" max="16113" width="0" style="12" hidden="1" customWidth="1"/>
    <col min="16114" max="16114" width="14.875" style="12" customWidth="1"/>
    <col min="16115" max="16116" width="0" style="12" hidden="1" customWidth="1"/>
    <col min="16117" max="16117" width="14.875" style="12" customWidth="1"/>
    <col min="16118" max="16119" width="0" style="12" hidden="1" customWidth="1"/>
    <col min="16120" max="16121" width="14.875" style="12" customWidth="1"/>
    <col min="16122" max="16122" width="44.375" style="12" customWidth="1"/>
    <col min="16123" max="16127" width="14.875" style="12" customWidth="1"/>
    <col min="16128" max="16128" width="63.875" style="12" customWidth="1"/>
    <col min="16129" max="16129" width="13.25" style="12" customWidth="1"/>
    <col min="16130" max="16328" width="9" style="12"/>
    <col min="16329" max="16361" width="9.125" style="12" customWidth="1"/>
    <col min="16362" max="16369" width="9.125" style="12"/>
    <col min="16370" max="16377" width="9.125" style="12" customWidth="1"/>
    <col min="16378" max="16384" width="9.125" style="12"/>
  </cols>
  <sheetData>
    <row r="1" spans="1:21" ht="24.6" outlineLevel="1" x14ac:dyDescent="0.4">
      <c r="C1" s="73" t="s">
        <v>336</v>
      </c>
      <c r="D1" s="1009"/>
      <c r="E1" s="758"/>
      <c r="F1" s="293"/>
      <c r="G1" s="13"/>
      <c r="H1" s="794"/>
      <c r="I1" s="13"/>
      <c r="J1" s="13"/>
      <c r="K1" s="220"/>
      <c r="L1" s="13"/>
      <c r="M1" s="13"/>
      <c r="N1" s="220"/>
      <c r="O1" s="960"/>
      <c r="P1" s="13"/>
      <c r="Q1" s="220"/>
      <c r="R1" s="220"/>
      <c r="S1" s="13"/>
      <c r="T1" s="316"/>
      <c r="U1" s="173"/>
    </row>
    <row r="2" spans="1:21" ht="24.6" outlineLevel="1" x14ac:dyDescent="0.4">
      <c r="C2" s="1077" t="s">
        <v>1174</v>
      </c>
      <c r="D2" s="1077"/>
      <c r="G2" s="52"/>
      <c r="H2" s="795"/>
      <c r="I2" s="52"/>
      <c r="J2" s="52"/>
      <c r="K2" s="221"/>
      <c r="L2" s="52"/>
      <c r="M2" s="52"/>
      <c r="N2" s="221"/>
      <c r="O2" s="52"/>
      <c r="P2" s="52"/>
      <c r="Q2" s="221"/>
      <c r="R2" s="221"/>
      <c r="S2" s="52"/>
      <c r="T2" s="926"/>
      <c r="U2" s="174"/>
    </row>
    <row r="3" spans="1:21" ht="20.399999999999999" outlineLevel="1" x14ac:dyDescent="0.35">
      <c r="C3" s="1075" t="s">
        <v>0</v>
      </c>
      <c r="D3" s="1075"/>
      <c r="E3" s="607"/>
      <c r="F3" s="187"/>
      <c r="G3" s="57"/>
      <c r="I3" s="57"/>
      <c r="J3" s="57"/>
      <c r="L3" s="187"/>
      <c r="M3" s="57"/>
      <c r="O3" s="187"/>
      <c r="P3" s="57"/>
      <c r="S3" s="57"/>
      <c r="T3" s="317">
        <f>6/12</f>
        <v>0.5</v>
      </c>
      <c r="U3" s="175"/>
    </row>
    <row r="4" spans="1:21" ht="14.4" outlineLevel="1" thickBot="1" x14ac:dyDescent="0.3">
      <c r="C4" s="116"/>
      <c r="E4" s="607"/>
      <c r="F4" s="187"/>
      <c r="G4" s="1"/>
      <c r="I4" s="187"/>
      <c r="J4" s="1"/>
      <c r="L4" s="187"/>
      <c r="M4" s="1"/>
      <c r="O4" s="187"/>
      <c r="P4" s="1"/>
      <c r="S4" s="187"/>
      <c r="T4" s="112"/>
      <c r="U4" s="1003"/>
    </row>
    <row r="5" spans="1:21" ht="55.2" customHeight="1" thickBot="1" x14ac:dyDescent="0.3">
      <c r="C5" s="16" t="s">
        <v>1</v>
      </c>
      <c r="D5" s="17" t="s">
        <v>2</v>
      </c>
      <c r="E5" s="775" t="s">
        <v>1156</v>
      </c>
      <c r="F5" s="775" t="s">
        <v>1169</v>
      </c>
      <c r="G5" s="58" t="s">
        <v>1170</v>
      </c>
      <c r="H5" s="797" t="s">
        <v>270</v>
      </c>
      <c r="I5" s="58" t="s">
        <v>1261</v>
      </c>
      <c r="J5" s="58" t="s">
        <v>1262</v>
      </c>
      <c r="K5" s="61" t="s">
        <v>270</v>
      </c>
      <c r="L5" s="58" t="s">
        <v>1294</v>
      </c>
      <c r="M5" s="58" t="s">
        <v>1295</v>
      </c>
      <c r="N5" s="61" t="s">
        <v>270</v>
      </c>
      <c r="O5" s="58" t="s">
        <v>1332</v>
      </c>
      <c r="P5" s="58" t="s">
        <v>1333</v>
      </c>
      <c r="Q5" s="61" t="s">
        <v>270</v>
      </c>
      <c r="R5" s="61"/>
      <c r="S5" s="58" t="s">
        <v>1362</v>
      </c>
      <c r="T5" s="299" t="s">
        <v>1363</v>
      </c>
      <c r="U5" s="61" t="s">
        <v>4</v>
      </c>
    </row>
    <row r="6" spans="1:21" x14ac:dyDescent="0.25">
      <c r="C6" s="80" t="s">
        <v>456</v>
      </c>
      <c r="D6" s="81" t="s">
        <v>5</v>
      </c>
      <c r="E6" s="69">
        <v>38074624</v>
      </c>
      <c r="F6" s="69">
        <f t="shared" ref="F6" si="0">ROUND((F7+F10+F13+F16+F19),0)</f>
        <v>38074624</v>
      </c>
      <c r="G6" s="18">
        <f>F6-E6</f>
        <v>0</v>
      </c>
      <c r="H6" s="798"/>
      <c r="I6" s="69">
        <f>ROUND((I7+I10+I13+I16+I19),0)</f>
        <v>38519847</v>
      </c>
      <c r="J6" s="18">
        <f>I6-F6</f>
        <v>445223</v>
      </c>
      <c r="K6" s="222"/>
      <c r="L6" s="69">
        <f>ROUND((L7+L10+L13+L16+L19),0)</f>
        <v>38519847</v>
      </c>
      <c r="M6" s="18">
        <f>L6-I6</f>
        <v>0</v>
      </c>
      <c r="N6" s="222"/>
      <c r="O6" s="69">
        <f>ROUND((O7+O10+O13+O16+O19),0)</f>
        <v>38519847</v>
      </c>
      <c r="P6" s="18">
        <f>O6-L6</f>
        <v>0</v>
      </c>
      <c r="Q6" s="222"/>
      <c r="R6" s="1013"/>
      <c r="S6" s="1001">
        <f>ROUND((S7+S10+S13+S16+S19),0)</f>
        <v>18991639</v>
      </c>
      <c r="T6" s="300">
        <f t="shared" ref="T6:T19" si="1">S6/O6</f>
        <v>0.49303516184786506</v>
      </c>
      <c r="U6" s="287"/>
    </row>
    <row r="7" spans="1:21" x14ac:dyDescent="0.25">
      <c r="B7" s="12" t="s">
        <v>6</v>
      </c>
      <c r="C7" s="82" t="s">
        <v>7</v>
      </c>
      <c r="D7" s="83" t="s">
        <v>8</v>
      </c>
      <c r="E7" s="763">
        <v>34831773</v>
      </c>
      <c r="F7" s="763">
        <f t="shared" ref="F7" si="2">SUM(F8:F8)</f>
        <v>34831773</v>
      </c>
      <c r="G7" s="19">
        <f t="shared" ref="G7:G71" si="3">F7-E7</f>
        <v>0</v>
      </c>
      <c r="H7" s="799"/>
      <c r="I7" s="19">
        <f>SUM(I8:I8)</f>
        <v>35276996</v>
      </c>
      <c r="J7" s="19">
        <f>I7-F7</f>
        <v>445223</v>
      </c>
      <c r="K7" s="223"/>
      <c r="L7" s="19">
        <f>SUM(L8:L8)</f>
        <v>35276996</v>
      </c>
      <c r="M7" s="19">
        <f>L7-I7</f>
        <v>0</v>
      </c>
      <c r="N7" s="223"/>
      <c r="O7" s="19">
        <f>SUM(O8:O8)</f>
        <v>35276996</v>
      </c>
      <c r="P7" s="19">
        <f>O7-L7</f>
        <v>0</v>
      </c>
      <c r="Q7" s="223"/>
      <c r="R7" s="1014"/>
      <c r="S7" s="1000">
        <f>SUM(S8:S8)</f>
        <v>16459589.710000001</v>
      </c>
      <c r="T7" s="301">
        <f t="shared" si="1"/>
        <v>0.4665813866350752</v>
      </c>
      <c r="U7" s="176"/>
    </row>
    <row r="8" spans="1:21" ht="18" customHeight="1" x14ac:dyDescent="0.25">
      <c r="A8" s="12" t="s">
        <v>9</v>
      </c>
      <c r="B8" s="20" t="s">
        <v>11</v>
      </c>
      <c r="C8" s="84" t="s">
        <v>10</v>
      </c>
      <c r="D8" s="85" t="s">
        <v>13</v>
      </c>
      <c r="E8" s="762">
        <v>34831773</v>
      </c>
      <c r="F8" s="762">
        <f>ROUND(E8,0)</f>
        <v>34831773</v>
      </c>
      <c r="G8" s="21">
        <f t="shared" si="3"/>
        <v>0</v>
      </c>
      <c r="H8" s="800"/>
      <c r="I8" s="21">
        <f>ROUND(F8,0)+331540+113683</f>
        <v>35276996</v>
      </c>
      <c r="J8" s="21">
        <f>I8-F8</f>
        <v>445223</v>
      </c>
      <c r="K8" s="224" t="s">
        <v>1241</v>
      </c>
      <c r="L8" s="21">
        <f>ROUND(I8,0)</f>
        <v>35276996</v>
      </c>
      <c r="M8" s="21">
        <f>L8-I8</f>
        <v>0</v>
      </c>
      <c r="N8" s="224"/>
      <c r="O8" s="21">
        <f>ROUND(L8,0)</f>
        <v>35276996</v>
      </c>
      <c r="P8" s="21">
        <f>O8-L8</f>
        <v>0</v>
      </c>
      <c r="Q8" s="224"/>
      <c r="R8" s="1015"/>
      <c r="S8" s="219">
        <v>16459589.710000001</v>
      </c>
      <c r="T8" s="298">
        <f t="shared" si="1"/>
        <v>0.4665813866350752</v>
      </c>
      <c r="U8" s="21" t="s">
        <v>1212</v>
      </c>
    </row>
    <row r="9" spans="1:21" ht="32.4" customHeight="1" x14ac:dyDescent="0.25">
      <c r="C9" s="80" t="s">
        <v>457</v>
      </c>
      <c r="D9" s="81" t="s">
        <v>458</v>
      </c>
      <c r="E9" s="69">
        <v>3172850.61</v>
      </c>
      <c r="F9" s="69">
        <f>F10+F13+F16</f>
        <v>3172851</v>
      </c>
      <c r="G9" s="18">
        <f t="shared" si="3"/>
        <v>0.39000000013038516</v>
      </c>
      <c r="H9" s="798"/>
      <c r="I9" s="69">
        <f>I10+I13+I16</f>
        <v>3172851</v>
      </c>
      <c r="J9" s="18">
        <f t="shared" ref="J9:J76" si="4">I9-F9</f>
        <v>0</v>
      </c>
      <c r="K9" s="222"/>
      <c r="L9" s="69">
        <f>L10+L13+L16</f>
        <v>3172851</v>
      </c>
      <c r="M9" s="18">
        <f t="shared" ref="M9:M76" si="5">L9-I9</f>
        <v>0</v>
      </c>
      <c r="N9" s="222"/>
      <c r="O9" s="69">
        <f>O10+O13+O16</f>
        <v>3172851</v>
      </c>
      <c r="P9" s="18">
        <f t="shared" ref="P9:P76" si="6">O9-L9</f>
        <v>0</v>
      </c>
      <c r="Q9" s="222"/>
      <c r="R9" s="1013"/>
      <c r="S9" s="1001">
        <f>S10+S13+S16</f>
        <v>2491487.7200000002</v>
      </c>
      <c r="T9" s="300">
        <f t="shared" si="1"/>
        <v>0.78525203988463377</v>
      </c>
      <c r="U9" s="923" t="s">
        <v>720</v>
      </c>
    </row>
    <row r="10" spans="1:21" x14ac:dyDescent="0.25">
      <c r="B10" s="12" t="s">
        <v>14</v>
      </c>
      <c r="C10" s="86" t="s">
        <v>15</v>
      </c>
      <c r="D10" s="87" t="s">
        <v>16</v>
      </c>
      <c r="E10" s="761">
        <v>2040017.74</v>
      </c>
      <c r="F10" s="761">
        <f>SUM(F11:F12)</f>
        <v>2040018</v>
      </c>
      <c r="G10" s="23">
        <f t="shared" si="3"/>
        <v>0.26000000000931323</v>
      </c>
      <c r="H10" s="802"/>
      <c r="I10" s="23">
        <f>SUM(I11:I12)</f>
        <v>2040018</v>
      </c>
      <c r="J10" s="23">
        <f t="shared" si="4"/>
        <v>0</v>
      </c>
      <c r="K10" s="226"/>
      <c r="L10" s="23">
        <f>SUM(L11:L12)</f>
        <v>2040018</v>
      </c>
      <c r="M10" s="23">
        <f t="shared" si="5"/>
        <v>0</v>
      </c>
      <c r="N10" s="226"/>
      <c r="O10" s="23">
        <f>SUM(O11:O12)</f>
        <v>2040018</v>
      </c>
      <c r="P10" s="23">
        <f t="shared" si="6"/>
        <v>0</v>
      </c>
      <c r="Q10" s="226"/>
      <c r="R10" s="1016"/>
      <c r="S10" s="1002">
        <f>SUM(S11:S12)</f>
        <v>1597662.36</v>
      </c>
      <c r="T10" s="297">
        <f t="shared" si="1"/>
        <v>0.7831609132860593</v>
      </c>
      <c r="U10" s="368"/>
    </row>
    <row r="11" spans="1:21" x14ac:dyDescent="0.25">
      <c r="A11" s="12" t="s">
        <v>9</v>
      </c>
      <c r="B11" s="20" t="s">
        <v>17</v>
      </c>
      <c r="C11" s="84" t="s">
        <v>18</v>
      </c>
      <c r="D11" s="85" t="s">
        <v>13</v>
      </c>
      <c r="E11" s="762">
        <v>1900000</v>
      </c>
      <c r="F11" s="762">
        <f>ROUND(E11,0)</f>
        <v>1900000</v>
      </c>
      <c r="G11" s="21">
        <f t="shared" si="3"/>
        <v>0</v>
      </c>
      <c r="H11" s="803"/>
      <c r="I11" s="21">
        <f>ROUND(F11,0)</f>
        <v>1900000</v>
      </c>
      <c r="J11" s="21">
        <f t="shared" si="4"/>
        <v>0</v>
      </c>
      <c r="K11" s="227"/>
      <c r="L11" s="21">
        <f>ROUND(I11,0)</f>
        <v>1900000</v>
      </c>
      <c r="M11" s="21">
        <f t="shared" si="5"/>
        <v>0</v>
      </c>
      <c r="N11" s="227"/>
      <c r="O11" s="21">
        <f>ROUND(L11,0)</f>
        <v>1900000</v>
      </c>
      <c r="P11" s="21">
        <f t="shared" si="6"/>
        <v>0</v>
      </c>
      <c r="Q11" s="227"/>
      <c r="R11" s="1017"/>
      <c r="S11" s="219">
        <v>1535045.29</v>
      </c>
      <c r="T11" s="298">
        <f t="shared" si="1"/>
        <v>0.80791857368421049</v>
      </c>
      <c r="U11" s="22"/>
    </row>
    <row r="12" spans="1:21" x14ac:dyDescent="0.25">
      <c r="A12" s="12" t="s">
        <v>9</v>
      </c>
      <c r="B12" s="20" t="s">
        <v>19</v>
      </c>
      <c r="C12" s="84" t="s">
        <v>20</v>
      </c>
      <c r="D12" s="85" t="s">
        <v>21</v>
      </c>
      <c r="E12" s="762">
        <v>140017.74</v>
      </c>
      <c r="F12" s="762">
        <f>ROUND(E12,0)</f>
        <v>140018</v>
      </c>
      <c r="G12" s="21">
        <f t="shared" si="3"/>
        <v>0.26000000000931323</v>
      </c>
      <c r="H12" s="800"/>
      <c r="I12" s="21">
        <f>ROUND(F12,0)</f>
        <v>140018</v>
      </c>
      <c r="J12" s="21">
        <f t="shared" si="4"/>
        <v>0</v>
      </c>
      <c r="K12" s="224"/>
      <c r="L12" s="21">
        <f>ROUND(I12,0)</f>
        <v>140018</v>
      </c>
      <c r="M12" s="21">
        <f t="shared" si="5"/>
        <v>0</v>
      </c>
      <c r="N12" s="224"/>
      <c r="O12" s="21">
        <f>ROUND(L12,0)</f>
        <v>140018</v>
      </c>
      <c r="P12" s="21">
        <f t="shared" si="6"/>
        <v>0</v>
      </c>
      <c r="Q12" s="224"/>
      <c r="R12" s="1015"/>
      <c r="S12" s="219">
        <v>62617.07</v>
      </c>
      <c r="T12" s="298">
        <f t="shared" si="1"/>
        <v>0.447207287634447</v>
      </c>
      <c r="U12" s="22"/>
    </row>
    <row r="13" spans="1:21" x14ac:dyDescent="0.25">
      <c r="B13" s="12" t="s">
        <v>22</v>
      </c>
      <c r="C13" s="86" t="s">
        <v>23</v>
      </c>
      <c r="D13" s="87" t="s">
        <v>24</v>
      </c>
      <c r="E13" s="761">
        <v>410966.93</v>
      </c>
      <c r="F13" s="761">
        <f>SUM(F14:F15)</f>
        <v>410967</v>
      </c>
      <c r="G13" s="23">
        <f t="shared" si="3"/>
        <v>7.0000000006984919E-2</v>
      </c>
      <c r="H13" s="802"/>
      <c r="I13" s="23">
        <f>SUM(I14:I15)</f>
        <v>410967</v>
      </c>
      <c r="J13" s="23">
        <f t="shared" si="4"/>
        <v>0</v>
      </c>
      <c r="K13" s="226"/>
      <c r="L13" s="23">
        <f>SUM(L14:L15)</f>
        <v>410967</v>
      </c>
      <c r="M13" s="23">
        <f t="shared" si="5"/>
        <v>0</v>
      </c>
      <c r="N13" s="226"/>
      <c r="O13" s="23">
        <f>SUM(O14:O15)</f>
        <v>410967</v>
      </c>
      <c r="P13" s="23">
        <f t="shared" si="6"/>
        <v>0</v>
      </c>
      <c r="Q13" s="226"/>
      <c r="R13" s="1016"/>
      <c r="S13" s="1002">
        <f>SUM(S14:S15)</f>
        <v>286637.04000000004</v>
      </c>
      <c r="T13" s="297">
        <f t="shared" si="1"/>
        <v>0.69746972384644035</v>
      </c>
      <c r="U13" s="368"/>
    </row>
    <row r="14" spans="1:21" x14ac:dyDescent="0.25">
      <c r="A14" s="12" t="s">
        <v>9</v>
      </c>
      <c r="B14" s="20" t="s">
        <v>25</v>
      </c>
      <c r="C14" s="84" t="s">
        <v>26</v>
      </c>
      <c r="D14" s="85" t="s">
        <v>27</v>
      </c>
      <c r="E14" s="762">
        <v>350989</v>
      </c>
      <c r="F14" s="762">
        <f>ROUND(E14,0)</f>
        <v>350989</v>
      </c>
      <c r="G14" s="21">
        <f t="shared" si="3"/>
        <v>0</v>
      </c>
      <c r="H14" s="804"/>
      <c r="I14" s="21">
        <f>ROUND(F14,0)</f>
        <v>350989</v>
      </c>
      <c r="J14" s="21">
        <f t="shared" si="4"/>
        <v>0</v>
      </c>
      <c r="K14" s="228"/>
      <c r="L14" s="21">
        <f>ROUND(I14,0)</f>
        <v>350989</v>
      </c>
      <c r="M14" s="21">
        <f t="shared" si="5"/>
        <v>0</v>
      </c>
      <c r="N14" s="228"/>
      <c r="O14" s="21">
        <f>ROUND(L14,0)</f>
        <v>350989</v>
      </c>
      <c r="P14" s="21">
        <f t="shared" si="6"/>
        <v>0</v>
      </c>
      <c r="Q14" s="228"/>
      <c r="R14" s="250"/>
      <c r="S14" s="219">
        <v>265903.40000000002</v>
      </c>
      <c r="T14" s="298">
        <f t="shared" si="1"/>
        <v>0.75758328608588876</v>
      </c>
      <c r="U14" s="22"/>
    </row>
    <row r="15" spans="1:21" x14ac:dyDescent="0.25">
      <c r="A15" s="12" t="s">
        <v>9</v>
      </c>
      <c r="B15" s="20" t="s">
        <v>28</v>
      </c>
      <c r="C15" s="84" t="s">
        <v>29</v>
      </c>
      <c r="D15" s="85" t="s">
        <v>21</v>
      </c>
      <c r="E15" s="762">
        <v>59977.93</v>
      </c>
      <c r="F15" s="762">
        <f>ROUND(E15,0)</f>
        <v>59978</v>
      </c>
      <c r="G15" s="21">
        <f t="shared" si="3"/>
        <v>6.9999999999708962E-2</v>
      </c>
      <c r="H15" s="800"/>
      <c r="I15" s="21">
        <f>ROUND(F15,0)</f>
        <v>59978</v>
      </c>
      <c r="J15" s="21">
        <f t="shared" si="4"/>
        <v>0</v>
      </c>
      <c r="K15" s="224"/>
      <c r="L15" s="21">
        <f>ROUND(I15,0)</f>
        <v>59978</v>
      </c>
      <c r="M15" s="21">
        <f t="shared" si="5"/>
        <v>0</v>
      </c>
      <c r="N15" s="224"/>
      <c r="O15" s="21">
        <f>ROUND(L15,0)</f>
        <v>59978</v>
      </c>
      <c r="P15" s="21">
        <f t="shared" si="6"/>
        <v>0</v>
      </c>
      <c r="Q15" s="224"/>
      <c r="R15" s="1015"/>
      <c r="S15" s="219">
        <v>20733.64</v>
      </c>
      <c r="T15" s="298">
        <f t="shared" si="1"/>
        <v>0.34568741872019737</v>
      </c>
      <c r="U15" s="22"/>
    </row>
    <row r="16" spans="1:21" ht="27.6" x14ac:dyDescent="0.25">
      <c r="B16" s="12" t="s">
        <v>30</v>
      </c>
      <c r="C16" s="86" t="s">
        <v>31</v>
      </c>
      <c r="D16" s="87" t="s">
        <v>32</v>
      </c>
      <c r="E16" s="761">
        <v>721865.94</v>
      </c>
      <c r="F16" s="761">
        <f>SUM(F17:F18)</f>
        <v>721866</v>
      </c>
      <c r="G16" s="23">
        <f t="shared" si="3"/>
        <v>6.0000000055879354E-2</v>
      </c>
      <c r="H16" s="802"/>
      <c r="I16" s="23">
        <f>SUM(I17:I18)</f>
        <v>721866</v>
      </c>
      <c r="J16" s="23">
        <f t="shared" si="4"/>
        <v>0</v>
      </c>
      <c r="K16" s="226"/>
      <c r="L16" s="23">
        <f>SUM(L17:L18)</f>
        <v>721866</v>
      </c>
      <c r="M16" s="23">
        <f t="shared" si="5"/>
        <v>0</v>
      </c>
      <c r="N16" s="226"/>
      <c r="O16" s="23">
        <f>SUM(O17:O18)</f>
        <v>721866</v>
      </c>
      <c r="P16" s="23">
        <f t="shared" si="6"/>
        <v>0</v>
      </c>
      <c r="Q16" s="226"/>
      <c r="R16" s="1016"/>
      <c r="S16" s="1002">
        <f>SUM(S17:S18)</f>
        <v>607188.32000000007</v>
      </c>
      <c r="T16" s="297">
        <f t="shared" si="1"/>
        <v>0.84113716396117844</v>
      </c>
      <c r="U16" s="368"/>
    </row>
    <row r="17" spans="1:21" ht="18.75" customHeight="1" x14ac:dyDescent="0.25">
      <c r="A17" s="12" t="s">
        <v>9</v>
      </c>
      <c r="B17" s="20" t="s">
        <v>33</v>
      </c>
      <c r="C17" s="84" t="s">
        <v>34</v>
      </c>
      <c r="D17" s="85" t="s">
        <v>27</v>
      </c>
      <c r="E17" s="762">
        <v>650000</v>
      </c>
      <c r="F17" s="762">
        <f>ROUND(E17,0)</f>
        <v>650000</v>
      </c>
      <c r="G17" s="21">
        <f t="shared" si="3"/>
        <v>0</v>
      </c>
      <c r="H17" s="804"/>
      <c r="I17" s="21">
        <f>ROUND(F17,0)</f>
        <v>650000</v>
      </c>
      <c r="J17" s="21">
        <f t="shared" si="4"/>
        <v>0</v>
      </c>
      <c r="K17" s="228"/>
      <c r="L17" s="21">
        <f>ROUND(I17,0)</f>
        <v>650000</v>
      </c>
      <c r="M17" s="21">
        <f t="shared" si="5"/>
        <v>0</v>
      </c>
      <c r="N17" s="228"/>
      <c r="O17" s="21">
        <f>ROUND(L17,0)</f>
        <v>650000</v>
      </c>
      <c r="P17" s="21">
        <f t="shared" si="6"/>
        <v>0</v>
      </c>
      <c r="Q17" s="228"/>
      <c r="R17" s="250"/>
      <c r="S17" s="219">
        <v>577705.17000000004</v>
      </c>
      <c r="T17" s="298">
        <f t="shared" si="1"/>
        <v>0.88877718461538469</v>
      </c>
      <c r="U17" s="22"/>
    </row>
    <row r="18" spans="1:21" x14ac:dyDescent="0.25">
      <c r="A18" s="12" t="s">
        <v>9</v>
      </c>
      <c r="B18" s="20" t="s">
        <v>35</v>
      </c>
      <c r="C18" s="84" t="s">
        <v>36</v>
      </c>
      <c r="D18" s="85" t="s">
        <v>21</v>
      </c>
      <c r="E18" s="762">
        <v>71865.94</v>
      </c>
      <c r="F18" s="762">
        <f>ROUND(E18,0)</f>
        <v>71866</v>
      </c>
      <c r="G18" s="21">
        <f t="shared" si="3"/>
        <v>5.9999999997671694E-2</v>
      </c>
      <c r="H18" s="803"/>
      <c r="I18" s="21">
        <f>ROUND(F18,0)</f>
        <v>71866</v>
      </c>
      <c r="J18" s="21">
        <f t="shared" si="4"/>
        <v>0</v>
      </c>
      <c r="K18" s="227"/>
      <c r="L18" s="21">
        <f>ROUND(I18,0)</f>
        <v>71866</v>
      </c>
      <c r="M18" s="21">
        <f t="shared" si="5"/>
        <v>0</v>
      </c>
      <c r="N18" s="227"/>
      <c r="O18" s="21">
        <f>ROUND(L18,0)</f>
        <v>71866</v>
      </c>
      <c r="P18" s="21">
        <f t="shared" si="6"/>
        <v>0</v>
      </c>
      <c r="Q18" s="227"/>
      <c r="R18" s="1017"/>
      <c r="S18" s="219">
        <v>29483.15</v>
      </c>
      <c r="T18" s="298">
        <f t="shared" si="1"/>
        <v>0.41025171847605268</v>
      </c>
      <c r="U18" s="22"/>
    </row>
    <row r="19" spans="1:21" ht="28.2" x14ac:dyDescent="0.3">
      <c r="B19" s="70"/>
      <c r="C19" s="86" t="s">
        <v>37</v>
      </c>
      <c r="D19" s="87" t="s">
        <v>384</v>
      </c>
      <c r="E19" s="761">
        <v>70000</v>
      </c>
      <c r="F19" s="761">
        <f t="shared" ref="F19" si="7">SUM(F20:F21)</f>
        <v>70000</v>
      </c>
      <c r="G19" s="23">
        <f t="shared" si="3"/>
        <v>0</v>
      </c>
      <c r="H19" s="802"/>
      <c r="I19" s="23">
        <f>SUM(I20:I21)</f>
        <v>70000</v>
      </c>
      <c r="J19" s="23">
        <f t="shared" si="4"/>
        <v>0</v>
      </c>
      <c r="K19" s="226"/>
      <c r="L19" s="23">
        <f>SUM(L20:L21)</f>
        <v>70000</v>
      </c>
      <c r="M19" s="23">
        <f t="shared" si="5"/>
        <v>0</v>
      </c>
      <c r="N19" s="226"/>
      <c r="O19" s="23">
        <f>SUM(O20:O21)</f>
        <v>70000</v>
      </c>
      <c r="P19" s="23">
        <f t="shared" si="6"/>
        <v>0</v>
      </c>
      <c r="Q19" s="226"/>
      <c r="R19" s="1016"/>
      <c r="S19" s="1002">
        <f>SUM(S20:S21)</f>
        <v>40561.97</v>
      </c>
      <c r="T19" s="297">
        <f t="shared" si="1"/>
        <v>0.57945671428571432</v>
      </c>
      <c r="U19" s="368"/>
    </row>
    <row r="20" spans="1:21" ht="14.4" customHeight="1" outlineLevel="1" x14ac:dyDescent="0.25">
      <c r="B20" s="20" t="s">
        <v>461</v>
      </c>
      <c r="C20" s="84" t="s">
        <v>162</v>
      </c>
      <c r="D20" s="85" t="s">
        <v>38</v>
      </c>
      <c r="E20" s="762">
        <v>0</v>
      </c>
      <c r="F20" s="762">
        <f>ROUND(E20,0)</f>
        <v>0</v>
      </c>
      <c r="G20" s="21">
        <f t="shared" si="3"/>
        <v>0</v>
      </c>
      <c r="H20" s="804"/>
      <c r="I20" s="21">
        <f>ROUND(F20,0)</f>
        <v>0</v>
      </c>
      <c r="J20" s="21">
        <f t="shared" si="4"/>
        <v>0</v>
      </c>
      <c r="K20" s="228"/>
      <c r="L20" s="21">
        <f>ROUND(I20,0)</f>
        <v>0</v>
      </c>
      <c r="M20" s="21">
        <f t="shared" si="5"/>
        <v>0</v>
      </c>
      <c r="N20" s="228"/>
      <c r="O20" s="21">
        <f>ROUND(L20,0)</f>
        <v>0</v>
      </c>
      <c r="P20" s="21">
        <f t="shared" si="6"/>
        <v>0</v>
      </c>
      <c r="Q20" s="228"/>
      <c r="R20" s="250"/>
      <c r="S20" s="219">
        <v>3162.5</v>
      </c>
      <c r="T20" s="298"/>
      <c r="U20" s="22"/>
    </row>
    <row r="21" spans="1:21" ht="15.6" customHeight="1" x14ac:dyDescent="0.25">
      <c r="B21" s="20" t="s">
        <v>460</v>
      </c>
      <c r="C21" s="84" t="s">
        <v>162</v>
      </c>
      <c r="D21" s="85" t="s">
        <v>459</v>
      </c>
      <c r="E21" s="762">
        <v>70000</v>
      </c>
      <c r="F21" s="762">
        <f>ROUND(E21,0)</f>
        <v>70000</v>
      </c>
      <c r="G21" s="21">
        <f t="shared" si="3"/>
        <v>0</v>
      </c>
      <c r="H21" s="805"/>
      <c r="I21" s="21">
        <f>ROUND(F21,0)</f>
        <v>70000</v>
      </c>
      <c r="J21" s="21">
        <f t="shared" si="4"/>
        <v>0</v>
      </c>
      <c r="K21" s="229"/>
      <c r="L21" s="21">
        <f>ROUND(I21,0)</f>
        <v>70000</v>
      </c>
      <c r="M21" s="21">
        <f t="shared" si="5"/>
        <v>0</v>
      </c>
      <c r="N21" s="229"/>
      <c r="O21" s="21">
        <f>ROUND(L21,0)</f>
        <v>70000</v>
      </c>
      <c r="P21" s="21">
        <f t="shared" si="6"/>
        <v>0</v>
      </c>
      <c r="Q21" s="229"/>
      <c r="R21" s="1018"/>
      <c r="S21" s="219">
        <v>37399.47</v>
      </c>
      <c r="T21" s="298">
        <f t="shared" ref="T21:T47" si="8">S21/O21</f>
        <v>0.53427814285714292</v>
      </c>
      <c r="U21" s="22"/>
    </row>
    <row r="22" spans="1:21" ht="15.75" customHeight="1" x14ac:dyDescent="0.25">
      <c r="B22" s="12" t="s">
        <v>39</v>
      </c>
      <c r="C22" s="86" t="s">
        <v>40</v>
      </c>
      <c r="D22" s="87" t="s">
        <v>41</v>
      </c>
      <c r="E22" s="761">
        <v>160000</v>
      </c>
      <c r="F22" s="761">
        <f t="shared" ref="F22" si="9">F23+F27</f>
        <v>160000</v>
      </c>
      <c r="G22" s="23">
        <f t="shared" si="3"/>
        <v>0</v>
      </c>
      <c r="H22" s="802"/>
      <c r="I22" s="23">
        <f>I23+I27</f>
        <v>160000</v>
      </c>
      <c r="J22" s="23">
        <f t="shared" si="4"/>
        <v>0</v>
      </c>
      <c r="K22" s="226"/>
      <c r="L22" s="23">
        <f>L23+L27</f>
        <v>160000</v>
      </c>
      <c r="M22" s="23">
        <f t="shared" si="5"/>
        <v>0</v>
      </c>
      <c r="N22" s="226"/>
      <c r="O22" s="23">
        <f>O23+O27</f>
        <v>167000</v>
      </c>
      <c r="P22" s="23">
        <f t="shared" si="6"/>
        <v>7000</v>
      </c>
      <c r="Q22" s="226"/>
      <c r="R22" s="1016"/>
      <c r="S22" s="1002">
        <f>S23+S27</f>
        <v>81725.98</v>
      </c>
      <c r="T22" s="297">
        <f t="shared" si="8"/>
        <v>0.48937712574850295</v>
      </c>
      <c r="U22" s="912"/>
    </row>
    <row r="23" spans="1:21" x14ac:dyDescent="0.25">
      <c r="A23" s="12" t="s">
        <v>9</v>
      </c>
      <c r="B23" s="12" t="s">
        <v>42</v>
      </c>
      <c r="C23" s="84" t="s">
        <v>43</v>
      </c>
      <c r="D23" s="85" t="s">
        <v>44</v>
      </c>
      <c r="E23" s="762">
        <v>6700</v>
      </c>
      <c r="F23" s="762">
        <f>F24+F25+F26</f>
        <v>6700</v>
      </c>
      <c r="G23" s="21">
        <f>F23-E23</f>
        <v>0</v>
      </c>
      <c r="H23" s="803"/>
      <c r="I23" s="21">
        <f>I24+I25+I26</f>
        <v>6700</v>
      </c>
      <c r="J23" s="21">
        <f t="shared" si="4"/>
        <v>0</v>
      </c>
      <c r="K23" s="227"/>
      <c r="L23" s="21">
        <f>L24+L25+L26</f>
        <v>6700</v>
      </c>
      <c r="M23" s="21">
        <f t="shared" si="5"/>
        <v>0</v>
      </c>
      <c r="N23" s="227"/>
      <c r="O23" s="21">
        <f>O24+O25+O26</f>
        <v>6700</v>
      </c>
      <c r="P23" s="21">
        <f t="shared" si="6"/>
        <v>0</v>
      </c>
      <c r="Q23" s="227"/>
      <c r="R23" s="1017"/>
      <c r="S23" s="219">
        <f>S24+S25+S26</f>
        <v>3157.94</v>
      </c>
      <c r="T23" s="302">
        <f t="shared" si="8"/>
        <v>0.47133432835820899</v>
      </c>
      <c r="U23" s="22"/>
    </row>
    <row r="24" spans="1:21" ht="26.4" x14ac:dyDescent="0.25">
      <c r="B24" s="20" t="s">
        <v>45</v>
      </c>
      <c r="C24" s="88" t="s">
        <v>46</v>
      </c>
      <c r="D24" s="89" t="s">
        <v>47</v>
      </c>
      <c r="E24" s="762">
        <v>1700</v>
      </c>
      <c r="F24" s="762">
        <f>ROUND(E24,0)</f>
        <v>1700</v>
      </c>
      <c r="G24" s="21">
        <f t="shared" si="3"/>
        <v>0</v>
      </c>
      <c r="H24" s="803"/>
      <c r="I24" s="21">
        <f>ROUND(F24,0)</f>
        <v>1700</v>
      </c>
      <c r="J24" s="21">
        <f t="shared" si="4"/>
        <v>0</v>
      </c>
      <c r="K24" s="227"/>
      <c r="L24" s="21">
        <f>ROUND(I24,0)</f>
        <v>1700</v>
      </c>
      <c r="M24" s="21">
        <f t="shared" si="5"/>
        <v>0</v>
      </c>
      <c r="N24" s="227"/>
      <c r="O24" s="21">
        <f>ROUND(L24,0)</f>
        <v>1700</v>
      </c>
      <c r="P24" s="21">
        <f t="shared" si="6"/>
        <v>0</v>
      </c>
      <c r="Q24" s="227"/>
      <c r="R24" s="1017"/>
      <c r="S24" s="219">
        <v>605.28</v>
      </c>
      <c r="T24" s="298">
        <f t="shared" si="8"/>
        <v>0.35604705882352938</v>
      </c>
      <c r="U24" s="22"/>
    </row>
    <row r="25" spans="1:21" ht="26.4" x14ac:dyDescent="0.25">
      <c r="B25" s="20" t="s">
        <v>48</v>
      </c>
      <c r="C25" s="88" t="s">
        <v>49</v>
      </c>
      <c r="D25" s="89" t="s">
        <v>287</v>
      </c>
      <c r="E25" s="762">
        <v>4500</v>
      </c>
      <c r="F25" s="762">
        <f>ROUND(E25,0)</f>
        <v>4500</v>
      </c>
      <c r="G25" s="21">
        <f t="shared" si="3"/>
        <v>0</v>
      </c>
      <c r="H25" s="803"/>
      <c r="I25" s="21">
        <f>ROUND(F25,0)</f>
        <v>4500</v>
      </c>
      <c r="J25" s="21">
        <f t="shared" si="4"/>
        <v>0</v>
      </c>
      <c r="K25" s="227"/>
      <c r="L25" s="21">
        <f>ROUND(I25,0)</f>
        <v>4500</v>
      </c>
      <c r="M25" s="21">
        <f t="shared" si="5"/>
        <v>0</v>
      </c>
      <c r="N25" s="227"/>
      <c r="O25" s="21">
        <f>ROUND(L25,0)</f>
        <v>4500</v>
      </c>
      <c r="P25" s="21">
        <f t="shared" si="6"/>
        <v>0</v>
      </c>
      <c r="Q25" s="227"/>
      <c r="R25" s="1017"/>
      <c r="S25" s="219">
        <v>2235.1799999999998</v>
      </c>
      <c r="T25" s="298">
        <f t="shared" si="8"/>
        <v>0.49670666666666663</v>
      </c>
      <c r="U25" s="22"/>
    </row>
    <row r="26" spans="1:21" ht="26.4" x14ac:dyDescent="0.25">
      <c r="B26" s="20" t="s">
        <v>50</v>
      </c>
      <c r="C26" s="88" t="s">
        <v>51</v>
      </c>
      <c r="D26" s="89" t="s">
        <v>288</v>
      </c>
      <c r="E26" s="762">
        <v>500</v>
      </c>
      <c r="F26" s="762">
        <f>ROUND(E26,0)</f>
        <v>500</v>
      </c>
      <c r="G26" s="21">
        <f t="shared" si="3"/>
        <v>0</v>
      </c>
      <c r="H26" s="803"/>
      <c r="I26" s="21">
        <f>ROUND(F26,0)</f>
        <v>500</v>
      </c>
      <c r="J26" s="21">
        <f t="shared" si="4"/>
        <v>0</v>
      </c>
      <c r="K26" s="227"/>
      <c r="L26" s="21">
        <f>ROUND(I26,0)</f>
        <v>500</v>
      </c>
      <c r="M26" s="21">
        <f t="shared" si="5"/>
        <v>0</v>
      </c>
      <c r="N26" s="227"/>
      <c r="O26" s="21">
        <f>ROUND(L26,0)</f>
        <v>500</v>
      </c>
      <c r="P26" s="21">
        <f t="shared" si="6"/>
        <v>0</v>
      </c>
      <c r="Q26" s="227"/>
      <c r="R26" s="1017"/>
      <c r="S26" s="219">
        <v>317.48</v>
      </c>
      <c r="T26" s="298">
        <f t="shared" si="8"/>
        <v>0.63496000000000008</v>
      </c>
      <c r="U26" s="22"/>
    </row>
    <row r="27" spans="1:21" x14ac:dyDescent="0.25">
      <c r="A27" s="12" t="s">
        <v>9</v>
      </c>
      <c r="B27" s="12" t="s">
        <v>52</v>
      </c>
      <c r="C27" s="84" t="s">
        <v>53</v>
      </c>
      <c r="D27" s="85" t="s">
        <v>54</v>
      </c>
      <c r="E27" s="762">
        <v>153300</v>
      </c>
      <c r="F27" s="762">
        <f t="shared" ref="F27" si="10">SUM(F28:F33)</f>
        <v>153300</v>
      </c>
      <c r="G27" s="21">
        <f t="shared" si="3"/>
        <v>0</v>
      </c>
      <c r="H27" s="803"/>
      <c r="I27" s="21">
        <f>SUM(I28:I33)</f>
        <v>153300</v>
      </c>
      <c r="J27" s="21">
        <f t="shared" si="4"/>
        <v>0</v>
      </c>
      <c r="K27" s="227"/>
      <c r="L27" s="21">
        <f>SUM(L28:L33)</f>
        <v>153300</v>
      </c>
      <c r="M27" s="21">
        <f t="shared" si="5"/>
        <v>0</v>
      </c>
      <c r="N27" s="227"/>
      <c r="O27" s="21">
        <f>SUM(O28:O33)</f>
        <v>160300</v>
      </c>
      <c r="P27" s="21">
        <f t="shared" si="6"/>
        <v>7000</v>
      </c>
      <c r="Q27" s="227"/>
      <c r="R27" s="1017"/>
      <c r="S27" s="219">
        <f>SUM(S28:S33)</f>
        <v>78568.039999999994</v>
      </c>
      <c r="T27" s="302">
        <f t="shared" si="8"/>
        <v>0.49013125389893947</v>
      </c>
      <c r="U27" s="22"/>
    </row>
    <row r="28" spans="1:21" ht="26.4" x14ac:dyDescent="0.25">
      <c r="B28" s="20" t="s">
        <v>55</v>
      </c>
      <c r="C28" s="88" t="s">
        <v>56</v>
      </c>
      <c r="D28" s="89" t="s">
        <v>289</v>
      </c>
      <c r="E28" s="762">
        <v>350</v>
      </c>
      <c r="F28" s="762">
        <f t="shared" ref="F28:F33" si="11">ROUND(E28,0)</f>
        <v>350</v>
      </c>
      <c r="G28" s="21">
        <f t="shared" si="3"/>
        <v>0</v>
      </c>
      <c r="H28" s="803"/>
      <c r="I28" s="21">
        <f t="shared" ref="I28:I33" si="12">ROUND(F28,0)</f>
        <v>350</v>
      </c>
      <c r="J28" s="21">
        <f t="shared" si="4"/>
        <v>0</v>
      </c>
      <c r="K28" s="227"/>
      <c r="L28" s="21">
        <f t="shared" ref="L28:L33" si="13">ROUND(I28,0)</f>
        <v>350</v>
      </c>
      <c r="M28" s="21">
        <f t="shared" si="5"/>
        <v>0</v>
      </c>
      <c r="N28" s="227"/>
      <c r="O28" s="21">
        <f t="shared" ref="O28:O33" si="14">ROUND(L28,0)</f>
        <v>350</v>
      </c>
      <c r="P28" s="21">
        <f t="shared" si="6"/>
        <v>0</v>
      </c>
      <c r="Q28" s="227"/>
      <c r="R28" s="1017"/>
      <c r="S28" s="219">
        <v>59</v>
      </c>
      <c r="T28" s="298">
        <f t="shared" si="8"/>
        <v>0.16857142857142857</v>
      </c>
      <c r="U28" s="22"/>
    </row>
    <row r="29" spans="1:21" ht="26.4" x14ac:dyDescent="0.25">
      <c r="B29" s="76" t="s">
        <v>614</v>
      </c>
      <c r="C29" s="88" t="s">
        <v>58</v>
      </c>
      <c r="D29" s="89" t="s">
        <v>296</v>
      </c>
      <c r="E29" s="762">
        <v>1100</v>
      </c>
      <c r="F29" s="762">
        <f t="shared" si="11"/>
        <v>1100</v>
      </c>
      <c r="G29" s="68">
        <f t="shared" si="3"/>
        <v>0</v>
      </c>
      <c r="H29" s="806"/>
      <c r="I29" s="21">
        <f t="shared" si="12"/>
        <v>1100</v>
      </c>
      <c r="J29" s="68">
        <f t="shared" si="4"/>
        <v>0</v>
      </c>
      <c r="K29" s="230"/>
      <c r="L29" s="21">
        <f t="shared" si="13"/>
        <v>1100</v>
      </c>
      <c r="M29" s="68">
        <f t="shared" si="5"/>
        <v>0</v>
      </c>
      <c r="N29" s="230"/>
      <c r="O29" s="21">
        <f t="shared" si="14"/>
        <v>1100</v>
      </c>
      <c r="P29" s="68">
        <f t="shared" si="6"/>
        <v>0</v>
      </c>
      <c r="Q29" s="230"/>
      <c r="R29" s="1017"/>
      <c r="S29" s="219">
        <v>1146.18</v>
      </c>
      <c r="T29" s="303">
        <f t="shared" si="8"/>
        <v>1.0419818181818183</v>
      </c>
      <c r="U29" s="608"/>
    </row>
    <row r="30" spans="1:21" ht="55.2" x14ac:dyDescent="0.25">
      <c r="B30" s="20" t="s">
        <v>57</v>
      </c>
      <c r="C30" s="88" t="s">
        <v>59</v>
      </c>
      <c r="D30" s="89" t="s">
        <v>290</v>
      </c>
      <c r="E30" s="762">
        <v>27000</v>
      </c>
      <c r="F30" s="762">
        <f t="shared" si="11"/>
        <v>27000</v>
      </c>
      <c r="G30" s="21">
        <f t="shared" si="3"/>
        <v>0</v>
      </c>
      <c r="H30" s="803"/>
      <c r="I30" s="21">
        <f t="shared" si="12"/>
        <v>27000</v>
      </c>
      <c r="J30" s="21">
        <f t="shared" si="4"/>
        <v>0</v>
      </c>
      <c r="K30" s="227"/>
      <c r="L30" s="21">
        <f t="shared" si="13"/>
        <v>27000</v>
      </c>
      <c r="M30" s="21">
        <f t="shared" si="5"/>
        <v>0</v>
      </c>
      <c r="N30" s="227"/>
      <c r="O30" s="21">
        <f>ROUND(L30,0)+7000</f>
        <v>34000</v>
      </c>
      <c r="P30" s="21">
        <f t="shared" si="6"/>
        <v>7000</v>
      </c>
      <c r="Q30" s="267" t="s">
        <v>1350</v>
      </c>
      <c r="R30" s="907"/>
      <c r="S30" s="219">
        <v>16284.62</v>
      </c>
      <c r="T30" s="298">
        <f t="shared" si="8"/>
        <v>0.47895941176470591</v>
      </c>
      <c r="U30" s="22"/>
    </row>
    <row r="31" spans="1:21" ht="26.4" x14ac:dyDescent="0.25">
      <c r="B31" s="20" t="s">
        <v>60</v>
      </c>
      <c r="C31" s="88" t="s">
        <v>61</v>
      </c>
      <c r="D31" s="89" t="s">
        <v>291</v>
      </c>
      <c r="E31" s="762">
        <v>11500</v>
      </c>
      <c r="F31" s="762">
        <f t="shared" si="11"/>
        <v>11500</v>
      </c>
      <c r="G31" s="21">
        <f t="shared" si="3"/>
        <v>0</v>
      </c>
      <c r="H31" s="803"/>
      <c r="I31" s="21">
        <f t="shared" si="12"/>
        <v>11500</v>
      </c>
      <c r="J31" s="21">
        <f t="shared" si="4"/>
        <v>0</v>
      </c>
      <c r="K31" s="227"/>
      <c r="L31" s="21">
        <f t="shared" si="13"/>
        <v>11500</v>
      </c>
      <c r="M31" s="21">
        <f t="shared" si="5"/>
        <v>0</v>
      </c>
      <c r="N31" s="227"/>
      <c r="O31" s="21">
        <f t="shared" si="14"/>
        <v>11500</v>
      </c>
      <c r="P31" s="21">
        <f t="shared" si="6"/>
        <v>0</v>
      </c>
      <c r="Q31" s="227"/>
      <c r="R31" s="1017"/>
      <c r="S31" s="219">
        <v>12410</v>
      </c>
      <c r="T31" s="298">
        <f t="shared" si="8"/>
        <v>1.0791304347826087</v>
      </c>
      <c r="U31" s="22"/>
    </row>
    <row r="32" spans="1:21" x14ac:dyDescent="0.25">
      <c r="B32" s="20" t="s">
        <v>62</v>
      </c>
      <c r="C32" s="88" t="s">
        <v>63</v>
      </c>
      <c r="D32" s="89" t="s">
        <v>292</v>
      </c>
      <c r="E32" s="762">
        <v>106350</v>
      </c>
      <c r="F32" s="762">
        <f t="shared" si="11"/>
        <v>106350</v>
      </c>
      <c r="G32" s="21">
        <f t="shared" si="3"/>
        <v>0</v>
      </c>
      <c r="H32" s="803"/>
      <c r="I32" s="21">
        <f t="shared" si="12"/>
        <v>106350</v>
      </c>
      <c r="J32" s="21">
        <f t="shared" si="4"/>
        <v>0</v>
      </c>
      <c r="K32" s="227"/>
      <c r="L32" s="21">
        <f t="shared" si="13"/>
        <v>106350</v>
      </c>
      <c r="M32" s="21">
        <f t="shared" si="5"/>
        <v>0</v>
      </c>
      <c r="N32" s="227"/>
      <c r="O32" s="21">
        <f t="shared" si="14"/>
        <v>106350</v>
      </c>
      <c r="P32" s="21">
        <f t="shared" si="6"/>
        <v>0</v>
      </c>
      <c r="Q32" s="227"/>
      <c r="R32" s="1017"/>
      <c r="S32" s="219">
        <v>46152.85</v>
      </c>
      <c r="T32" s="298">
        <f t="shared" si="8"/>
        <v>0.43397132110954395</v>
      </c>
      <c r="U32" s="22"/>
    </row>
    <row r="33" spans="1:22" x14ac:dyDescent="0.25">
      <c r="B33" s="20" t="s">
        <v>64</v>
      </c>
      <c r="C33" s="88" t="s">
        <v>65</v>
      </c>
      <c r="D33" s="89" t="s">
        <v>293</v>
      </c>
      <c r="E33" s="762">
        <v>7000</v>
      </c>
      <c r="F33" s="762">
        <f t="shared" si="11"/>
        <v>7000</v>
      </c>
      <c r="G33" s="21">
        <f t="shared" si="3"/>
        <v>0</v>
      </c>
      <c r="H33" s="803"/>
      <c r="I33" s="21">
        <f t="shared" si="12"/>
        <v>7000</v>
      </c>
      <c r="J33" s="21">
        <f t="shared" si="4"/>
        <v>0</v>
      </c>
      <c r="K33" s="227"/>
      <c r="L33" s="21">
        <f t="shared" si="13"/>
        <v>7000</v>
      </c>
      <c r="M33" s="21">
        <f t="shared" si="5"/>
        <v>0</v>
      </c>
      <c r="N33" s="227"/>
      <c r="O33" s="21">
        <f t="shared" si="14"/>
        <v>7000</v>
      </c>
      <c r="P33" s="21">
        <f t="shared" si="6"/>
        <v>0</v>
      </c>
      <c r="Q33" s="227"/>
      <c r="R33" s="1017"/>
      <c r="S33" s="219">
        <v>2515.39</v>
      </c>
      <c r="T33" s="298">
        <f t="shared" si="8"/>
        <v>0.35934142857142853</v>
      </c>
      <c r="U33" s="22"/>
    </row>
    <row r="34" spans="1:22" ht="18" customHeight="1" x14ac:dyDescent="0.25">
      <c r="B34" s="12" t="s">
        <v>66</v>
      </c>
      <c r="C34" s="86" t="s">
        <v>67</v>
      </c>
      <c r="D34" s="87" t="s">
        <v>68</v>
      </c>
      <c r="E34" s="761">
        <v>65000</v>
      </c>
      <c r="F34" s="761">
        <f>F35+F36</f>
        <v>65000</v>
      </c>
      <c r="G34" s="23">
        <f t="shared" si="3"/>
        <v>0</v>
      </c>
      <c r="H34" s="807"/>
      <c r="I34" s="23">
        <f>I35+I36</f>
        <v>65000</v>
      </c>
      <c r="J34" s="23">
        <f t="shared" si="4"/>
        <v>0</v>
      </c>
      <c r="K34" s="231"/>
      <c r="L34" s="23">
        <f>L35+L36</f>
        <v>65000</v>
      </c>
      <c r="M34" s="23">
        <f t="shared" si="5"/>
        <v>0</v>
      </c>
      <c r="N34" s="231"/>
      <c r="O34" s="23">
        <f>O35+O36</f>
        <v>65000</v>
      </c>
      <c r="P34" s="23">
        <f t="shared" si="6"/>
        <v>0</v>
      </c>
      <c r="Q34" s="231"/>
      <c r="R34" s="1019"/>
      <c r="S34" s="1002">
        <f>S35+S36</f>
        <v>93853.48</v>
      </c>
      <c r="T34" s="297">
        <f t="shared" si="8"/>
        <v>1.4438996923076923</v>
      </c>
      <c r="U34" s="912"/>
    </row>
    <row r="35" spans="1:22" ht="16.5" customHeight="1" x14ac:dyDescent="0.3">
      <c r="B35" s="70" t="s">
        <v>69</v>
      </c>
      <c r="C35" s="84" t="s">
        <v>70</v>
      </c>
      <c r="D35" s="85" t="s">
        <v>68</v>
      </c>
      <c r="E35" s="762">
        <v>31000</v>
      </c>
      <c r="F35" s="762">
        <f>ROUND(E35,0)</f>
        <v>31000</v>
      </c>
      <c r="G35" s="21">
        <f t="shared" si="3"/>
        <v>0</v>
      </c>
      <c r="H35" s="800"/>
      <c r="I35" s="21">
        <f>ROUND(F35,0)</f>
        <v>31000</v>
      </c>
      <c r="J35" s="21">
        <f t="shared" si="4"/>
        <v>0</v>
      </c>
      <c r="K35" s="224"/>
      <c r="L35" s="21">
        <f>ROUND(I35,0)</f>
        <v>31000</v>
      </c>
      <c r="M35" s="21">
        <f t="shared" si="5"/>
        <v>0</v>
      </c>
      <c r="N35" s="224"/>
      <c r="O35" s="21">
        <f>ROUND(L35,0)</f>
        <v>31000</v>
      </c>
      <c r="P35" s="21">
        <f t="shared" si="6"/>
        <v>0</v>
      </c>
      <c r="Q35" s="224"/>
      <c r="R35" s="1015"/>
      <c r="S35" s="904">
        <f>66023.62+8946</f>
        <v>74969.62</v>
      </c>
      <c r="T35" s="298">
        <f t="shared" si="8"/>
        <v>2.4183748387096773</v>
      </c>
      <c r="U35" s="22"/>
    </row>
    <row r="36" spans="1:22" ht="28.2" x14ac:dyDescent="0.3">
      <c r="B36" s="70" t="s">
        <v>71</v>
      </c>
      <c r="C36" s="84" t="s">
        <v>72</v>
      </c>
      <c r="D36" s="85" t="s">
        <v>73</v>
      </c>
      <c r="E36" s="762">
        <v>34000</v>
      </c>
      <c r="F36" s="762">
        <f>ROUND(E36,0)</f>
        <v>34000</v>
      </c>
      <c r="G36" s="21">
        <f t="shared" si="3"/>
        <v>0</v>
      </c>
      <c r="H36" s="800"/>
      <c r="I36" s="21">
        <f>ROUND(F36,0)</f>
        <v>34000</v>
      </c>
      <c r="J36" s="21">
        <f t="shared" si="4"/>
        <v>0</v>
      </c>
      <c r="K36" s="224"/>
      <c r="L36" s="21">
        <f>ROUND(I36,0)</f>
        <v>34000</v>
      </c>
      <c r="M36" s="21">
        <f t="shared" si="5"/>
        <v>0</v>
      </c>
      <c r="N36" s="224"/>
      <c r="O36" s="21">
        <f>ROUND(L36,0)</f>
        <v>34000</v>
      </c>
      <c r="P36" s="21">
        <f t="shared" si="6"/>
        <v>0</v>
      </c>
      <c r="Q36" s="224"/>
      <c r="R36" s="1015"/>
      <c r="S36" s="219">
        <v>18883.86</v>
      </c>
      <c r="T36" s="298">
        <f t="shared" si="8"/>
        <v>0.55540764705882351</v>
      </c>
      <c r="U36" s="22"/>
    </row>
    <row r="37" spans="1:22" x14ac:dyDescent="0.25">
      <c r="B37" s="12" t="s">
        <v>74</v>
      </c>
      <c r="C37" s="86" t="s">
        <v>75</v>
      </c>
      <c r="D37" s="87" t="s">
        <v>76</v>
      </c>
      <c r="E37" s="761">
        <v>6453</v>
      </c>
      <c r="F37" s="761">
        <f>F38+F39+F40</f>
        <v>6453</v>
      </c>
      <c r="G37" s="23">
        <f t="shared" si="3"/>
        <v>0</v>
      </c>
      <c r="H37" s="802"/>
      <c r="I37" s="23">
        <f>I38+I39+I40</f>
        <v>25797</v>
      </c>
      <c r="J37" s="23">
        <f t="shared" si="4"/>
        <v>19344</v>
      </c>
      <c r="K37" s="226"/>
      <c r="L37" s="23">
        <f>L38+L39+L40</f>
        <v>35106</v>
      </c>
      <c r="M37" s="23">
        <f t="shared" si="5"/>
        <v>9309</v>
      </c>
      <c r="N37" s="226"/>
      <c r="O37" s="23">
        <f>O38+O39+O40</f>
        <v>57106</v>
      </c>
      <c r="P37" s="23">
        <f t="shared" si="6"/>
        <v>22000</v>
      </c>
      <c r="Q37" s="226"/>
      <c r="R37" s="1016"/>
      <c r="S37" s="23">
        <f>S38+S39+S40</f>
        <v>113313.25</v>
      </c>
      <c r="T37" s="297">
        <f t="shared" si="8"/>
        <v>1.9842617238118587</v>
      </c>
      <c r="U37" s="368"/>
      <c r="V37" s="52"/>
    </row>
    <row r="38" spans="1:22" ht="44.4" customHeight="1" x14ac:dyDescent="0.25">
      <c r="A38" s="12" t="s">
        <v>9</v>
      </c>
      <c r="B38" s="13" t="s">
        <v>1239</v>
      </c>
      <c r="C38" s="84" t="s">
        <v>77</v>
      </c>
      <c r="D38" s="618" t="s">
        <v>78</v>
      </c>
      <c r="E38" s="762">
        <v>0</v>
      </c>
      <c r="F38" s="762">
        <f>ROUND(E38,0)</f>
        <v>0</v>
      </c>
      <c r="G38" s="21">
        <f t="shared" si="3"/>
        <v>0</v>
      </c>
      <c r="H38" s="808"/>
      <c r="I38" s="21">
        <f>ROUND(F38,0)+19344</f>
        <v>19344</v>
      </c>
      <c r="J38" s="21">
        <f t="shared" si="4"/>
        <v>19344</v>
      </c>
      <c r="K38" s="232" t="s">
        <v>1240</v>
      </c>
      <c r="L38" s="21">
        <f>ROUND(I38,0)+9309</f>
        <v>28653</v>
      </c>
      <c r="M38" s="21">
        <f t="shared" si="5"/>
        <v>9309</v>
      </c>
      <c r="N38" s="232" t="s">
        <v>1302</v>
      </c>
      <c r="O38" s="21">
        <f>ROUND(L38,0)+22000</f>
        <v>50653</v>
      </c>
      <c r="P38" s="21">
        <f t="shared" si="6"/>
        <v>22000</v>
      </c>
      <c r="Q38" s="232" t="s">
        <v>1360</v>
      </c>
      <c r="R38" s="1020"/>
      <c r="S38" s="21">
        <f>64505+32186+672</f>
        <v>97363</v>
      </c>
      <c r="T38" s="298">
        <f t="shared" si="8"/>
        <v>1.9221566343553196</v>
      </c>
      <c r="U38" s="924" t="s">
        <v>1374</v>
      </c>
    </row>
    <row r="39" spans="1:22" ht="27.6" x14ac:dyDescent="0.25">
      <c r="B39" s="12" t="s">
        <v>251</v>
      </c>
      <c r="C39" s="84" t="s">
        <v>79</v>
      </c>
      <c r="D39" s="85" t="s">
        <v>250</v>
      </c>
      <c r="E39" s="762">
        <v>500</v>
      </c>
      <c r="F39" s="762">
        <f>ROUND(E39,0)</f>
        <v>500</v>
      </c>
      <c r="G39" s="21">
        <f t="shared" si="3"/>
        <v>0</v>
      </c>
      <c r="H39" s="808"/>
      <c r="I39" s="21">
        <f>ROUND(F39,0)</f>
        <v>500</v>
      </c>
      <c r="J39" s="21">
        <f t="shared" si="4"/>
        <v>0</v>
      </c>
      <c r="K39" s="232"/>
      <c r="L39" s="21">
        <f>ROUND(I39,0)</f>
        <v>500</v>
      </c>
      <c r="M39" s="21">
        <f t="shared" si="5"/>
        <v>0</v>
      </c>
      <c r="N39" s="232"/>
      <c r="O39" s="21">
        <f>ROUND(L39,0)</f>
        <v>500</v>
      </c>
      <c r="P39" s="21">
        <f t="shared" si="6"/>
        <v>0</v>
      </c>
      <c r="Q39" s="232"/>
      <c r="R39" s="1020"/>
      <c r="S39" s="21">
        <f>2874+598</f>
        <v>3472</v>
      </c>
      <c r="T39" s="298">
        <f t="shared" si="8"/>
        <v>6.944</v>
      </c>
      <c r="U39" s="924" t="s">
        <v>1378</v>
      </c>
    </row>
    <row r="40" spans="1:22" x14ac:dyDescent="0.25">
      <c r="C40" s="84" t="s">
        <v>80</v>
      </c>
      <c r="D40" s="85" t="s">
        <v>330</v>
      </c>
      <c r="E40" s="762">
        <v>5953</v>
      </c>
      <c r="F40" s="762">
        <f>ROUND(E40,0)</f>
        <v>5953</v>
      </c>
      <c r="G40" s="68">
        <f t="shared" si="3"/>
        <v>0</v>
      </c>
      <c r="H40" s="809"/>
      <c r="I40" s="21">
        <f>ROUND(F40,0)</f>
        <v>5953</v>
      </c>
      <c r="J40" s="68">
        <f t="shared" si="4"/>
        <v>0</v>
      </c>
      <c r="K40" s="233"/>
      <c r="L40" s="21">
        <f>ROUND(I40,0)</f>
        <v>5953</v>
      </c>
      <c r="M40" s="68">
        <f t="shared" si="5"/>
        <v>0</v>
      </c>
      <c r="N40" s="233"/>
      <c r="O40" s="21">
        <f>ROUND(L40,0)</f>
        <v>5953</v>
      </c>
      <c r="P40" s="68">
        <f t="shared" si="6"/>
        <v>0</v>
      </c>
      <c r="Q40" s="233"/>
      <c r="R40" s="1015"/>
      <c r="S40" s="21">
        <v>12478.25</v>
      </c>
      <c r="T40" s="303">
        <f t="shared" si="8"/>
        <v>2.0961280026877205</v>
      </c>
      <c r="U40" s="608"/>
      <c r="V40" s="52"/>
    </row>
    <row r="41" spans="1:22" ht="26.4" customHeight="1" x14ac:dyDescent="0.25">
      <c r="B41" s="12" t="s">
        <v>246</v>
      </c>
      <c r="C41" s="90" t="s">
        <v>81</v>
      </c>
      <c r="D41" s="87" t="s">
        <v>82</v>
      </c>
      <c r="E41" s="761">
        <v>5856</v>
      </c>
      <c r="F41" s="761">
        <f>ROUND(E41,0)</f>
        <v>5856</v>
      </c>
      <c r="G41" s="23">
        <f t="shared" si="3"/>
        <v>0</v>
      </c>
      <c r="H41" s="807"/>
      <c r="I41" s="23">
        <f>ROUND(F41,0)</f>
        <v>5856</v>
      </c>
      <c r="J41" s="23">
        <f t="shared" si="4"/>
        <v>0</v>
      </c>
      <c r="K41" s="231"/>
      <c r="L41" s="23">
        <f>ROUND(I41,0)+23095</f>
        <v>28951</v>
      </c>
      <c r="M41" s="23">
        <f t="shared" si="5"/>
        <v>23095</v>
      </c>
      <c r="N41" s="231" t="s">
        <v>1291</v>
      </c>
      <c r="O41" s="23">
        <f>ROUND(L41,0)</f>
        <v>28951</v>
      </c>
      <c r="P41" s="23">
        <f t="shared" si="6"/>
        <v>0</v>
      </c>
      <c r="Q41" s="231"/>
      <c r="R41" s="1019"/>
      <c r="S41" s="23">
        <f>59135.16+20+1</f>
        <v>59156.160000000003</v>
      </c>
      <c r="T41" s="297">
        <f t="shared" si="8"/>
        <v>2.0433200925702049</v>
      </c>
      <c r="U41" s="917"/>
    </row>
    <row r="42" spans="1:22" x14ac:dyDescent="0.25">
      <c r="C42" s="90" t="s">
        <v>85</v>
      </c>
      <c r="D42" s="87" t="s">
        <v>255</v>
      </c>
      <c r="E42" s="761">
        <v>10153512</v>
      </c>
      <c r="F42" s="761">
        <f t="shared" ref="F42" si="15">F43+F66+F87</f>
        <v>10611779</v>
      </c>
      <c r="G42" s="23">
        <f t="shared" si="3"/>
        <v>458267</v>
      </c>
      <c r="H42" s="368"/>
      <c r="I42" s="23">
        <f>I43+I66+I87</f>
        <v>10715183</v>
      </c>
      <c r="J42" s="23">
        <f t="shared" si="4"/>
        <v>103404</v>
      </c>
      <c r="K42" s="23"/>
      <c r="L42" s="23">
        <f>L43+L66+L87</f>
        <v>10765964</v>
      </c>
      <c r="M42" s="23">
        <f t="shared" si="5"/>
        <v>50781</v>
      </c>
      <c r="N42" s="23"/>
      <c r="O42" s="23">
        <f>O43+O66+O87</f>
        <v>10765964</v>
      </c>
      <c r="P42" s="23">
        <f t="shared" si="6"/>
        <v>0</v>
      </c>
      <c r="Q42" s="23"/>
      <c r="R42" s="1021"/>
      <c r="S42" s="23">
        <f>S43+S66+S87</f>
        <v>6839037.7199999997</v>
      </c>
      <c r="T42" s="297">
        <f t="shared" si="8"/>
        <v>0.63524619996871623</v>
      </c>
      <c r="U42" s="368"/>
    </row>
    <row r="43" spans="1:22" ht="17.399999999999999" customHeight="1" x14ac:dyDescent="0.25">
      <c r="B43" s="20"/>
      <c r="C43" s="91" t="s">
        <v>89</v>
      </c>
      <c r="D43" s="620" t="s">
        <v>86</v>
      </c>
      <c r="E43" s="770">
        <v>8993696</v>
      </c>
      <c r="F43" s="770">
        <f t="shared" ref="F43" si="16">SUM(F44:F47)+F50+SUM(F54:F65)</f>
        <v>9340698</v>
      </c>
      <c r="G43" s="64">
        <f t="shared" si="3"/>
        <v>347002</v>
      </c>
      <c r="H43" s="613"/>
      <c r="I43" s="64">
        <f>SUM(I44:I47)+I50+SUM(I54:I65)</f>
        <v>9468249</v>
      </c>
      <c r="J43" s="64">
        <f t="shared" si="4"/>
        <v>127551</v>
      </c>
      <c r="K43" s="64"/>
      <c r="L43" s="64">
        <f>SUM(L44:L47)+L50+SUM(L54:L65)</f>
        <v>9519030</v>
      </c>
      <c r="M43" s="64">
        <f t="shared" si="5"/>
        <v>50781</v>
      </c>
      <c r="N43" s="64"/>
      <c r="O43" s="64">
        <f>SUM(O44:O47)+O50+SUM(O54:O65)</f>
        <v>9519030</v>
      </c>
      <c r="P43" s="64">
        <f t="shared" si="6"/>
        <v>0</v>
      </c>
      <c r="Q43" s="64"/>
      <c r="R43" s="1022"/>
      <c r="S43" s="64">
        <f>SUM(S44:S47)+S50+SUM(S54:S65)</f>
        <v>6089997.0899999999</v>
      </c>
      <c r="T43" s="326">
        <f t="shared" si="8"/>
        <v>0.63977076340761607</v>
      </c>
      <c r="U43" s="64"/>
      <c r="V43" s="52"/>
    </row>
    <row r="44" spans="1:22" ht="16.95" customHeight="1" x14ac:dyDescent="0.25">
      <c r="A44" s="12" t="s">
        <v>87</v>
      </c>
      <c r="B44" s="12" t="s">
        <v>88</v>
      </c>
      <c r="C44" s="88" t="s">
        <v>462</v>
      </c>
      <c r="D44" s="85" t="s">
        <v>90</v>
      </c>
      <c r="E44" s="762">
        <v>651116</v>
      </c>
      <c r="F44" s="762">
        <f>ROUND(E44,0)+142597</f>
        <v>793713</v>
      </c>
      <c r="G44" s="21">
        <f t="shared" si="3"/>
        <v>142597</v>
      </c>
      <c r="H44" s="232" t="s">
        <v>1200</v>
      </c>
      <c r="I44" s="21">
        <f>ROUND(F44,0)</f>
        <v>793713</v>
      </c>
      <c r="J44" s="21">
        <f t="shared" si="4"/>
        <v>0</v>
      </c>
      <c r="K44" s="232"/>
      <c r="L44" s="21">
        <f>ROUND(I44,0)</f>
        <v>793713</v>
      </c>
      <c r="M44" s="21">
        <f t="shared" si="5"/>
        <v>0</v>
      </c>
      <c r="N44" s="232"/>
      <c r="O44" s="21">
        <f>ROUND(L44,0)</f>
        <v>793713</v>
      </c>
      <c r="P44" s="21">
        <f t="shared" si="6"/>
        <v>0</v>
      </c>
      <c r="Q44" s="232"/>
      <c r="R44" s="1020"/>
      <c r="S44" s="21">
        <v>526119</v>
      </c>
      <c r="T44" s="298">
        <f t="shared" si="8"/>
        <v>0.66285798519112071</v>
      </c>
      <c r="U44" s="22"/>
    </row>
    <row r="45" spans="1:22" ht="13.95" customHeight="1" x14ac:dyDescent="0.3">
      <c r="A45" s="12" t="s">
        <v>87</v>
      </c>
      <c r="B45" s="70" t="s">
        <v>91</v>
      </c>
      <c r="C45" s="88" t="s">
        <v>463</v>
      </c>
      <c r="D45" s="85" t="s">
        <v>93</v>
      </c>
      <c r="E45" s="762">
        <v>314606</v>
      </c>
      <c r="F45" s="762">
        <f>ROUND(E45,0)</f>
        <v>314606</v>
      </c>
      <c r="G45" s="21">
        <f t="shared" si="3"/>
        <v>0</v>
      </c>
      <c r="H45" s="800"/>
      <c r="I45" s="21">
        <f>ROUND(F45,0)-22981</f>
        <v>291625</v>
      </c>
      <c r="J45" s="21">
        <f t="shared" si="4"/>
        <v>-22981</v>
      </c>
      <c r="K45" s="224" t="s">
        <v>1232</v>
      </c>
      <c r="L45" s="21">
        <f>ROUND(I45,0)</f>
        <v>291625</v>
      </c>
      <c r="M45" s="21">
        <f t="shared" si="5"/>
        <v>0</v>
      </c>
      <c r="N45" s="224"/>
      <c r="O45" s="21">
        <f>ROUND(L45,0)</f>
        <v>291625</v>
      </c>
      <c r="P45" s="21">
        <f t="shared" si="6"/>
        <v>0</v>
      </c>
      <c r="Q45" s="224"/>
      <c r="R45" s="1015"/>
      <c r="S45" s="21">
        <v>145812</v>
      </c>
      <c r="T45" s="298">
        <f t="shared" si="8"/>
        <v>0.49999828546935277</v>
      </c>
      <c r="U45" s="22"/>
    </row>
    <row r="46" spans="1:22" ht="14.4" x14ac:dyDescent="0.3">
      <c r="B46" s="63" t="s">
        <v>278</v>
      </c>
      <c r="C46" s="88" t="s">
        <v>464</v>
      </c>
      <c r="D46" s="85" t="s">
        <v>94</v>
      </c>
      <c r="E46" s="762">
        <v>249276</v>
      </c>
      <c r="F46" s="762">
        <f>ROUND(E46,0)</f>
        <v>249276</v>
      </c>
      <c r="G46" s="21">
        <f t="shared" si="3"/>
        <v>0</v>
      </c>
      <c r="H46" s="808"/>
      <c r="I46" s="21">
        <f>ROUND(F46,0)</f>
        <v>249276</v>
      </c>
      <c r="J46" s="21">
        <f t="shared" si="4"/>
        <v>0</v>
      </c>
      <c r="K46" s="232"/>
      <c r="L46" s="21">
        <f>ROUND(I46,0)</f>
        <v>249276</v>
      </c>
      <c r="M46" s="21">
        <f t="shared" si="5"/>
        <v>0</v>
      </c>
      <c r="N46" s="232"/>
      <c r="O46" s="21">
        <f>ROUND(L46,0)</f>
        <v>249276</v>
      </c>
      <c r="P46" s="21">
        <f t="shared" si="6"/>
        <v>0</v>
      </c>
      <c r="Q46" s="232"/>
      <c r="R46" s="1020"/>
      <c r="S46" s="21">
        <v>203087.2</v>
      </c>
      <c r="T46" s="298">
        <f t="shared" si="8"/>
        <v>0.81470819493252467</v>
      </c>
      <c r="U46" s="22"/>
    </row>
    <row r="47" spans="1:22" ht="14.25" customHeight="1" x14ac:dyDescent="0.3">
      <c r="A47" s="12" t="s">
        <v>87</v>
      </c>
      <c r="B47" s="70" t="s">
        <v>95</v>
      </c>
      <c r="C47" s="88" t="s">
        <v>465</v>
      </c>
      <c r="D47" s="85" t="s">
        <v>516</v>
      </c>
      <c r="E47" s="21">
        <v>0</v>
      </c>
      <c r="F47" s="762">
        <f t="shared" ref="F47" si="17">F48+F49</f>
        <v>0</v>
      </c>
      <c r="G47" s="21">
        <f t="shared" si="3"/>
        <v>0</v>
      </c>
      <c r="H47" s="22"/>
      <c r="I47" s="21">
        <f>I48+I49</f>
        <v>112839</v>
      </c>
      <c r="J47" s="21">
        <f t="shared" si="4"/>
        <v>112839</v>
      </c>
      <c r="K47" s="21" t="s">
        <v>1247</v>
      </c>
      <c r="L47" s="21">
        <f>L48+L49</f>
        <v>112839</v>
      </c>
      <c r="M47" s="21">
        <f t="shared" si="5"/>
        <v>0</v>
      </c>
      <c r="N47" s="21"/>
      <c r="O47" s="21">
        <f>O48+O49</f>
        <v>112839</v>
      </c>
      <c r="P47" s="21">
        <f t="shared" si="6"/>
        <v>0</v>
      </c>
      <c r="Q47" s="21"/>
      <c r="R47" s="904"/>
      <c r="S47" s="21">
        <f>S48</f>
        <v>112837.57</v>
      </c>
      <c r="T47" s="298">
        <f t="shared" si="8"/>
        <v>0.9999873270766314</v>
      </c>
      <c r="U47" s="21"/>
    </row>
    <row r="48" spans="1:22" ht="14.25" customHeight="1" x14ac:dyDescent="0.3">
      <c r="B48" s="70"/>
      <c r="C48" s="88" t="s">
        <v>513</v>
      </c>
      <c r="D48" s="89" t="s">
        <v>515</v>
      </c>
      <c r="E48" s="759"/>
      <c r="F48" s="768"/>
      <c r="G48" s="109">
        <f t="shared" si="3"/>
        <v>0</v>
      </c>
      <c r="H48" s="364"/>
      <c r="I48" s="109">
        <f>3025+2989+4538+2468+7380+112+71355+538+851+19583</f>
        <v>112839</v>
      </c>
      <c r="J48" s="109">
        <f t="shared" si="4"/>
        <v>112839</v>
      </c>
      <c r="K48" s="234"/>
      <c r="L48" s="109">
        <f t="shared" ref="L48:L49" si="18">ROUND(I48,0)</f>
        <v>112839</v>
      </c>
      <c r="M48" s="109">
        <f t="shared" si="5"/>
        <v>0</v>
      </c>
      <c r="N48" s="234"/>
      <c r="O48" s="21">
        <f>ROUND(L48,0)</f>
        <v>112839</v>
      </c>
      <c r="P48" s="109">
        <f t="shared" si="6"/>
        <v>0</v>
      </c>
      <c r="Q48" s="234"/>
      <c r="R48" s="1020"/>
      <c r="S48" s="21">
        <v>112837.57</v>
      </c>
      <c r="T48" s="298">
        <f t="shared" ref="T48" si="19">S48/O48</f>
        <v>0.9999873270766314</v>
      </c>
      <c r="U48" s="371"/>
    </row>
    <row r="49" spans="1:21" ht="17.399999999999999" customHeight="1" x14ac:dyDescent="0.3">
      <c r="B49" s="70"/>
      <c r="C49" s="88" t="s">
        <v>514</v>
      </c>
      <c r="D49" s="89" t="s">
        <v>517</v>
      </c>
      <c r="E49" s="759"/>
      <c r="F49" s="768"/>
      <c r="G49" s="109">
        <f t="shared" si="3"/>
        <v>0</v>
      </c>
      <c r="H49" s="364"/>
      <c r="I49" s="109"/>
      <c r="J49" s="109">
        <f t="shared" si="4"/>
        <v>0</v>
      </c>
      <c r="K49" s="234"/>
      <c r="L49" s="109">
        <f t="shared" si="18"/>
        <v>0</v>
      </c>
      <c r="M49" s="109">
        <f t="shared" si="5"/>
        <v>0</v>
      </c>
      <c r="N49" s="234"/>
      <c r="O49" s="109"/>
      <c r="P49" s="109">
        <f t="shared" si="6"/>
        <v>0</v>
      </c>
      <c r="Q49" s="234"/>
      <c r="R49" s="1020"/>
      <c r="S49" s="109"/>
      <c r="T49" s="298"/>
      <c r="U49" s="371"/>
    </row>
    <row r="50" spans="1:21" ht="13.95" customHeight="1" x14ac:dyDescent="0.25">
      <c r="B50" s="12" t="s">
        <v>96</v>
      </c>
      <c r="C50" s="88" t="s">
        <v>466</v>
      </c>
      <c r="D50" s="85" t="s">
        <v>97</v>
      </c>
      <c r="E50" s="765">
        <v>6510554</v>
      </c>
      <c r="F50" s="765">
        <f>F51+F52+F53</f>
        <v>6646187</v>
      </c>
      <c r="G50" s="59">
        <f t="shared" si="3"/>
        <v>135633</v>
      </c>
      <c r="H50" s="811"/>
      <c r="I50" s="59">
        <f>I51+I52+I53</f>
        <v>6646187</v>
      </c>
      <c r="J50" s="59">
        <f t="shared" si="4"/>
        <v>0</v>
      </c>
      <c r="K50" s="235"/>
      <c r="L50" s="59">
        <f>L51+L52+L53</f>
        <v>6646187</v>
      </c>
      <c r="M50" s="59">
        <f t="shared" si="5"/>
        <v>0</v>
      </c>
      <c r="N50" s="235"/>
      <c r="O50" s="59">
        <f>O51+O52+O53</f>
        <v>6646187</v>
      </c>
      <c r="P50" s="59">
        <f t="shared" si="6"/>
        <v>0</v>
      </c>
      <c r="Q50" s="235"/>
      <c r="R50" s="1023"/>
      <c r="S50" s="59">
        <f>S51+S52+S53</f>
        <v>4419179</v>
      </c>
      <c r="T50" s="304">
        <f>S50/O50</f>
        <v>0.66491944930228419</v>
      </c>
      <c r="U50" s="810"/>
    </row>
    <row r="51" spans="1:21" s="26" customFormat="1" ht="14.4" x14ac:dyDescent="0.3">
      <c r="A51" s="12" t="s">
        <v>87</v>
      </c>
      <c r="B51" s="70" t="s">
        <v>98</v>
      </c>
      <c r="C51" s="88" t="s">
        <v>467</v>
      </c>
      <c r="D51" s="89" t="s">
        <v>99</v>
      </c>
      <c r="E51" s="764">
        <v>1100762</v>
      </c>
      <c r="F51" s="764">
        <f t="shared" ref="F51:F64" si="20">ROUND(E51,0)</f>
        <v>1100762</v>
      </c>
      <c r="G51" s="25">
        <f t="shared" si="3"/>
        <v>0</v>
      </c>
      <c r="H51" s="813"/>
      <c r="I51" s="25">
        <f t="shared" ref="I51:I58" si="21">ROUND(F51,0)</f>
        <v>1100762</v>
      </c>
      <c r="J51" s="25">
        <f t="shared" si="4"/>
        <v>0</v>
      </c>
      <c r="K51" s="236"/>
      <c r="L51" s="25">
        <f t="shared" ref="L51:L58" si="22">ROUND(I51,0)</f>
        <v>1100762</v>
      </c>
      <c r="M51" s="25">
        <f t="shared" si="5"/>
        <v>0</v>
      </c>
      <c r="N51" s="236"/>
      <c r="O51" s="25">
        <f t="shared" ref="O51:O58" si="23">ROUND(L51,0)</f>
        <v>1100762</v>
      </c>
      <c r="P51" s="25">
        <f t="shared" si="6"/>
        <v>0</v>
      </c>
      <c r="Q51" s="236"/>
      <c r="R51" s="1024"/>
      <c r="S51" s="25">
        <v>733841</v>
      </c>
      <c r="T51" s="305">
        <f>S51/O51</f>
        <v>0.66666636384613565</v>
      </c>
      <c r="U51" s="812"/>
    </row>
    <row r="52" spans="1:21" s="26" customFormat="1" ht="14.4" x14ac:dyDescent="0.3">
      <c r="A52" s="12" t="s">
        <v>87</v>
      </c>
      <c r="B52" s="70" t="s">
        <v>100</v>
      </c>
      <c r="C52" s="88" t="s">
        <v>468</v>
      </c>
      <c r="D52" s="89" t="s">
        <v>294</v>
      </c>
      <c r="E52" s="764">
        <v>5092428</v>
      </c>
      <c r="F52" s="764">
        <f>ROUND(E52,0)+17418</f>
        <v>5109846</v>
      </c>
      <c r="G52" s="25">
        <f t="shared" si="3"/>
        <v>17418</v>
      </c>
      <c r="H52" s="872" t="s">
        <v>1200</v>
      </c>
      <c r="I52" s="25">
        <f t="shared" si="21"/>
        <v>5109846</v>
      </c>
      <c r="J52" s="25">
        <f t="shared" si="4"/>
        <v>0</v>
      </c>
      <c r="K52" s="236"/>
      <c r="L52" s="25">
        <f t="shared" si="22"/>
        <v>5109846</v>
      </c>
      <c r="M52" s="25">
        <f t="shared" si="5"/>
        <v>0</v>
      </c>
      <c r="N52" s="236"/>
      <c r="O52" s="25">
        <f t="shared" si="23"/>
        <v>5109846</v>
      </c>
      <c r="P52" s="25">
        <f t="shared" si="6"/>
        <v>0</v>
      </c>
      <c r="Q52" s="236"/>
      <c r="R52" s="1025"/>
      <c r="S52" s="1065">
        <v>3685338</v>
      </c>
      <c r="T52" s="1067">
        <f>S52/(O52+O53)</f>
        <v>0.6645726882971098</v>
      </c>
      <c r="U52" s="812"/>
    </row>
    <row r="53" spans="1:21" s="26" customFormat="1" x14ac:dyDescent="0.25">
      <c r="A53" s="12" t="s">
        <v>87</v>
      </c>
      <c r="B53" s="12"/>
      <c r="C53" s="88" t="s">
        <v>469</v>
      </c>
      <c r="D53" s="89" t="s">
        <v>295</v>
      </c>
      <c r="E53" s="764">
        <v>317364</v>
      </c>
      <c r="F53" s="764">
        <f>ROUND(E53,0)-44403+110614+52004</f>
        <v>435579</v>
      </c>
      <c r="G53" s="237">
        <f t="shared" si="3"/>
        <v>118215</v>
      </c>
      <c r="H53" s="872" t="s">
        <v>1200</v>
      </c>
      <c r="I53" s="25">
        <f t="shared" si="21"/>
        <v>435579</v>
      </c>
      <c r="J53" s="237">
        <f t="shared" si="4"/>
        <v>0</v>
      </c>
      <c r="K53" s="238"/>
      <c r="L53" s="25">
        <f t="shared" si="22"/>
        <v>435579</v>
      </c>
      <c r="M53" s="237">
        <f t="shared" si="5"/>
        <v>0</v>
      </c>
      <c r="N53" s="238"/>
      <c r="O53" s="25">
        <f t="shared" si="23"/>
        <v>435579</v>
      </c>
      <c r="P53" s="237">
        <f t="shared" si="6"/>
        <v>0</v>
      </c>
      <c r="Q53" s="238"/>
      <c r="R53" s="1026"/>
      <c r="S53" s="1066"/>
      <c r="T53" s="1068"/>
      <c r="U53" s="812"/>
    </row>
    <row r="54" spans="1:21" ht="31.5" customHeight="1" x14ac:dyDescent="0.25">
      <c r="A54" s="12" t="s">
        <v>87</v>
      </c>
      <c r="B54" s="12" t="s">
        <v>101</v>
      </c>
      <c r="C54" s="88" t="s">
        <v>470</v>
      </c>
      <c r="D54" s="85" t="s">
        <v>272</v>
      </c>
      <c r="E54" s="762">
        <v>13088</v>
      </c>
      <c r="F54" s="762">
        <f t="shared" si="20"/>
        <v>13088</v>
      </c>
      <c r="G54" s="21">
        <f t="shared" si="3"/>
        <v>0</v>
      </c>
      <c r="H54" s="803"/>
      <c r="I54" s="21">
        <f t="shared" si="21"/>
        <v>13088</v>
      </c>
      <c r="J54" s="21">
        <f t="shared" si="4"/>
        <v>0</v>
      </c>
      <c r="K54" s="227"/>
      <c r="L54" s="21">
        <f t="shared" si="22"/>
        <v>13088</v>
      </c>
      <c r="M54" s="21">
        <f t="shared" si="5"/>
        <v>0</v>
      </c>
      <c r="N54" s="227"/>
      <c r="O54" s="21">
        <f t="shared" si="23"/>
        <v>13088</v>
      </c>
      <c r="P54" s="21">
        <f t="shared" si="6"/>
        <v>0</v>
      </c>
      <c r="Q54" s="227"/>
      <c r="R54" s="1017"/>
      <c r="S54" s="21">
        <f>3926+2320</f>
        <v>6246</v>
      </c>
      <c r="T54" s="298">
        <f>S54/O54</f>
        <v>0.47723105134474325</v>
      </c>
      <c r="U54" s="22"/>
    </row>
    <row r="55" spans="1:21" ht="19.2" customHeight="1" x14ac:dyDescent="0.3">
      <c r="A55" s="12" t="s">
        <v>87</v>
      </c>
      <c r="B55" s="70" t="s">
        <v>102</v>
      </c>
      <c r="C55" s="88" t="s">
        <v>471</v>
      </c>
      <c r="D55" s="85" t="s">
        <v>316</v>
      </c>
      <c r="E55" s="762">
        <v>14485</v>
      </c>
      <c r="F55" s="762">
        <f>ROUND(E55,0)</f>
        <v>14485</v>
      </c>
      <c r="G55" s="21">
        <f t="shared" si="3"/>
        <v>0</v>
      </c>
      <c r="H55" s="800"/>
      <c r="I55" s="21">
        <f>ROUND(F55,0)+26175</f>
        <v>40660</v>
      </c>
      <c r="J55" s="21">
        <f t="shared" si="4"/>
        <v>26175</v>
      </c>
      <c r="K55" s="224" t="s">
        <v>1235</v>
      </c>
      <c r="L55" s="21">
        <f t="shared" si="22"/>
        <v>40660</v>
      </c>
      <c r="M55" s="21">
        <f t="shared" si="5"/>
        <v>0</v>
      </c>
      <c r="N55" s="224"/>
      <c r="O55" s="21">
        <f t="shared" si="23"/>
        <v>40660</v>
      </c>
      <c r="P55" s="21">
        <f t="shared" si="6"/>
        <v>0</v>
      </c>
      <c r="Q55" s="224"/>
      <c r="R55" s="1027"/>
      <c r="S55" s="1069">
        <v>21474</v>
      </c>
      <c r="T55" s="1063">
        <f>S55/(O55+O56)</f>
        <v>0.41391673091750192</v>
      </c>
      <c r="U55" s="913"/>
    </row>
    <row r="56" spans="1:21" ht="19.2" customHeight="1" x14ac:dyDescent="0.3">
      <c r="B56" s="70"/>
      <c r="C56" s="88" t="s">
        <v>472</v>
      </c>
      <c r="D56" s="85" t="s">
        <v>365</v>
      </c>
      <c r="E56" s="762">
        <v>3668</v>
      </c>
      <c r="F56" s="762">
        <f>ROUND(E56,0)</f>
        <v>3668</v>
      </c>
      <c r="G56" s="109">
        <f t="shared" si="3"/>
        <v>0</v>
      </c>
      <c r="H56" s="800"/>
      <c r="I56" s="21">
        <f>ROUND(F56,0)+7552</f>
        <v>11220</v>
      </c>
      <c r="J56" s="109">
        <f t="shared" si="4"/>
        <v>7552</v>
      </c>
      <c r="K56" s="224" t="s">
        <v>1235</v>
      </c>
      <c r="L56" s="21">
        <f t="shared" si="22"/>
        <v>11220</v>
      </c>
      <c r="M56" s="109">
        <f t="shared" si="5"/>
        <v>0</v>
      </c>
      <c r="N56" s="224"/>
      <c r="O56" s="21">
        <f t="shared" si="23"/>
        <v>11220</v>
      </c>
      <c r="P56" s="109">
        <f t="shared" si="6"/>
        <v>0</v>
      </c>
      <c r="Q56" s="224"/>
      <c r="R56" s="1028"/>
      <c r="S56" s="1070"/>
      <c r="T56" s="1064">
        <f>S56/F56</f>
        <v>0</v>
      </c>
      <c r="U56" s="914"/>
    </row>
    <row r="57" spans="1:21" ht="18.600000000000001" customHeight="1" x14ac:dyDescent="0.25">
      <c r="B57" s="12" t="s">
        <v>103</v>
      </c>
      <c r="C57" s="88" t="s">
        <v>473</v>
      </c>
      <c r="D57" s="85" t="s">
        <v>104</v>
      </c>
      <c r="E57" s="762">
        <v>501000</v>
      </c>
      <c r="F57" s="762">
        <f t="shared" si="20"/>
        <v>501000</v>
      </c>
      <c r="G57" s="21">
        <f t="shared" si="3"/>
        <v>0</v>
      </c>
      <c r="H57" s="808"/>
      <c r="I57" s="21">
        <f t="shared" si="21"/>
        <v>501000</v>
      </c>
      <c r="J57" s="21">
        <f t="shared" si="4"/>
        <v>0</v>
      </c>
      <c r="K57" s="232"/>
      <c r="L57" s="21">
        <f t="shared" si="22"/>
        <v>501000</v>
      </c>
      <c r="M57" s="21">
        <f t="shared" si="5"/>
        <v>0</v>
      </c>
      <c r="N57" s="232"/>
      <c r="O57" s="21">
        <f t="shared" si="23"/>
        <v>501000</v>
      </c>
      <c r="P57" s="21">
        <f t="shared" si="6"/>
        <v>0</v>
      </c>
      <c r="Q57" s="232"/>
      <c r="R57" s="1020"/>
      <c r="S57" s="21">
        <v>285860.53000000003</v>
      </c>
      <c r="T57" s="298">
        <f>S57/O57</f>
        <v>0.57057990019960081</v>
      </c>
      <c r="U57" s="22"/>
    </row>
    <row r="58" spans="1:21" ht="31.5" customHeight="1" x14ac:dyDescent="0.25">
      <c r="C58" s="88" t="s">
        <v>474</v>
      </c>
      <c r="D58" s="85" t="s">
        <v>262</v>
      </c>
      <c r="E58" s="762">
        <v>0</v>
      </c>
      <c r="F58" s="762">
        <f t="shared" si="20"/>
        <v>0</v>
      </c>
      <c r="G58" s="21">
        <f t="shared" si="3"/>
        <v>0</v>
      </c>
      <c r="H58" s="801"/>
      <c r="I58" s="21">
        <f t="shared" si="21"/>
        <v>0</v>
      </c>
      <c r="J58" s="21">
        <f t="shared" si="4"/>
        <v>0</v>
      </c>
      <c r="K58" s="225"/>
      <c r="L58" s="21">
        <f t="shared" si="22"/>
        <v>0</v>
      </c>
      <c r="M58" s="21">
        <f t="shared" si="5"/>
        <v>0</v>
      </c>
      <c r="N58" s="225"/>
      <c r="O58" s="21">
        <f t="shared" si="23"/>
        <v>0</v>
      </c>
      <c r="P58" s="21">
        <f t="shared" si="6"/>
        <v>0</v>
      </c>
      <c r="Q58" s="225"/>
      <c r="R58" s="1015"/>
      <c r="S58" s="21"/>
      <c r="T58" s="298"/>
      <c r="U58" s="22"/>
    </row>
    <row r="59" spans="1:21" ht="31.5" customHeight="1" x14ac:dyDescent="0.25">
      <c r="C59" s="218"/>
      <c r="D59" s="152" t="s">
        <v>1146</v>
      </c>
      <c r="E59" s="766">
        <v>0</v>
      </c>
      <c r="F59" s="766"/>
      <c r="G59" s="21">
        <f t="shared" si="3"/>
        <v>0</v>
      </c>
      <c r="H59" s="814"/>
      <c r="I59" s="219"/>
      <c r="J59" s="219">
        <f t="shared" si="4"/>
        <v>0</v>
      </c>
      <c r="K59" s="240"/>
      <c r="L59" s="219"/>
      <c r="M59" s="219">
        <f t="shared" si="5"/>
        <v>0</v>
      </c>
      <c r="N59" s="240"/>
      <c r="O59" s="219"/>
      <c r="P59" s="219">
        <f t="shared" si="6"/>
        <v>0</v>
      </c>
      <c r="Q59" s="240"/>
      <c r="R59" s="1015"/>
      <c r="S59" s="219"/>
      <c r="T59" s="306"/>
      <c r="U59" s="609"/>
    </row>
    <row r="60" spans="1:21" ht="28.2" customHeight="1" x14ac:dyDescent="0.25">
      <c r="B60" s="74" t="s">
        <v>493</v>
      </c>
      <c r="C60" s="88" t="s">
        <v>475</v>
      </c>
      <c r="D60" s="635" t="s">
        <v>281</v>
      </c>
      <c r="E60" s="767">
        <v>342263</v>
      </c>
      <c r="F60" s="767">
        <f>ROUND(E60,0)+59292+1248</f>
        <v>402803</v>
      </c>
      <c r="G60" s="21">
        <f t="shared" si="3"/>
        <v>60540</v>
      </c>
      <c r="H60" s="867" t="s">
        <v>1197</v>
      </c>
      <c r="I60" s="55">
        <f>ROUND(F60,0)+3966</f>
        <v>406769</v>
      </c>
      <c r="J60" s="21">
        <f t="shared" si="4"/>
        <v>3966</v>
      </c>
      <c r="K60" s="225" t="s">
        <v>1238</v>
      </c>
      <c r="L60" s="55">
        <f>ROUND(I60,0)</f>
        <v>406769</v>
      </c>
      <c r="M60" s="21">
        <f t="shared" si="5"/>
        <v>0</v>
      </c>
      <c r="N60" s="225"/>
      <c r="O60" s="55">
        <f t="shared" ref="O60:O65" si="24">ROUND(L60,0)</f>
        <v>406769</v>
      </c>
      <c r="P60" s="21">
        <f t="shared" si="6"/>
        <v>0</v>
      </c>
      <c r="Q60" s="225"/>
      <c r="R60" s="1015"/>
      <c r="S60" s="55">
        <v>205990</v>
      </c>
      <c r="T60" s="307">
        <f>S60/O60</f>
        <v>0.5064053553736888</v>
      </c>
      <c r="U60" s="55" t="s">
        <v>649</v>
      </c>
    </row>
    <row r="61" spans="1:21" ht="58.95" customHeight="1" x14ac:dyDescent="0.25">
      <c r="C61" s="88"/>
      <c r="D61" s="676" t="s">
        <v>1137</v>
      </c>
      <c r="E61" s="768">
        <v>0</v>
      </c>
      <c r="F61" s="768">
        <f t="shared" si="20"/>
        <v>0</v>
      </c>
      <c r="G61" s="109">
        <f t="shared" si="3"/>
        <v>0</v>
      </c>
      <c r="H61" s="364"/>
      <c r="I61" s="109">
        <f t="shared" ref="I61:I65" si="25">ROUND(F61,0)</f>
        <v>0</v>
      </c>
      <c r="J61" s="109">
        <f t="shared" si="4"/>
        <v>0</v>
      </c>
      <c r="K61" s="234"/>
      <c r="L61" s="109">
        <f>ROUND(I61,0)</f>
        <v>0</v>
      </c>
      <c r="M61" s="109">
        <f t="shared" si="5"/>
        <v>0</v>
      </c>
      <c r="N61" s="234"/>
      <c r="O61" s="109">
        <f t="shared" si="24"/>
        <v>0</v>
      </c>
      <c r="P61" s="109">
        <f t="shared" si="6"/>
        <v>0</v>
      </c>
      <c r="Q61" s="234"/>
      <c r="R61" s="1020"/>
      <c r="S61" s="109"/>
      <c r="T61" s="308"/>
      <c r="U61" s="914"/>
    </row>
    <row r="62" spans="1:21" ht="15.6" customHeight="1" x14ac:dyDescent="0.25">
      <c r="C62" s="88" t="s">
        <v>644</v>
      </c>
      <c r="D62" s="637" t="s">
        <v>512</v>
      </c>
      <c r="E62" s="768">
        <v>50000</v>
      </c>
      <c r="F62" s="768">
        <f t="shared" si="20"/>
        <v>50000</v>
      </c>
      <c r="G62" s="109">
        <f t="shared" si="3"/>
        <v>0</v>
      </c>
      <c r="H62" s="364"/>
      <c r="I62" s="109">
        <f t="shared" si="25"/>
        <v>50000</v>
      </c>
      <c r="J62" s="109">
        <f t="shared" si="4"/>
        <v>0</v>
      </c>
      <c r="K62" s="234"/>
      <c r="L62" s="109">
        <f>ROUND(I62,0)</f>
        <v>50000</v>
      </c>
      <c r="M62" s="109">
        <f t="shared" si="5"/>
        <v>0</v>
      </c>
      <c r="N62" s="234"/>
      <c r="O62" s="109">
        <f t="shared" si="24"/>
        <v>50000</v>
      </c>
      <c r="P62" s="109">
        <f t="shared" si="6"/>
        <v>0</v>
      </c>
      <c r="Q62" s="234"/>
      <c r="R62" s="1020"/>
      <c r="S62" s="109">
        <v>38505.79</v>
      </c>
      <c r="T62" s="308">
        <f>S62/O62</f>
        <v>0.77011580000000002</v>
      </c>
      <c r="U62" s="925" t="s">
        <v>721</v>
      </c>
    </row>
    <row r="63" spans="1:21" ht="17.399999999999999" customHeight="1" x14ac:dyDescent="0.25">
      <c r="B63" s="12" t="s">
        <v>96</v>
      </c>
      <c r="C63" s="118" t="s">
        <v>645</v>
      </c>
      <c r="D63" s="152" t="s">
        <v>573</v>
      </c>
      <c r="E63" s="768">
        <v>200000</v>
      </c>
      <c r="F63" s="768">
        <f t="shared" si="20"/>
        <v>200000</v>
      </c>
      <c r="G63" s="109">
        <f t="shared" si="3"/>
        <v>0</v>
      </c>
      <c r="H63" s="364"/>
      <c r="I63" s="109">
        <f t="shared" si="25"/>
        <v>200000</v>
      </c>
      <c r="J63" s="109">
        <f t="shared" si="4"/>
        <v>0</v>
      </c>
      <c r="K63" s="234"/>
      <c r="L63" s="109">
        <f>ROUND(I63,0)</f>
        <v>200000</v>
      </c>
      <c r="M63" s="109">
        <f t="shared" si="5"/>
        <v>0</v>
      </c>
      <c r="N63" s="234"/>
      <c r="O63" s="109">
        <f t="shared" si="24"/>
        <v>200000</v>
      </c>
      <c r="P63" s="109">
        <f t="shared" si="6"/>
        <v>0</v>
      </c>
      <c r="Q63" s="234"/>
      <c r="R63" s="1020"/>
      <c r="S63" s="109"/>
      <c r="T63" s="308">
        <f>S63/O63</f>
        <v>0</v>
      </c>
      <c r="U63" s="925" t="s">
        <v>722</v>
      </c>
    </row>
    <row r="64" spans="1:21" ht="14.4" x14ac:dyDescent="0.3">
      <c r="A64" s="12" t="s">
        <v>87</v>
      </c>
      <c r="B64" s="62" t="s">
        <v>273</v>
      </c>
      <c r="C64" s="88" t="s">
        <v>646</v>
      </c>
      <c r="D64" s="649" t="s">
        <v>588</v>
      </c>
      <c r="E64" s="762">
        <v>0</v>
      </c>
      <c r="F64" s="762">
        <f t="shared" si="20"/>
        <v>0</v>
      </c>
      <c r="G64" s="21">
        <f>F64-E64</f>
        <v>0</v>
      </c>
      <c r="H64" s="816"/>
      <c r="I64" s="21">
        <f t="shared" si="25"/>
        <v>0</v>
      </c>
      <c r="J64" s="21">
        <f>I64-F64</f>
        <v>0</v>
      </c>
      <c r="K64" s="243"/>
      <c r="L64" s="21">
        <f>ROUND(I64,0)</f>
        <v>0</v>
      </c>
      <c r="M64" s="21">
        <f>L64-I64</f>
        <v>0</v>
      </c>
      <c r="N64" s="243"/>
      <c r="O64" s="21">
        <f t="shared" si="24"/>
        <v>0</v>
      </c>
      <c r="P64" s="21">
        <f>O64-L64</f>
        <v>0</v>
      </c>
      <c r="Q64" s="243"/>
      <c r="R64" s="1029"/>
      <c r="S64" s="21"/>
      <c r="T64" s="298"/>
      <c r="U64" s="22"/>
    </row>
    <row r="65" spans="1:21" ht="79.2" customHeight="1" x14ac:dyDescent="0.25">
      <c r="A65" s="74" t="s">
        <v>221</v>
      </c>
      <c r="B65" s="12" t="s">
        <v>282</v>
      </c>
      <c r="C65" s="88" t="s">
        <v>1154</v>
      </c>
      <c r="D65" s="85" t="s">
        <v>105</v>
      </c>
      <c r="E65" s="762">
        <v>143640</v>
      </c>
      <c r="F65" s="762">
        <f>ROUND(E65,0)+8232</f>
        <v>151872</v>
      </c>
      <c r="G65" s="21">
        <f t="shared" si="3"/>
        <v>8232</v>
      </c>
      <c r="H65" s="870" t="s">
        <v>1207</v>
      </c>
      <c r="I65" s="21">
        <f t="shared" si="25"/>
        <v>151872</v>
      </c>
      <c r="J65" s="21">
        <f t="shared" si="4"/>
        <v>0</v>
      </c>
      <c r="K65" s="241"/>
      <c r="L65" s="21">
        <f>ROUND(I65,0)+50781</f>
        <v>202653</v>
      </c>
      <c r="M65" s="21">
        <f t="shared" si="5"/>
        <v>50781</v>
      </c>
      <c r="N65" s="241" t="s">
        <v>1297</v>
      </c>
      <c r="O65" s="21">
        <f t="shared" si="24"/>
        <v>202653</v>
      </c>
      <c r="P65" s="21">
        <f t="shared" si="6"/>
        <v>0</v>
      </c>
      <c r="Q65" s="241"/>
      <c r="R65" s="1020"/>
      <c r="S65" s="21">
        <f>18000+8147+51965+46774</f>
        <v>124886</v>
      </c>
      <c r="T65" s="298">
        <f>S65/O65</f>
        <v>0.61625537248399975</v>
      </c>
      <c r="U65" s="924" t="s">
        <v>1370</v>
      </c>
    </row>
    <row r="66" spans="1:21" ht="32.25" customHeight="1" x14ac:dyDescent="0.25">
      <c r="C66" s="91" t="s">
        <v>92</v>
      </c>
      <c r="D66" s="620" t="s">
        <v>254</v>
      </c>
      <c r="E66" s="48">
        <v>1159816</v>
      </c>
      <c r="F66" s="48">
        <f t="shared" ref="F66" si="26">SUM(F67:F86)</f>
        <v>1271081</v>
      </c>
      <c r="G66" s="28">
        <f t="shared" si="3"/>
        <v>111265</v>
      </c>
      <c r="H66" s="818"/>
      <c r="I66" s="28">
        <f>SUM(I67:I86)</f>
        <v>1246934</v>
      </c>
      <c r="J66" s="28">
        <f t="shared" si="4"/>
        <v>-24147</v>
      </c>
      <c r="K66" s="242"/>
      <c r="L66" s="28">
        <f>SUM(L67:L86)</f>
        <v>1246934</v>
      </c>
      <c r="M66" s="28">
        <f t="shared" si="5"/>
        <v>0</v>
      </c>
      <c r="N66" s="242"/>
      <c r="O66" s="28">
        <f>SUM(O67:O86)</f>
        <v>1246934</v>
      </c>
      <c r="P66" s="28">
        <f t="shared" si="6"/>
        <v>0</v>
      </c>
      <c r="Q66" s="242"/>
      <c r="R66" s="974"/>
      <c r="S66" s="28">
        <f>SUM(S67:S86)</f>
        <v>749040.63000000012</v>
      </c>
      <c r="T66" s="309">
        <f>S66/O66</f>
        <v>0.60070591546946361</v>
      </c>
      <c r="U66" s="28" t="s">
        <v>648</v>
      </c>
    </row>
    <row r="67" spans="1:21" x14ac:dyDescent="0.25">
      <c r="A67" s="12" t="s">
        <v>490</v>
      </c>
      <c r="B67" s="12" t="s">
        <v>106</v>
      </c>
      <c r="C67" s="88" t="s">
        <v>476</v>
      </c>
      <c r="D67" s="649" t="s">
        <v>587</v>
      </c>
      <c r="E67" s="762">
        <v>0</v>
      </c>
      <c r="F67" s="762">
        <f>ROUND(E67,0)+(109839-16873)</f>
        <v>92966</v>
      </c>
      <c r="G67" s="21">
        <f t="shared" si="3"/>
        <v>92966</v>
      </c>
      <c r="H67" s="228" t="s">
        <v>673</v>
      </c>
      <c r="I67" s="21">
        <f t="shared" ref="I67:I81" si="27">ROUND(F67,0)</f>
        <v>92966</v>
      </c>
      <c r="J67" s="21">
        <f t="shared" si="4"/>
        <v>0</v>
      </c>
      <c r="K67" s="228"/>
      <c r="L67" s="21">
        <f t="shared" ref="L67:L81" si="28">ROUND(I67,0)</f>
        <v>92966</v>
      </c>
      <c r="M67" s="21">
        <f t="shared" si="5"/>
        <v>0</v>
      </c>
      <c r="N67" s="228"/>
      <c r="O67" s="21">
        <f t="shared" ref="O67:O81" si="29">ROUND(L67,0)</f>
        <v>92966</v>
      </c>
      <c r="P67" s="21">
        <f t="shared" si="6"/>
        <v>0</v>
      </c>
      <c r="Q67" s="228"/>
      <c r="R67" s="250"/>
      <c r="S67" s="21">
        <v>109838.99</v>
      </c>
      <c r="T67" s="298">
        <f>S67/O67</f>
        <v>1.1814963535055827</v>
      </c>
      <c r="U67" s="21" t="s">
        <v>648</v>
      </c>
    </row>
    <row r="68" spans="1:21" ht="27.6" x14ac:dyDescent="0.25">
      <c r="C68" s="88" t="s">
        <v>477</v>
      </c>
      <c r="D68" s="649" t="s">
        <v>902</v>
      </c>
      <c r="E68" s="762">
        <v>63988</v>
      </c>
      <c r="F68" s="762">
        <f t="shared" ref="F68:F87" si="30">ROUND(E68,0)</f>
        <v>63988</v>
      </c>
      <c r="G68" s="21">
        <f t="shared" si="3"/>
        <v>0</v>
      </c>
      <c r="H68" s="808"/>
      <c r="I68" s="21">
        <f t="shared" si="27"/>
        <v>63988</v>
      </c>
      <c r="J68" s="21">
        <f t="shared" si="4"/>
        <v>0</v>
      </c>
      <c r="K68" s="232"/>
      <c r="L68" s="21">
        <f t="shared" si="28"/>
        <v>63988</v>
      </c>
      <c r="M68" s="21">
        <f t="shared" si="5"/>
        <v>0</v>
      </c>
      <c r="N68" s="232"/>
      <c r="O68" s="21">
        <f t="shared" si="29"/>
        <v>63988</v>
      </c>
      <c r="P68" s="21">
        <f t="shared" si="6"/>
        <v>0</v>
      </c>
      <c r="Q68" s="232"/>
      <c r="R68" s="1020"/>
      <c r="S68" s="21">
        <v>0</v>
      </c>
      <c r="T68" s="298">
        <f>S68/O68</f>
        <v>0</v>
      </c>
      <c r="U68" s="924" t="s">
        <v>1373</v>
      </c>
    </row>
    <row r="69" spans="1:21" ht="27.6" x14ac:dyDescent="0.25">
      <c r="B69" s="27" t="s">
        <v>265</v>
      </c>
      <c r="C69" s="88" t="s">
        <v>478</v>
      </c>
      <c r="D69" s="653" t="s">
        <v>1072</v>
      </c>
      <c r="E69" s="762">
        <v>2532</v>
      </c>
      <c r="F69" s="762">
        <f t="shared" si="30"/>
        <v>2532</v>
      </c>
      <c r="G69" s="21">
        <f t="shared" si="3"/>
        <v>0</v>
      </c>
      <c r="H69" s="819"/>
      <c r="I69" s="21">
        <f t="shared" si="27"/>
        <v>2532</v>
      </c>
      <c r="J69" s="21">
        <f t="shared" si="4"/>
        <v>0</v>
      </c>
      <c r="K69" s="244"/>
      <c r="L69" s="21">
        <f t="shared" si="28"/>
        <v>2532</v>
      </c>
      <c r="M69" s="21">
        <f t="shared" si="5"/>
        <v>0</v>
      </c>
      <c r="N69" s="244"/>
      <c r="O69" s="21">
        <f t="shared" si="29"/>
        <v>2532</v>
      </c>
      <c r="P69" s="21">
        <f t="shared" si="6"/>
        <v>0</v>
      </c>
      <c r="Q69" s="244"/>
      <c r="R69" s="250"/>
      <c r="S69" s="21">
        <v>2532.0300000000002</v>
      </c>
      <c r="T69" s="298">
        <f>S69/O69</f>
        <v>1.0000118483412324</v>
      </c>
      <c r="U69" s="22"/>
    </row>
    <row r="70" spans="1:21" x14ac:dyDescent="0.25">
      <c r="B70" s="27"/>
      <c r="C70" s="88" t="s">
        <v>479</v>
      </c>
      <c r="D70" s="654" t="s">
        <v>1114</v>
      </c>
      <c r="E70" s="766">
        <v>5135</v>
      </c>
      <c r="F70" s="762">
        <f t="shared" si="30"/>
        <v>5135</v>
      </c>
      <c r="G70" s="21">
        <f t="shared" si="3"/>
        <v>0</v>
      </c>
      <c r="H70" s="820"/>
      <c r="I70" s="21">
        <f t="shared" ref="I70:I75" si="31">ROUND(F70,0)</f>
        <v>5135</v>
      </c>
      <c r="J70" s="21">
        <f t="shared" ref="J70:J75" si="32">I70-F70</f>
        <v>0</v>
      </c>
      <c r="K70" s="655"/>
      <c r="L70" s="21">
        <f t="shared" ref="L70:L75" si="33">ROUND(I70,0)</f>
        <v>5135</v>
      </c>
      <c r="M70" s="21">
        <f t="shared" ref="M70:M75" si="34">L70-I70</f>
        <v>0</v>
      </c>
      <c r="N70" s="655"/>
      <c r="O70" s="21">
        <f t="shared" ref="O70:O75" si="35">ROUND(L70,0)</f>
        <v>5135</v>
      </c>
      <c r="P70" s="21">
        <f t="shared" ref="P70:P75" si="36">O70-L70</f>
        <v>0</v>
      </c>
      <c r="Q70" s="655"/>
      <c r="R70" s="250"/>
      <c r="S70" s="219"/>
      <c r="T70" s="306"/>
      <c r="U70" s="609"/>
    </row>
    <row r="71" spans="1:21" x14ac:dyDescent="0.25">
      <c r="B71" s="27"/>
      <c r="C71" s="88" t="s">
        <v>480</v>
      </c>
      <c r="D71" s="654" t="s">
        <v>572</v>
      </c>
      <c r="E71" s="766">
        <v>9000</v>
      </c>
      <c r="F71" s="762">
        <f t="shared" si="30"/>
        <v>9000</v>
      </c>
      <c r="G71" s="21">
        <f t="shared" si="3"/>
        <v>0</v>
      </c>
      <c r="H71" s="820"/>
      <c r="I71" s="21">
        <f t="shared" si="31"/>
        <v>9000</v>
      </c>
      <c r="J71" s="21">
        <f t="shared" si="32"/>
        <v>0</v>
      </c>
      <c r="K71" s="655"/>
      <c r="L71" s="21">
        <f t="shared" si="33"/>
        <v>9000</v>
      </c>
      <c r="M71" s="21">
        <f t="shared" si="34"/>
        <v>0</v>
      </c>
      <c r="N71" s="655"/>
      <c r="O71" s="21">
        <f t="shared" si="35"/>
        <v>9000</v>
      </c>
      <c r="P71" s="21">
        <f t="shared" si="36"/>
        <v>0</v>
      </c>
      <c r="Q71" s="655"/>
      <c r="R71" s="250"/>
      <c r="S71" s="219"/>
      <c r="T71" s="306"/>
      <c r="U71" s="609"/>
    </row>
    <row r="72" spans="1:21" ht="55.2" x14ac:dyDescent="0.25">
      <c r="B72" s="27"/>
      <c r="C72" s="88" t="s">
        <v>481</v>
      </c>
      <c r="D72" s="654" t="s">
        <v>1140</v>
      </c>
      <c r="E72" s="766">
        <v>6010</v>
      </c>
      <c r="F72" s="762">
        <f t="shared" si="30"/>
        <v>6010</v>
      </c>
      <c r="G72" s="21">
        <f>F72-E72</f>
        <v>0</v>
      </c>
      <c r="H72" s="820"/>
      <c r="I72" s="21">
        <f t="shared" si="31"/>
        <v>6010</v>
      </c>
      <c r="J72" s="21">
        <f t="shared" si="32"/>
        <v>0</v>
      </c>
      <c r="K72" s="655"/>
      <c r="L72" s="21">
        <f t="shared" si="33"/>
        <v>6010</v>
      </c>
      <c r="M72" s="21">
        <f t="shared" si="34"/>
        <v>0</v>
      </c>
      <c r="N72" s="655"/>
      <c r="O72" s="21">
        <f t="shared" si="35"/>
        <v>6010</v>
      </c>
      <c r="P72" s="21">
        <f t="shared" si="36"/>
        <v>0</v>
      </c>
      <c r="Q72" s="655"/>
      <c r="R72" s="250"/>
      <c r="S72" s="219"/>
      <c r="T72" s="306"/>
      <c r="U72" s="609"/>
    </row>
    <row r="73" spans="1:21" ht="41.4" x14ac:dyDescent="0.25">
      <c r="B73" s="27"/>
      <c r="C73" s="88" t="s">
        <v>1171</v>
      </c>
      <c r="D73" s="654" t="s">
        <v>1139</v>
      </c>
      <c r="E73" s="766">
        <v>30655</v>
      </c>
      <c r="F73" s="762">
        <f>ROUND(E73,0)</f>
        <v>30655</v>
      </c>
      <c r="G73" s="21">
        <f>F73-E73</f>
        <v>0</v>
      </c>
      <c r="H73" s="820"/>
      <c r="I73" s="21">
        <f t="shared" si="31"/>
        <v>30655</v>
      </c>
      <c r="J73" s="21">
        <f t="shared" si="32"/>
        <v>0</v>
      </c>
      <c r="K73" s="655"/>
      <c r="L73" s="21">
        <f t="shared" si="33"/>
        <v>30655</v>
      </c>
      <c r="M73" s="21">
        <f t="shared" si="34"/>
        <v>0</v>
      </c>
      <c r="N73" s="655"/>
      <c r="O73" s="21">
        <f t="shared" si="35"/>
        <v>30655</v>
      </c>
      <c r="P73" s="21">
        <f t="shared" si="36"/>
        <v>0</v>
      </c>
      <c r="Q73" s="655"/>
      <c r="R73" s="250"/>
      <c r="S73" s="219"/>
      <c r="T73" s="306"/>
      <c r="U73" s="609"/>
    </row>
    <row r="74" spans="1:21" x14ac:dyDescent="0.25">
      <c r="A74" s="74" t="s">
        <v>904</v>
      </c>
      <c r="B74" s="27"/>
      <c r="C74" s="88" t="s">
        <v>482</v>
      </c>
      <c r="D74" s="654" t="s">
        <v>905</v>
      </c>
      <c r="E74" s="766">
        <v>0</v>
      </c>
      <c r="F74" s="762">
        <f>ROUND(E74,0)</f>
        <v>0</v>
      </c>
      <c r="G74" s="21">
        <f>F74-E74</f>
        <v>0</v>
      </c>
      <c r="H74" s="820"/>
      <c r="I74" s="21">
        <f t="shared" si="31"/>
        <v>0</v>
      </c>
      <c r="J74" s="21">
        <f t="shared" si="32"/>
        <v>0</v>
      </c>
      <c r="K74" s="655"/>
      <c r="L74" s="21">
        <f t="shared" si="33"/>
        <v>0</v>
      </c>
      <c r="M74" s="21">
        <f t="shared" si="34"/>
        <v>0</v>
      </c>
      <c r="N74" s="655"/>
      <c r="O74" s="21">
        <f t="shared" si="35"/>
        <v>0</v>
      </c>
      <c r="P74" s="21">
        <f t="shared" si="36"/>
        <v>0</v>
      </c>
      <c r="Q74" s="655"/>
      <c r="R74" s="250"/>
      <c r="S74" s="219"/>
      <c r="T74" s="306"/>
      <c r="U74" s="609"/>
    </row>
    <row r="75" spans="1:21" ht="55.2" x14ac:dyDescent="0.25">
      <c r="A75" s="74" t="s">
        <v>221</v>
      </c>
      <c r="B75" s="27"/>
      <c r="C75" s="88" t="s">
        <v>591</v>
      </c>
      <c r="D75" s="654" t="s">
        <v>1204</v>
      </c>
      <c r="E75" s="766">
        <v>0</v>
      </c>
      <c r="F75" s="762">
        <f>ROUND(E75,0)+18299</f>
        <v>18299</v>
      </c>
      <c r="G75" s="21">
        <f>F75-E75</f>
        <v>18299</v>
      </c>
      <c r="H75" s="869" t="s">
        <v>1206</v>
      </c>
      <c r="I75" s="21">
        <f t="shared" si="31"/>
        <v>18299</v>
      </c>
      <c r="J75" s="21">
        <f t="shared" si="32"/>
        <v>0</v>
      </c>
      <c r="K75" s="655"/>
      <c r="L75" s="21">
        <f t="shared" si="33"/>
        <v>18299</v>
      </c>
      <c r="M75" s="21">
        <f t="shared" si="34"/>
        <v>0</v>
      </c>
      <c r="N75" s="655"/>
      <c r="O75" s="21">
        <f t="shared" si="35"/>
        <v>18299</v>
      </c>
      <c r="P75" s="21">
        <f t="shared" si="36"/>
        <v>0</v>
      </c>
      <c r="Q75" s="655"/>
      <c r="R75" s="250"/>
      <c r="S75" s="219"/>
      <c r="T75" s="306"/>
      <c r="U75" s="609"/>
    </row>
    <row r="76" spans="1:21" ht="41.4" x14ac:dyDescent="0.25">
      <c r="B76" s="12" t="s">
        <v>266</v>
      </c>
      <c r="C76" s="88" t="s">
        <v>483</v>
      </c>
      <c r="D76" s="649" t="s">
        <v>247</v>
      </c>
      <c r="E76" s="762">
        <v>0</v>
      </c>
      <c r="F76" s="762">
        <f t="shared" si="30"/>
        <v>0</v>
      </c>
      <c r="G76" s="21">
        <f t="shared" ref="G76:G124" si="37">F76-E76</f>
        <v>0</v>
      </c>
      <c r="H76" s="821"/>
      <c r="I76" s="21">
        <f t="shared" si="27"/>
        <v>0</v>
      </c>
      <c r="J76" s="21">
        <f t="shared" si="4"/>
        <v>0</v>
      </c>
      <c r="K76" s="245"/>
      <c r="L76" s="21">
        <f t="shared" si="28"/>
        <v>0</v>
      </c>
      <c r="M76" s="21">
        <f t="shared" si="5"/>
        <v>0</v>
      </c>
      <c r="N76" s="245"/>
      <c r="O76" s="21">
        <f t="shared" si="29"/>
        <v>0</v>
      </c>
      <c r="P76" s="21">
        <f t="shared" si="6"/>
        <v>0</v>
      </c>
      <c r="Q76" s="245"/>
      <c r="R76" s="1018"/>
      <c r="S76" s="21">
        <v>30518</v>
      </c>
      <c r="T76" s="298"/>
      <c r="U76" s="924" t="s">
        <v>1266</v>
      </c>
    </row>
    <row r="77" spans="1:21" ht="28.2" x14ac:dyDescent="0.3">
      <c r="B77" s="70" t="s">
        <v>267</v>
      </c>
      <c r="C77" s="88" t="s">
        <v>484</v>
      </c>
      <c r="D77" s="649" t="s">
        <v>256</v>
      </c>
      <c r="E77" s="762">
        <v>0</v>
      </c>
      <c r="F77" s="762">
        <f t="shared" si="30"/>
        <v>0</v>
      </c>
      <c r="G77" s="21">
        <f t="shared" si="37"/>
        <v>0</v>
      </c>
      <c r="H77" s="822"/>
      <c r="I77" s="21">
        <f t="shared" si="27"/>
        <v>0</v>
      </c>
      <c r="J77" s="21">
        <f t="shared" ref="J77:J124" si="38">I77-F77</f>
        <v>0</v>
      </c>
      <c r="K77" s="246"/>
      <c r="L77" s="21">
        <f t="shared" si="28"/>
        <v>0</v>
      </c>
      <c r="M77" s="21">
        <f t="shared" ref="M77:M124" si="39">L77-I77</f>
        <v>0</v>
      </c>
      <c r="N77" s="246"/>
      <c r="O77" s="21">
        <f t="shared" si="29"/>
        <v>0</v>
      </c>
      <c r="P77" s="21">
        <f t="shared" ref="P77:P124" si="40">O77-L77</f>
        <v>0</v>
      </c>
      <c r="Q77" s="246"/>
      <c r="R77" s="250"/>
      <c r="S77" s="21">
        <v>0</v>
      </c>
      <c r="T77" s="298"/>
      <c r="U77" s="911"/>
    </row>
    <row r="78" spans="1:21" ht="28.2" x14ac:dyDescent="0.3">
      <c r="B78" s="70"/>
      <c r="C78" s="88" t="s">
        <v>592</v>
      </c>
      <c r="D78" s="649" t="s">
        <v>589</v>
      </c>
      <c r="E78" s="762">
        <v>0</v>
      </c>
      <c r="F78" s="762">
        <f t="shared" si="30"/>
        <v>0</v>
      </c>
      <c r="G78" s="21">
        <f t="shared" si="37"/>
        <v>0</v>
      </c>
      <c r="H78" s="823"/>
      <c r="I78" s="21">
        <f t="shared" si="27"/>
        <v>0</v>
      </c>
      <c r="J78" s="21">
        <f t="shared" si="38"/>
        <v>0</v>
      </c>
      <c r="K78" s="247"/>
      <c r="L78" s="21">
        <f t="shared" si="28"/>
        <v>0</v>
      </c>
      <c r="M78" s="21">
        <f t="shared" si="39"/>
        <v>0</v>
      </c>
      <c r="N78" s="247"/>
      <c r="O78" s="21">
        <f t="shared" si="29"/>
        <v>0</v>
      </c>
      <c r="P78" s="21">
        <f t="shared" si="40"/>
        <v>0</v>
      </c>
      <c r="Q78" s="247"/>
      <c r="R78" s="250"/>
      <c r="S78" s="21">
        <v>62014</v>
      </c>
      <c r="T78" s="298"/>
      <c r="U78" s="911"/>
    </row>
    <row r="79" spans="1:21" ht="14.4" x14ac:dyDescent="0.3">
      <c r="B79" s="70"/>
      <c r="C79" s="88" t="s">
        <v>504</v>
      </c>
      <c r="D79" s="649" t="s">
        <v>590</v>
      </c>
      <c r="E79" s="762">
        <v>0</v>
      </c>
      <c r="F79" s="762">
        <f t="shared" si="30"/>
        <v>0</v>
      </c>
      <c r="G79" s="55">
        <f t="shared" si="37"/>
        <v>0</v>
      </c>
      <c r="H79" s="824"/>
      <c r="I79" s="21">
        <f t="shared" si="27"/>
        <v>0</v>
      </c>
      <c r="J79" s="55">
        <f t="shared" si="38"/>
        <v>0</v>
      </c>
      <c r="K79" s="248"/>
      <c r="L79" s="21">
        <f t="shared" si="28"/>
        <v>0</v>
      </c>
      <c r="M79" s="55">
        <f t="shared" si="39"/>
        <v>0</v>
      </c>
      <c r="N79" s="248"/>
      <c r="O79" s="21">
        <f t="shared" si="29"/>
        <v>0</v>
      </c>
      <c r="P79" s="55">
        <f t="shared" si="40"/>
        <v>0</v>
      </c>
      <c r="Q79" s="248"/>
      <c r="R79" s="250"/>
      <c r="S79" s="21">
        <v>1685</v>
      </c>
      <c r="T79" s="298"/>
      <c r="U79" s="21" t="s">
        <v>1371</v>
      </c>
    </row>
    <row r="80" spans="1:21" ht="28.2" x14ac:dyDescent="0.3">
      <c r="B80" s="70"/>
      <c r="C80" s="88" t="s">
        <v>505</v>
      </c>
      <c r="D80" s="649" t="s">
        <v>319</v>
      </c>
      <c r="E80" s="769">
        <v>0</v>
      </c>
      <c r="F80" s="769">
        <f t="shared" si="30"/>
        <v>0</v>
      </c>
      <c r="G80" s="68">
        <f t="shared" si="37"/>
        <v>0</v>
      </c>
      <c r="H80" s="824"/>
      <c r="I80" s="68">
        <f t="shared" si="27"/>
        <v>0</v>
      </c>
      <c r="J80" s="68">
        <f t="shared" si="38"/>
        <v>0</v>
      </c>
      <c r="K80" s="248"/>
      <c r="L80" s="68">
        <f t="shared" si="28"/>
        <v>0</v>
      </c>
      <c r="M80" s="68">
        <f t="shared" si="39"/>
        <v>0</v>
      </c>
      <c r="N80" s="248"/>
      <c r="O80" s="68">
        <f t="shared" si="29"/>
        <v>0</v>
      </c>
      <c r="P80" s="68">
        <f t="shared" si="40"/>
        <v>0</v>
      </c>
      <c r="Q80" s="248"/>
      <c r="R80" s="250"/>
      <c r="S80" s="68">
        <f t="shared" ref="S80:S87" si="41">ROUND(H80,0)</f>
        <v>0</v>
      </c>
      <c r="T80" s="303"/>
      <c r="U80" s="608"/>
    </row>
    <row r="81" spans="1:21" ht="14.4" x14ac:dyDescent="0.3">
      <c r="B81" s="296" t="s">
        <v>677</v>
      </c>
      <c r="C81" s="88" t="s">
        <v>506</v>
      </c>
      <c r="D81" s="649" t="s">
        <v>320</v>
      </c>
      <c r="E81" s="769">
        <v>0</v>
      </c>
      <c r="F81" s="769">
        <f t="shared" si="30"/>
        <v>0</v>
      </c>
      <c r="G81" s="68">
        <f t="shared" si="37"/>
        <v>0</v>
      </c>
      <c r="H81" s="824"/>
      <c r="I81" s="68">
        <f t="shared" si="27"/>
        <v>0</v>
      </c>
      <c r="J81" s="68">
        <f t="shared" si="38"/>
        <v>0</v>
      </c>
      <c r="K81" s="248"/>
      <c r="L81" s="68">
        <f t="shared" si="28"/>
        <v>0</v>
      </c>
      <c r="M81" s="68">
        <f t="shared" si="39"/>
        <v>0</v>
      </c>
      <c r="N81" s="248"/>
      <c r="O81" s="68">
        <f t="shared" si="29"/>
        <v>0</v>
      </c>
      <c r="P81" s="68">
        <f t="shared" si="40"/>
        <v>0</v>
      </c>
      <c r="Q81" s="248"/>
      <c r="R81" s="250"/>
      <c r="S81" s="68">
        <f t="shared" si="41"/>
        <v>0</v>
      </c>
      <c r="T81" s="303"/>
      <c r="U81" s="608"/>
    </row>
    <row r="82" spans="1:21" ht="14.4" x14ac:dyDescent="0.3">
      <c r="B82" s="70"/>
      <c r="C82" s="88" t="s">
        <v>518</v>
      </c>
      <c r="D82" s="649" t="s">
        <v>338</v>
      </c>
      <c r="E82" s="769">
        <v>150645</v>
      </c>
      <c r="F82" s="769">
        <f t="shared" si="30"/>
        <v>150645</v>
      </c>
      <c r="G82" s="68">
        <f t="shared" si="37"/>
        <v>0</v>
      </c>
      <c r="H82" s="824"/>
      <c r="I82" s="68">
        <f t="shared" ref="I82:I87" si="42">ROUND(F82,0)</f>
        <v>150645</v>
      </c>
      <c r="J82" s="68">
        <f t="shared" si="38"/>
        <v>0</v>
      </c>
      <c r="K82" s="248"/>
      <c r="L82" s="68">
        <f t="shared" ref="L82:L87" si="43">ROUND(I82,0)</f>
        <v>150645</v>
      </c>
      <c r="M82" s="68">
        <f t="shared" si="39"/>
        <v>0</v>
      </c>
      <c r="N82" s="248"/>
      <c r="O82" s="68">
        <f t="shared" ref="O82:O87" si="44">ROUND(L82,0)</f>
        <v>150645</v>
      </c>
      <c r="P82" s="68">
        <f t="shared" si="40"/>
        <v>0</v>
      </c>
      <c r="Q82" s="248"/>
      <c r="R82" s="250"/>
      <c r="S82" s="68">
        <v>64072.4</v>
      </c>
      <c r="T82" s="303">
        <f>S82/O82</f>
        <v>0.4253204553752199</v>
      </c>
      <c r="U82" s="915"/>
    </row>
    <row r="83" spans="1:21" ht="41.4" customHeight="1" x14ac:dyDescent="0.3">
      <c r="B83" s="70"/>
      <c r="C83" s="88" t="s">
        <v>593</v>
      </c>
      <c r="D83" s="649" t="s">
        <v>540</v>
      </c>
      <c r="E83" s="769">
        <v>118650</v>
      </c>
      <c r="F83" s="769">
        <f t="shared" si="30"/>
        <v>118650</v>
      </c>
      <c r="G83" s="68">
        <f t="shared" si="37"/>
        <v>0</v>
      </c>
      <c r="H83" s="825"/>
      <c r="I83" s="68">
        <f t="shared" si="42"/>
        <v>118650</v>
      </c>
      <c r="J83" s="68">
        <f t="shared" si="38"/>
        <v>0</v>
      </c>
      <c r="K83" s="249"/>
      <c r="L83" s="68">
        <f t="shared" si="43"/>
        <v>118650</v>
      </c>
      <c r="M83" s="68">
        <f t="shared" si="39"/>
        <v>0</v>
      </c>
      <c r="N83" s="249"/>
      <c r="O83" s="68">
        <f t="shared" si="44"/>
        <v>118650</v>
      </c>
      <c r="P83" s="68">
        <f t="shared" si="40"/>
        <v>0</v>
      </c>
      <c r="Q83" s="249"/>
      <c r="R83" s="250"/>
      <c r="S83" s="68">
        <v>19384.2</v>
      </c>
      <c r="T83" s="310">
        <f>S83/O83</f>
        <v>0.16337294563843238</v>
      </c>
      <c r="U83" s="916"/>
    </row>
    <row r="84" spans="1:21" ht="14.4" x14ac:dyDescent="0.3">
      <c r="B84" s="70"/>
      <c r="C84" s="88" t="s">
        <v>594</v>
      </c>
      <c r="D84" s="649" t="s">
        <v>374</v>
      </c>
      <c r="E84" s="769">
        <v>390462</v>
      </c>
      <c r="F84" s="769">
        <f t="shared" si="30"/>
        <v>390462</v>
      </c>
      <c r="G84" s="68">
        <f t="shared" si="37"/>
        <v>0</v>
      </c>
      <c r="H84" s="825"/>
      <c r="I84" s="68">
        <f t="shared" si="42"/>
        <v>390462</v>
      </c>
      <c r="J84" s="68">
        <f t="shared" si="38"/>
        <v>0</v>
      </c>
      <c r="K84" s="249"/>
      <c r="L84" s="68">
        <f t="shared" si="43"/>
        <v>390462</v>
      </c>
      <c r="M84" s="68">
        <f t="shared" si="39"/>
        <v>0</v>
      </c>
      <c r="N84" s="249"/>
      <c r="O84" s="68">
        <f t="shared" si="44"/>
        <v>390462</v>
      </c>
      <c r="P84" s="68">
        <f t="shared" si="40"/>
        <v>0</v>
      </c>
      <c r="Q84" s="249"/>
      <c r="R84" s="250"/>
      <c r="S84" s="68">
        <v>344174.01</v>
      </c>
      <c r="T84" s="310">
        <f>S84/O84</f>
        <v>0.88145327842402077</v>
      </c>
      <c r="U84" s="916"/>
    </row>
    <row r="85" spans="1:21" ht="28.2" x14ac:dyDescent="0.3">
      <c r="B85" s="296" t="s">
        <v>677</v>
      </c>
      <c r="C85" s="88" t="s">
        <v>595</v>
      </c>
      <c r="D85" s="649" t="s">
        <v>602</v>
      </c>
      <c r="E85" s="769">
        <v>0</v>
      </c>
      <c r="F85" s="769">
        <f t="shared" si="30"/>
        <v>0</v>
      </c>
      <c r="G85" s="68">
        <f t="shared" si="37"/>
        <v>0</v>
      </c>
      <c r="H85" s="825"/>
      <c r="I85" s="68">
        <f t="shared" si="42"/>
        <v>0</v>
      </c>
      <c r="J85" s="68">
        <f t="shared" si="38"/>
        <v>0</v>
      </c>
      <c r="K85" s="249"/>
      <c r="L85" s="68">
        <f t="shared" si="43"/>
        <v>0</v>
      </c>
      <c r="M85" s="68">
        <f t="shared" si="39"/>
        <v>0</v>
      </c>
      <c r="N85" s="249"/>
      <c r="O85" s="68">
        <f t="shared" si="44"/>
        <v>0</v>
      </c>
      <c r="P85" s="68">
        <f t="shared" si="40"/>
        <v>0</v>
      </c>
      <c r="Q85" s="249"/>
      <c r="R85" s="250"/>
      <c r="S85" s="68">
        <v>0</v>
      </c>
      <c r="T85" s="310"/>
      <c r="U85" s="916"/>
    </row>
    <row r="86" spans="1:21" x14ac:dyDescent="0.25">
      <c r="B86" s="74" t="s">
        <v>772</v>
      </c>
      <c r="C86" s="88" t="s">
        <v>631</v>
      </c>
      <c r="D86" s="666" t="s">
        <v>635</v>
      </c>
      <c r="E86" s="768">
        <v>382739</v>
      </c>
      <c r="F86" s="769">
        <f t="shared" si="30"/>
        <v>382739</v>
      </c>
      <c r="G86" s="68">
        <f t="shared" si="37"/>
        <v>0</v>
      </c>
      <c r="H86" s="826"/>
      <c r="I86" s="68">
        <f>ROUND(F86,0)-24147</f>
        <v>358592</v>
      </c>
      <c r="J86" s="68">
        <f t="shared" si="38"/>
        <v>-24147</v>
      </c>
      <c r="K86" s="250" t="s">
        <v>1263</v>
      </c>
      <c r="L86" s="68">
        <f t="shared" si="43"/>
        <v>358592</v>
      </c>
      <c r="M86" s="68">
        <f t="shared" si="39"/>
        <v>0</v>
      </c>
      <c r="N86" s="250"/>
      <c r="O86" s="68">
        <f t="shared" si="44"/>
        <v>358592</v>
      </c>
      <c r="P86" s="68">
        <f t="shared" si="40"/>
        <v>0</v>
      </c>
      <c r="Q86" s="250"/>
      <c r="R86" s="250"/>
      <c r="S86" s="68">
        <v>114822</v>
      </c>
      <c r="T86" s="310">
        <f>S86/O86</f>
        <v>0.32020234695698735</v>
      </c>
      <c r="U86" s="916"/>
    </row>
    <row r="87" spans="1:21" hidden="1" outlineLevel="1" x14ac:dyDescent="0.25">
      <c r="B87" s="20" t="s">
        <v>485</v>
      </c>
      <c r="C87" s="84" t="s">
        <v>487</v>
      </c>
      <c r="D87" s="1010" t="s">
        <v>486</v>
      </c>
      <c r="E87" s="760">
        <v>0</v>
      </c>
      <c r="F87" s="769">
        <f t="shared" si="30"/>
        <v>0</v>
      </c>
      <c r="G87" s="21">
        <f t="shared" si="37"/>
        <v>0</v>
      </c>
      <c r="H87" s="800"/>
      <c r="I87" s="68">
        <f t="shared" si="42"/>
        <v>0</v>
      </c>
      <c r="J87" s="21">
        <f t="shared" si="38"/>
        <v>0</v>
      </c>
      <c r="K87" s="224"/>
      <c r="L87" s="68">
        <f t="shared" si="43"/>
        <v>0</v>
      </c>
      <c r="M87" s="21">
        <f t="shared" si="39"/>
        <v>0</v>
      </c>
      <c r="N87" s="224"/>
      <c r="O87" s="68">
        <f t="shared" si="44"/>
        <v>0</v>
      </c>
      <c r="P87" s="21">
        <f t="shared" si="40"/>
        <v>0</v>
      </c>
      <c r="Q87" s="224"/>
      <c r="R87" s="1015"/>
      <c r="S87" s="68">
        <f t="shared" si="41"/>
        <v>0</v>
      </c>
      <c r="T87" s="310"/>
      <c r="U87" s="371"/>
    </row>
    <row r="88" spans="1:21" collapsed="1" x14ac:dyDescent="0.25">
      <c r="C88" s="90" t="s">
        <v>107</v>
      </c>
      <c r="D88" s="87" t="s">
        <v>108</v>
      </c>
      <c r="E88" s="761">
        <v>295000</v>
      </c>
      <c r="F88" s="761">
        <f>F89+F90</f>
        <v>295000</v>
      </c>
      <c r="G88" s="23">
        <f t="shared" si="37"/>
        <v>0</v>
      </c>
      <c r="H88" s="802"/>
      <c r="I88" s="23">
        <f>I89+I90</f>
        <v>295000</v>
      </c>
      <c r="J88" s="23">
        <f t="shared" si="38"/>
        <v>0</v>
      </c>
      <c r="K88" s="226"/>
      <c r="L88" s="23">
        <f>L89+L90</f>
        <v>295000</v>
      </c>
      <c r="M88" s="23">
        <f t="shared" si="39"/>
        <v>0</v>
      </c>
      <c r="N88" s="226"/>
      <c r="O88" s="23">
        <f>O89+O90</f>
        <v>295000</v>
      </c>
      <c r="P88" s="23">
        <f t="shared" si="40"/>
        <v>0</v>
      </c>
      <c r="Q88" s="226"/>
      <c r="R88" s="1016"/>
      <c r="S88" s="23">
        <f>S89+S90</f>
        <v>128382.04</v>
      </c>
      <c r="T88" s="297">
        <f>S88/O88</f>
        <v>0.43519335593220337</v>
      </c>
      <c r="U88" s="368"/>
    </row>
    <row r="89" spans="1:21" ht="27.6" customHeight="1" x14ac:dyDescent="0.25">
      <c r="B89" s="12" t="s">
        <v>109</v>
      </c>
      <c r="C89" s="84" t="s">
        <v>110</v>
      </c>
      <c r="D89" s="85" t="s">
        <v>111</v>
      </c>
      <c r="E89" s="762">
        <v>295000</v>
      </c>
      <c r="F89" s="762">
        <f>ROUND(E89,0)</f>
        <v>295000</v>
      </c>
      <c r="G89" s="21">
        <f t="shared" si="37"/>
        <v>0</v>
      </c>
      <c r="H89" s="808"/>
      <c r="I89" s="21">
        <f>ROUND(F89,0)</f>
        <v>295000</v>
      </c>
      <c r="J89" s="21">
        <f t="shared" si="38"/>
        <v>0</v>
      </c>
      <c r="K89" s="232"/>
      <c r="L89" s="21">
        <f>ROUND(I89,0)</f>
        <v>295000</v>
      </c>
      <c r="M89" s="21">
        <f t="shared" si="39"/>
        <v>0</v>
      </c>
      <c r="N89" s="232"/>
      <c r="O89" s="21">
        <f>ROUND(L89,0)</f>
        <v>295000</v>
      </c>
      <c r="P89" s="21">
        <f t="shared" si="40"/>
        <v>0</v>
      </c>
      <c r="Q89" s="232"/>
      <c r="R89" s="1020"/>
      <c r="S89" s="21">
        <v>128382.04</v>
      </c>
      <c r="T89" s="298">
        <f>S89/O89</f>
        <v>0.43519335593220337</v>
      </c>
      <c r="U89" s="21" t="s">
        <v>1372</v>
      </c>
    </row>
    <row r="90" spans="1:21" ht="16.2" customHeight="1" x14ac:dyDescent="0.25">
      <c r="B90" s="12" t="s">
        <v>252</v>
      </c>
      <c r="C90" s="84" t="s">
        <v>112</v>
      </c>
      <c r="D90" s="85" t="s">
        <v>253</v>
      </c>
      <c r="E90" s="762">
        <v>0</v>
      </c>
      <c r="F90" s="762">
        <f>ROUND(E90,0)</f>
        <v>0</v>
      </c>
      <c r="G90" s="21">
        <f t="shared" si="37"/>
        <v>0</v>
      </c>
      <c r="H90" s="800"/>
      <c r="I90" s="21">
        <f>ROUND(F90,0)</f>
        <v>0</v>
      </c>
      <c r="J90" s="21">
        <f t="shared" si="38"/>
        <v>0</v>
      </c>
      <c r="K90" s="224"/>
      <c r="L90" s="21">
        <f>ROUND(I90,0)</f>
        <v>0</v>
      </c>
      <c r="M90" s="21">
        <f t="shared" si="39"/>
        <v>0</v>
      </c>
      <c r="N90" s="224"/>
      <c r="O90" s="21">
        <f>ROUND(L90,0)</f>
        <v>0</v>
      </c>
      <c r="P90" s="21">
        <f t="shared" si="40"/>
        <v>0</v>
      </c>
      <c r="Q90" s="224"/>
      <c r="R90" s="1015"/>
      <c r="S90" s="21">
        <v>0</v>
      </c>
      <c r="T90" s="298"/>
      <c r="U90" s="22"/>
    </row>
    <row r="91" spans="1:21" ht="35.4" customHeight="1" x14ac:dyDescent="0.25">
      <c r="C91" s="90" t="s">
        <v>113</v>
      </c>
      <c r="D91" s="87" t="s">
        <v>114</v>
      </c>
      <c r="E91" s="761">
        <v>2153758</v>
      </c>
      <c r="F91" s="761">
        <f t="shared" ref="F91" si="45">F92+F95+F98+F102+F106</f>
        <v>1974755</v>
      </c>
      <c r="G91" s="23">
        <f t="shared" si="37"/>
        <v>-179003</v>
      </c>
      <c r="H91" s="802"/>
      <c r="I91" s="23">
        <f>I92+I95+I98+I102+I106</f>
        <v>1974755</v>
      </c>
      <c r="J91" s="23">
        <f t="shared" si="38"/>
        <v>0</v>
      </c>
      <c r="K91" s="226"/>
      <c r="L91" s="23">
        <f>L92+L95+L98+L102+L106</f>
        <v>1974755</v>
      </c>
      <c r="M91" s="23">
        <f t="shared" si="39"/>
        <v>0</v>
      </c>
      <c r="N91" s="226"/>
      <c r="O91" s="23">
        <f>O92+O95+O98+O102+O106</f>
        <v>2675467</v>
      </c>
      <c r="P91" s="23">
        <f t="shared" si="40"/>
        <v>700712</v>
      </c>
      <c r="Q91" s="226"/>
      <c r="R91" s="1016"/>
      <c r="S91" s="23">
        <f>S92+S95+S98+S102+S106</f>
        <v>1426274.01</v>
      </c>
      <c r="T91" s="297">
        <f>S91/O91</f>
        <v>0.5330934786338235</v>
      </c>
      <c r="U91" s="917"/>
    </row>
    <row r="92" spans="1:21" x14ac:dyDescent="0.25">
      <c r="A92" s="12" t="s">
        <v>9</v>
      </c>
      <c r="B92" s="12" t="s">
        <v>115</v>
      </c>
      <c r="C92" s="84" t="s">
        <v>116</v>
      </c>
      <c r="D92" s="85" t="s">
        <v>612</v>
      </c>
      <c r="E92" s="762">
        <v>149000</v>
      </c>
      <c r="F92" s="762">
        <f>SUM(F93:F94)</f>
        <v>149000</v>
      </c>
      <c r="G92" s="21">
        <f t="shared" si="37"/>
        <v>0</v>
      </c>
      <c r="H92" s="800"/>
      <c r="I92" s="21">
        <f>SUM(I93:I94)</f>
        <v>149000</v>
      </c>
      <c r="J92" s="21">
        <f t="shared" si="38"/>
        <v>0</v>
      </c>
      <c r="K92" s="224"/>
      <c r="L92" s="21">
        <f>SUM(L93:L94)</f>
        <v>149000</v>
      </c>
      <c r="M92" s="21">
        <f t="shared" si="39"/>
        <v>0</v>
      </c>
      <c r="N92" s="224"/>
      <c r="O92" s="21">
        <f>SUM(O93:O94)</f>
        <v>149000</v>
      </c>
      <c r="P92" s="21">
        <f t="shared" si="40"/>
        <v>0</v>
      </c>
      <c r="Q92" s="224"/>
      <c r="R92" s="1015"/>
      <c r="S92" s="21">
        <v>148243.07</v>
      </c>
      <c r="T92" s="298">
        <f>S92/O92</f>
        <v>0.99491993288590608</v>
      </c>
      <c r="U92" s="22"/>
    </row>
    <row r="93" spans="1:21" ht="14.25" customHeight="1" x14ac:dyDescent="0.25">
      <c r="B93" s="12" t="s">
        <v>118</v>
      </c>
      <c r="C93" s="92" t="s">
        <v>117</v>
      </c>
      <c r="D93" s="93" t="s">
        <v>607</v>
      </c>
      <c r="E93" s="762">
        <v>24000</v>
      </c>
      <c r="F93" s="762">
        <f>ROUND(E93,0)</f>
        <v>24000</v>
      </c>
      <c r="G93" s="21">
        <f t="shared" si="37"/>
        <v>0</v>
      </c>
      <c r="H93" s="803"/>
      <c r="I93" s="21">
        <f>ROUND(F93,0)</f>
        <v>24000</v>
      </c>
      <c r="J93" s="21">
        <f t="shared" si="38"/>
        <v>0</v>
      </c>
      <c r="K93" s="227"/>
      <c r="L93" s="21">
        <f>ROUND(I93,0)</f>
        <v>24000</v>
      </c>
      <c r="M93" s="21">
        <f t="shared" si="39"/>
        <v>0</v>
      </c>
      <c r="N93" s="227"/>
      <c r="O93" s="21">
        <f>ROUND(L93,0)</f>
        <v>24000</v>
      </c>
      <c r="P93" s="21">
        <f t="shared" si="40"/>
        <v>0</v>
      </c>
      <c r="Q93" s="227"/>
      <c r="R93" s="1017"/>
      <c r="S93" s="21">
        <v>42260.76</v>
      </c>
      <c r="T93" s="298">
        <f>S93/O93</f>
        <v>1.7608650000000001</v>
      </c>
      <c r="U93" s="22"/>
    </row>
    <row r="94" spans="1:21" ht="15.6" customHeight="1" x14ac:dyDescent="0.25">
      <c r="B94" s="12" t="s">
        <v>120</v>
      </c>
      <c r="C94" s="92" t="s">
        <v>119</v>
      </c>
      <c r="D94" s="166" t="s">
        <v>608</v>
      </c>
      <c r="E94" s="762">
        <v>125000</v>
      </c>
      <c r="F94" s="762">
        <f>ROUND(E94,0)</f>
        <v>125000</v>
      </c>
      <c r="G94" s="21">
        <f t="shared" si="37"/>
        <v>0</v>
      </c>
      <c r="H94" s="803"/>
      <c r="I94" s="21">
        <f>ROUND(F94,0)</f>
        <v>125000</v>
      </c>
      <c r="J94" s="21">
        <f t="shared" si="38"/>
        <v>0</v>
      </c>
      <c r="K94" s="227"/>
      <c r="L94" s="21">
        <f>ROUND(I94,0)</f>
        <v>125000</v>
      </c>
      <c r="M94" s="21">
        <f t="shared" si="39"/>
        <v>0</v>
      </c>
      <c r="N94" s="227"/>
      <c r="O94" s="21">
        <f>ROUND(L94,0)</f>
        <v>125000</v>
      </c>
      <c r="P94" s="21">
        <f t="shared" si="40"/>
        <v>0</v>
      </c>
      <c r="Q94" s="227"/>
      <c r="R94" s="1017"/>
      <c r="S94" s="21">
        <v>105982.31</v>
      </c>
      <c r="T94" s="298">
        <f>S94/O94</f>
        <v>0.84785847999999997</v>
      </c>
      <c r="U94" s="22"/>
    </row>
    <row r="95" spans="1:21" ht="13.95" customHeight="1" x14ac:dyDescent="0.25">
      <c r="C95" s="84" t="s">
        <v>122</v>
      </c>
      <c r="D95" s="85" t="s">
        <v>322</v>
      </c>
      <c r="E95" s="769">
        <v>0</v>
      </c>
      <c r="F95" s="769">
        <f>F96+F97</f>
        <v>0</v>
      </c>
      <c r="G95" s="68">
        <f t="shared" si="37"/>
        <v>0</v>
      </c>
      <c r="H95" s="827"/>
      <c r="I95" s="68">
        <f>I96+I97</f>
        <v>0</v>
      </c>
      <c r="J95" s="68">
        <f t="shared" si="38"/>
        <v>0</v>
      </c>
      <c r="K95" s="251"/>
      <c r="L95" s="68">
        <f>L96+L97</f>
        <v>0</v>
      </c>
      <c r="M95" s="68">
        <f t="shared" si="39"/>
        <v>0</v>
      </c>
      <c r="N95" s="251"/>
      <c r="O95" s="68">
        <f>O96+O97</f>
        <v>0</v>
      </c>
      <c r="P95" s="68">
        <f t="shared" si="40"/>
        <v>0</v>
      </c>
      <c r="Q95" s="251"/>
      <c r="R95" s="1030"/>
      <c r="S95" s="68"/>
      <c r="T95" s="303"/>
      <c r="U95" s="608"/>
    </row>
    <row r="96" spans="1:21" x14ac:dyDescent="0.25">
      <c r="C96" s="92" t="s">
        <v>125</v>
      </c>
      <c r="D96" s="93" t="s">
        <v>318</v>
      </c>
      <c r="E96" s="762">
        <v>0</v>
      </c>
      <c r="F96" s="762"/>
      <c r="G96" s="68">
        <f t="shared" si="37"/>
        <v>0</v>
      </c>
      <c r="H96" s="806"/>
      <c r="I96" s="21"/>
      <c r="J96" s="68">
        <f t="shared" si="38"/>
        <v>0</v>
      </c>
      <c r="K96" s="230"/>
      <c r="L96" s="21"/>
      <c r="M96" s="68">
        <f t="shared" si="39"/>
        <v>0</v>
      </c>
      <c r="N96" s="230"/>
      <c r="O96" s="21"/>
      <c r="P96" s="68">
        <f t="shared" si="40"/>
        <v>0</v>
      </c>
      <c r="Q96" s="230"/>
      <c r="R96" s="1017"/>
      <c r="S96" s="21"/>
      <c r="T96" s="303"/>
      <c r="U96" s="608"/>
    </row>
    <row r="97" spans="1:21" ht="13.5" customHeight="1" x14ac:dyDescent="0.25">
      <c r="B97" s="74" t="s">
        <v>507</v>
      </c>
      <c r="C97" s="92" t="s">
        <v>127</v>
      </c>
      <c r="D97" s="649" t="s">
        <v>321</v>
      </c>
      <c r="E97" s="762">
        <v>0</v>
      </c>
      <c r="F97" s="762">
        <f>ROUND(E97,0)</f>
        <v>0</v>
      </c>
      <c r="G97" s="68">
        <f t="shared" si="37"/>
        <v>0</v>
      </c>
      <c r="H97" s="806"/>
      <c r="I97" s="21">
        <f>ROUND(F97,0)</f>
        <v>0</v>
      </c>
      <c r="J97" s="68">
        <f t="shared" si="38"/>
        <v>0</v>
      </c>
      <c r="K97" s="230"/>
      <c r="L97" s="21">
        <f>ROUND(I97,0)</f>
        <v>0</v>
      </c>
      <c r="M97" s="68">
        <f t="shared" si="39"/>
        <v>0</v>
      </c>
      <c r="N97" s="230"/>
      <c r="O97" s="21">
        <f>ROUND(L97,0)</f>
        <v>0</v>
      </c>
      <c r="P97" s="68">
        <f t="shared" si="40"/>
        <v>0</v>
      </c>
      <c r="Q97" s="230"/>
      <c r="R97" s="1017"/>
      <c r="S97" s="21"/>
      <c r="T97" s="303"/>
      <c r="U97" s="608"/>
    </row>
    <row r="98" spans="1:21" x14ac:dyDescent="0.25">
      <c r="A98" s="12" t="s">
        <v>9</v>
      </c>
      <c r="B98" s="12" t="s">
        <v>121</v>
      </c>
      <c r="C98" s="84" t="s">
        <v>129</v>
      </c>
      <c r="D98" s="85" t="s">
        <v>123</v>
      </c>
      <c r="E98" s="762">
        <v>180000</v>
      </c>
      <c r="F98" s="762">
        <f>SUM(F99:F101)</f>
        <v>180000</v>
      </c>
      <c r="G98" s="21">
        <f t="shared" si="37"/>
        <v>0</v>
      </c>
      <c r="H98" s="800"/>
      <c r="I98" s="21">
        <f>SUM(I99:I101)</f>
        <v>180000</v>
      </c>
      <c r="J98" s="21">
        <f t="shared" si="38"/>
        <v>0</v>
      </c>
      <c r="K98" s="224"/>
      <c r="L98" s="21">
        <f>SUM(L99:L101)</f>
        <v>180000</v>
      </c>
      <c r="M98" s="21">
        <f t="shared" si="39"/>
        <v>0</v>
      </c>
      <c r="N98" s="224"/>
      <c r="O98" s="21">
        <f>SUM(O99:O101)</f>
        <v>195370</v>
      </c>
      <c r="P98" s="21">
        <f t="shared" si="40"/>
        <v>15370</v>
      </c>
      <c r="Q98" s="224"/>
      <c r="R98" s="1015"/>
      <c r="S98" s="21">
        <f>SUM(S99:S101)</f>
        <v>163244.94000000003</v>
      </c>
      <c r="T98" s="298">
        <f t="shared" ref="T98:T124" si="46">S98/O98</f>
        <v>0.83556810155090355</v>
      </c>
      <c r="U98" s="22"/>
    </row>
    <row r="99" spans="1:21" ht="15.75" customHeight="1" x14ac:dyDescent="0.25">
      <c r="B99" s="12" t="s">
        <v>124</v>
      </c>
      <c r="C99" s="92" t="s">
        <v>323</v>
      </c>
      <c r="D99" s="93" t="s">
        <v>325</v>
      </c>
      <c r="E99" s="762">
        <v>143000</v>
      </c>
      <c r="F99" s="762">
        <f>ROUND(E99,0)</f>
        <v>143000</v>
      </c>
      <c r="G99" s="21">
        <f t="shared" si="37"/>
        <v>0</v>
      </c>
      <c r="H99" s="808"/>
      <c r="I99" s="21">
        <f>ROUND(F99,0)</f>
        <v>143000</v>
      </c>
      <c r="J99" s="21">
        <f t="shared" si="38"/>
        <v>0</v>
      </c>
      <c r="K99" s="232"/>
      <c r="L99" s="21">
        <f>ROUND(I99,0)</f>
        <v>143000</v>
      </c>
      <c r="M99" s="21">
        <f t="shared" si="39"/>
        <v>0</v>
      </c>
      <c r="N99" s="232"/>
      <c r="O99" s="21">
        <f>ROUND(L99,0)+6370+9000</f>
        <v>158370</v>
      </c>
      <c r="P99" s="21">
        <f t="shared" si="40"/>
        <v>15370</v>
      </c>
      <c r="Q99" s="232" t="s">
        <v>1351</v>
      </c>
      <c r="R99" s="1020"/>
      <c r="S99" s="21">
        <f>126031.49+145</f>
        <v>126176.49</v>
      </c>
      <c r="T99" s="298">
        <f t="shared" si="46"/>
        <v>0.79671964387194549</v>
      </c>
      <c r="U99" s="22"/>
    </row>
    <row r="100" spans="1:21" x14ac:dyDescent="0.25">
      <c r="B100" s="12" t="s">
        <v>126</v>
      </c>
      <c r="C100" s="92" t="s">
        <v>324</v>
      </c>
      <c r="D100" s="93" t="s">
        <v>326</v>
      </c>
      <c r="E100" s="762">
        <v>36000</v>
      </c>
      <c r="F100" s="762">
        <f>ROUND(E100,0)</f>
        <v>36000</v>
      </c>
      <c r="G100" s="21">
        <f t="shared" si="37"/>
        <v>0</v>
      </c>
      <c r="H100" s="800"/>
      <c r="I100" s="21">
        <f>ROUND(F100,0)</f>
        <v>36000</v>
      </c>
      <c r="J100" s="21">
        <f t="shared" si="38"/>
        <v>0</v>
      </c>
      <c r="K100" s="224"/>
      <c r="L100" s="21">
        <f>ROUND(I100,0)</f>
        <v>36000</v>
      </c>
      <c r="M100" s="21">
        <f t="shared" si="39"/>
        <v>0</v>
      </c>
      <c r="N100" s="224"/>
      <c r="O100" s="21">
        <f>ROUND(L100,0)</f>
        <v>36000</v>
      </c>
      <c r="P100" s="21">
        <f t="shared" si="40"/>
        <v>0</v>
      </c>
      <c r="Q100" s="224"/>
      <c r="R100" s="1015"/>
      <c r="S100" s="21">
        <v>36892.53</v>
      </c>
      <c r="T100" s="298">
        <f t="shared" si="46"/>
        <v>1.0247925</v>
      </c>
      <c r="U100" s="22"/>
    </row>
    <row r="101" spans="1:21" x14ac:dyDescent="0.25">
      <c r="B101" s="12" t="s">
        <v>519</v>
      </c>
      <c r="C101" s="92" t="s">
        <v>327</v>
      </c>
      <c r="D101" s="649" t="s">
        <v>328</v>
      </c>
      <c r="E101" s="762">
        <v>1000</v>
      </c>
      <c r="F101" s="762">
        <f>ROUND(E101,0)</f>
        <v>1000</v>
      </c>
      <c r="G101" s="68">
        <f t="shared" si="37"/>
        <v>0</v>
      </c>
      <c r="H101" s="809"/>
      <c r="I101" s="21">
        <f>ROUND(F101,0)</f>
        <v>1000</v>
      </c>
      <c r="J101" s="68">
        <f t="shared" si="38"/>
        <v>0</v>
      </c>
      <c r="K101" s="233"/>
      <c r="L101" s="21">
        <f>ROUND(I101,0)</f>
        <v>1000</v>
      </c>
      <c r="M101" s="68">
        <f t="shared" si="39"/>
        <v>0</v>
      </c>
      <c r="N101" s="233"/>
      <c r="O101" s="21">
        <f>ROUND(L101,0)</f>
        <v>1000</v>
      </c>
      <c r="P101" s="68">
        <f t="shared" si="40"/>
        <v>0</v>
      </c>
      <c r="Q101" s="233"/>
      <c r="R101" s="1015"/>
      <c r="S101" s="21">
        <f>108.9+67.02</f>
        <v>175.92000000000002</v>
      </c>
      <c r="T101" s="303">
        <f t="shared" si="46"/>
        <v>0.17592000000000002</v>
      </c>
      <c r="U101" s="608"/>
    </row>
    <row r="102" spans="1:21" ht="25.2" customHeight="1" x14ac:dyDescent="0.25">
      <c r="A102" s="12" t="s">
        <v>9</v>
      </c>
      <c r="B102" s="12" t="s">
        <v>128</v>
      </c>
      <c r="C102" s="84" t="s">
        <v>131</v>
      </c>
      <c r="D102" s="85" t="s">
        <v>130</v>
      </c>
      <c r="E102" s="762">
        <v>1712137</v>
      </c>
      <c r="F102" s="762">
        <f t="shared" ref="F102" si="47">SUM(F103:F105)</f>
        <v>1543755</v>
      </c>
      <c r="G102" s="21">
        <f t="shared" si="37"/>
        <v>-168382</v>
      </c>
      <c r="H102" s="817"/>
      <c r="I102" s="21">
        <f>SUM(I103:I105)</f>
        <v>1543755</v>
      </c>
      <c r="J102" s="21">
        <f t="shared" si="38"/>
        <v>0</v>
      </c>
      <c r="K102" s="241"/>
      <c r="L102" s="21">
        <f>SUM(L103:L105)</f>
        <v>1543755</v>
      </c>
      <c r="M102" s="21">
        <f t="shared" si="39"/>
        <v>0</v>
      </c>
      <c r="N102" s="241"/>
      <c r="O102" s="21">
        <f>SUM(O103:O105)</f>
        <v>2224097</v>
      </c>
      <c r="P102" s="21">
        <f t="shared" si="40"/>
        <v>680342</v>
      </c>
      <c r="Q102" s="241"/>
      <c r="R102" s="1020"/>
      <c r="S102" s="21">
        <f>SUM(S103:S105)</f>
        <v>1057403</v>
      </c>
      <c r="T102" s="298">
        <f t="shared" si="46"/>
        <v>0.47543025326683142</v>
      </c>
      <c r="U102" s="22"/>
    </row>
    <row r="103" spans="1:21" ht="28.2" customHeight="1" x14ac:dyDescent="0.25">
      <c r="A103" s="74" t="s">
        <v>222</v>
      </c>
      <c r="C103" s="92" t="s">
        <v>297</v>
      </c>
      <c r="D103" s="93" t="s">
        <v>130</v>
      </c>
      <c r="E103" s="762">
        <v>135600</v>
      </c>
      <c r="F103" s="762">
        <f>ROUND(E103,0)</f>
        <v>135600</v>
      </c>
      <c r="G103" s="68">
        <f t="shared" si="37"/>
        <v>0</v>
      </c>
      <c r="H103" s="809"/>
      <c r="I103" s="21">
        <f>ROUND(F103,0)</f>
        <v>135600</v>
      </c>
      <c r="J103" s="68">
        <f t="shared" si="38"/>
        <v>0</v>
      </c>
      <c r="K103" s="233"/>
      <c r="L103" s="21">
        <f>ROUND(I103,0)</f>
        <v>135600</v>
      </c>
      <c r="M103" s="68">
        <f t="shared" si="39"/>
        <v>0</v>
      </c>
      <c r="N103" s="233"/>
      <c r="O103" s="21">
        <f>ROUND(L103,0)</f>
        <v>135600</v>
      </c>
      <c r="P103" s="68">
        <f t="shared" si="40"/>
        <v>0</v>
      </c>
      <c r="Q103" s="241"/>
      <c r="R103" s="1020"/>
      <c r="S103" s="21">
        <f>28538+1471</f>
        <v>30009</v>
      </c>
      <c r="T103" s="303">
        <f t="shared" si="46"/>
        <v>0.22130530973451326</v>
      </c>
      <c r="U103" s="608"/>
    </row>
    <row r="104" spans="1:21" ht="16.5" customHeight="1" x14ac:dyDescent="0.25">
      <c r="B104" s="12" t="s">
        <v>609</v>
      </c>
      <c r="C104" s="92" t="s">
        <v>298</v>
      </c>
      <c r="D104" s="93" t="s">
        <v>610</v>
      </c>
      <c r="E104" s="762">
        <v>2500</v>
      </c>
      <c r="F104" s="762">
        <f>ROUND(E104,0)</f>
        <v>2500</v>
      </c>
      <c r="G104" s="68">
        <f t="shared" si="37"/>
        <v>0</v>
      </c>
      <c r="H104" s="809"/>
      <c r="I104" s="21">
        <f>ROUND(F104,0)</f>
        <v>2500</v>
      </c>
      <c r="J104" s="68">
        <f t="shared" si="38"/>
        <v>0</v>
      </c>
      <c r="K104" s="233"/>
      <c r="L104" s="21">
        <f>ROUND(I104,0)</f>
        <v>2500</v>
      </c>
      <c r="M104" s="68">
        <f t="shared" si="39"/>
        <v>0</v>
      </c>
      <c r="N104" s="233"/>
      <c r="O104" s="21">
        <f>ROUND(L104,0)</f>
        <v>2500</v>
      </c>
      <c r="P104" s="68">
        <f t="shared" si="40"/>
        <v>0</v>
      </c>
      <c r="Q104" s="233"/>
      <c r="R104" s="1015"/>
      <c r="S104" s="21">
        <v>0</v>
      </c>
      <c r="T104" s="303">
        <f t="shared" si="46"/>
        <v>0</v>
      </c>
      <c r="U104" s="608"/>
    </row>
    <row r="105" spans="1:21" ht="28.95" customHeight="1" x14ac:dyDescent="0.25">
      <c r="B105" s="12" t="s">
        <v>1143</v>
      </c>
      <c r="C105" s="92" t="s">
        <v>299</v>
      </c>
      <c r="D105" s="93" t="s">
        <v>329</v>
      </c>
      <c r="E105" s="762">
        <v>1574037</v>
      </c>
      <c r="F105" s="762">
        <f>ROUND(E105,0)-168382</f>
        <v>1405655</v>
      </c>
      <c r="G105" s="68">
        <f t="shared" si="37"/>
        <v>-168382</v>
      </c>
      <c r="H105" s="871" t="s">
        <v>1214</v>
      </c>
      <c r="I105" s="21">
        <f>ROUND(F105,0)</f>
        <v>1405655</v>
      </c>
      <c r="J105" s="68">
        <f t="shared" si="38"/>
        <v>0</v>
      </c>
      <c r="K105" s="233"/>
      <c r="L105" s="21">
        <f>ROUND(I105,0)</f>
        <v>1405655</v>
      </c>
      <c r="M105" s="68">
        <f t="shared" si="39"/>
        <v>0</v>
      </c>
      <c r="N105" s="241"/>
      <c r="O105" s="21">
        <f>ROUND(L105,0)+680342</f>
        <v>2085997</v>
      </c>
      <c r="P105" s="68">
        <f t="shared" si="40"/>
        <v>680342</v>
      </c>
      <c r="Q105" s="241" t="s">
        <v>1352</v>
      </c>
      <c r="R105" s="1020"/>
      <c r="S105" s="21">
        <v>1027394</v>
      </c>
      <c r="T105" s="303">
        <f t="shared" si="46"/>
        <v>0.49251940439032271</v>
      </c>
      <c r="U105" s="68" t="s">
        <v>724</v>
      </c>
    </row>
    <row r="106" spans="1:21" ht="58.2" customHeight="1" thickBot="1" x14ac:dyDescent="0.35">
      <c r="A106" s="12" t="s">
        <v>9</v>
      </c>
      <c r="B106" s="626" t="s">
        <v>1144</v>
      </c>
      <c r="C106" s="84" t="s">
        <v>300</v>
      </c>
      <c r="D106" s="85" t="s">
        <v>613</v>
      </c>
      <c r="E106" s="762">
        <v>112621</v>
      </c>
      <c r="F106" s="762">
        <f>ROUND(E106,0)-10621</f>
        <v>102000</v>
      </c>
      <c r="G106" s="21">
        <f t="shared" si="37"/>
        <v>-10621</v>
      </c>
      <c r="H106" s="232" t="s">
        <v>1172</v>
      </c>
      <c r="I106" s="21">
        <f>ROUND(F106,0)</f>
        <v>102000</v>
      </c>
      <c r="J106" s="21">
        <f t="shared" si="38"/>
        <v>0</v>
      </c>
      <c r="K106" s="224"/>
      <c r="L106" s="21">
        <f>ROUND(I106,0)</f>
        <v>102000</v>
      </c>
      <c r="M106" s="21">
        <f t="shared" si="39"/>
        <v>0</v>
      </c>
      <c r="N106" s="224"/>
      <c r="O106" s="21">
        <f>ROUND(L106,0)+5000</f>
        <v>107000</v>
      </c>
      <c r="P106" s="21">
        <f t="shared" si="40"/>
        <v>5000</v>
      </c>
      <c r="Q106" s="232" t="s">
        <v>1350</v>
      </c>
      <c r="R106" s="1020"/>
      <c r="S106" s="904">
        <f>27690+15+26+580+75+33+27724+1240</f>
        <v>57383</v>
      </c>
      <c r="T106" s="298">
        <f t="shared" si="46"/>
        <v>0.53628971962616823</v>
      </c>
      <c r="U106" s="22"/>
    </row>
    <row r="107" spans="1:21" ht="15" customHeight="1" thickBot="1" x14ac:dyDescent="0.3">
      <c r="C107" s="30"/>
      <c r="D107" s="31" t="s">
        <v>132</v>
      </c>
      <c r="E107" s="771">
        <v>50914202.609999999</v>
      </c>
      <c r="F107" s="771">
        <f t="shared" ref="F107" si="48">F7+F10+F13+F16+F19+F22+F34+F37+F41+F42+F88+F91</f>
        <v>51193467</v>
      </c>
      <c r="G107" s="53">
        <f t="shared" si="37"/>
        <v>279264.3900000006</v>
      </c>
      <c r="H107" s="828"/>
      <c r="I107" s="53">
        <f>I7+I10+I13+I16+I19+I22+I34+I37+I41+I42+I88+I91</f>
        <v>51761438</v>
      </c>
      <c r="J107" s="53">
        <f t="shared" si="38"/>
        <v>567971</v>
      </c>
      <c r="K107" s="252"/>
      <c r="L107" s="53">
        <f>L7+L10+L13+L16+L19+L22+L34+L37+L41+L42+L88+L91</f>
        <v>51844623</v>
      </c>
      <c r="M107" s="53">
        <f t="shared" si="39"/>
        <v>83185</v>
      </c>
      <c r="N107" s="252"/>
      <c r="O107" s="53">
        <f>O7+O10+O13+O16+O19+O22+O34+O37+O41+O42+O88+O91</f>
        <v>52574335</v>
      </c>
      <c r="P107" s="53">
        <f t="shared" si="40"/>
        <v>729712</v>
      </c>
      <c r="Q107" s="252"/>
      <c r="R107" s="252"/>
      <c r="S107" s="53">
        <f>S7+S10+S13+S16+S19+S22+S34+S37+S41+S42+S88+S91</f>
        <v>27733382.039999999</v>
      </c>
      <c r="T107" s="311">
        <f t="shared" si="46"/>
        <v>0.52750799491805267</v>
      </c>
      <c r="U107" s="918"/>
    </row>
    <row r="108" spans="1:21" ht="14.4" thickBot="1" x14ac:dyDescent="0.3">
      <c r="C108" s="94" t="s">
        <v>133</v>
      </c>
      <c r="D108" s="772" t="s">
        <v>134</v>
      </c>
      <c r="E108" s="773">
        <v>9016614.0299999993</v>
      </c>
      <c r="F108" s="773">
        <f>SUM(F109:F110)</f>
        <v>9755067</v>
      </c>
      <c r="G108" s="54">
        <f t="shared" si="37"/>
        <v>738452.97000000067</v>
      </c>
      <c r="H108" s="829"/>
      <c r="I108" s="54">
        <f>SUM(I109:I110)</f>
        <v>9755067</v>
      </c>
      <c r="J108" s="54">
        <f t="shared" si="38"/>
        <v>0</v>
      </c>
      <c r="K108" s="253"/>
      <c r="L108" s="54">
        <f>SUM(L109:L110)</f>
        <v>9755067</v>
      </c>
      <c r="M108" s="54">
        <f t="shared" si="39"/>
        <v>0</v>
      </c>
      <c r="N108" s="253"/>
      <c r="O108" s="54">
        <f>SUM(O109:O110)</f>
        <v>9755067</v>
      </c>
      <c r="P108" s="54">
        <f t="shared" si="40"/>
        <v>0</v>
      </c>
      <c r="Q108" s="253"/>
      <c r="R108" s="253"/>
      <c r="S108" s="54">
        <f>SUM(S109:S110)</f>
        <v>9755067</v>
      </c>
      <c r="T108" s="312">
        <f t="shared" si="46"/>
        <v>1</v>
      </c>
      <c r="U108" s="610"/>
    </row>
    <row r="109" spans="1:21" ht="14.4" customHeight="1" x14ac:dyDescent="0.25">
      <c r="C109" s="84" t="s">
        <v>135</v>
      </c>
      <c r="D109" s="85" t="s">
        <v>136</v>
      </c>
      <c r="E109" s="762">
        <v>2707710.83</v>
      </c>
      <c r="F109" s="762">
        <f>ROUND(E109,0)+104970+230-1+750-1034+19357+1832+41+1093+13000+168382+10621+3808+904+17685+76439+38150+31285</f>
        <v>3195223</v>
      </c>
      <c r="G109" s="21">
        <f t="shared" si="37"/>
        <v>487512.16999999993</v>
      </c>
      <c r="H109" s="839" t="s">
        <v>1203</v>
      </c>
      <c r="I109" s="21">
        <f>ROUND(F109,0)</f>
        <v>3195223</v>
      </c>
      <c r="J109" s="21">
        <f t="shared" si="38"/>
        <v>0</v>
      </c>
      <c r="K109" s="232"/>
      <c r="L109" s="21">
        <f>ROUND(I109,0)</f>
        <v>3195223</v>
      </c>
      <c r="M109" s="21">
        <f t="shared" si="39"/>
        <v>0</v>
      </c>
      <c r="N109" s="232"/>
      <c r="O109" s="21">
        <f>ROUND(L109,0)</f>
        <v>3195223</v>
      </c>
      <c r="P109" s="21">
        <f t="shared" si="40"/>
        <v>0</v>
      </c>
      <c r="Q109" s="232"/>
      <c r="R109" s="1020"/>
      <c r="S109" s="21">
        <v>3195223</v>
      </c>
      <c r="T109" s="298">
        <f t="shared" si="46"/>
        <v>1</v>
      </c>
      <c r="U109" s="22"/>
    </row>
    <row r="110" spans="1:21" x14ac:dyDescent="0.25">
      <c r="C110" s="84" t="s">
        <v>137</v>
      </c>
      <c r="D110" s="85" t="s">
        <v>138</v>
      </c>
      <c r="E110" s="762">
        <v>6308903</v>
      </c>
      <c r="F110" s="762">
        <f>ROUND(E110,0)+3445956+208-F109</f>
        <v>6559844</v>
      </c>
      <c r="G110" s="21">
        <f t="shared" si="37"/>
        <v>250941</v>
      </c>
      <c r="H110" s="800"/>
      <c r="I110" s="21">
        <f>ROUND(F110,0)</f>
        <v>6559844</v>
      </c>
      <c r="J110" s="21">
        <f t="shared" si="38"/>
        <v>0</v>
      </c>
      <c r="K110" s="224"/>
      <c r="L110" s="21">
        <f>ROUND(I110,0)</f>
        <v>6559844</v>
      </c>
      <c r="M110" s="21">
        <f t="shared" si="39"/>
        <v>0</v>
      </c>
      <c r="N110" s="224"/>
      <c r="O110" s="21">
        <f>ROUND(L110,0)</f>
        <v>6559844</v>
      </c>
      <c r="P110" s="21">
        <f t="shared" si="40"/>
        <v>0</v>
      </c>
      <c r="Q110" s="224"/>
      <c r="R110" s="1015"/>
      <c r="S110" s="21">
        <v>6559844</v>
      </c>
      <c r="T110" s="298">
        <f t="shared" si="46"/>
        <v>1</v>
      </c>
      <c r="U110" s="22"/>
    </row>
    <row r="111" spans="1:21" x14ac:dyDescent="0.25">
      <c r="C111" s="90" t="s">
        <v>139</v>
      </c>
      <c r="D111" s="726" t="s">
        <v>140</v>
      </c>
      <c r="E111" s="774">
        <v>1873161</v>
      </c>
      <c r="F111" s="774">
        <f>SUM(F112:F123)</f>
        <v>1917782</v>
      </c>
      <c r="G111" s="23">
        <f t="shared" si="37"/>
        <v>44621</v>
      </c>
      <c r="H111" s="802"/>
      <c r="I111" s="71">
        <f>SUM(I112:I123)</f>
        <v>1941929</v>
      </c>
      <c r="J111" s="23">
        <f t="shared" si="38"/>
        <v>24147</v>
      </c>
      <c r="K111" s="226"/>
      <c r="L111" s="71">
        <f>SUM(L112:L123)</f>
        <v>1941929</v>
      </c>
      <c r="M111" s="23">
        <f t="shared" si="39"/>
        <v>0</v>
      </c>
      <c r="N111" s="226"/>
      <c r="O111" s="71">
        <f>SUM(O112:O123)</f>
        <v>1941929</v>
      </c>
      <c r="P111" s="23">
        <f t="shared" si="40"/>
        <v>0</v>
      </c>
      <c r="Q111" s="226"/>
      <c r="R111" s="1031"/>
      <c r="S111" s="71">
        <f>SUM(S112:S123)</f>
        <v>70310.559999999998</v>
      </c>
      <c r="T111" s="318">
        <f t="shared" si="46"/>
        <v>3.6206555440492415E-2</v>
      </c>
      <c r="U111" s="71" t="s">
        <v>723</v>
      </c>
    </row>
    <row r="112" spans="1:21" ht="41.4" hidden="1" outlineLevel="1" x14ac:dyDescent="0.25">
      <c r="A112" s="74"/>
      <c r="B112" s="74"/>
      <c r="C112" s="162" t="s">
        <v>581</v>
      </c>
      <c r="D112" s="661" t="s">
        <v>540</v>
      </c>
      <c r="E112" s="768">
        <v>0</v>
      </c>
      <c r="F112" s="768">
        <f t="shared" ref="F112:F123" si="49">ROUND(E112,0)</f>
        <v>0</v>
      </c>
      <c r="G112" s="254">
        <f t="shared" si="37"/>
        <v>0</v>
      </c>
      <c r="H112" s="830"/>
      <c r="I112" s="109">
        <f t="shared" ref="I112:I123" si="50">ROUND(F112,0)</f>
        <v>0</v>
      </c>
      <c r="J112" s="254">
        <f t="shared" si="38"/>
        <v>0</v>
      </c>
      <c r="K112" s="255"/>
      <c r="L112" s="109">
        <f t="shared" ref="L112:L117" si="51">ROUND(I112,0)</f>
        <v>0</v>
      </c>
      <c r="M112" s="254">
        <f t="shared" si="39"/>
        <v>0</v>
      </c>
      <c r="N112" s="255"/>
      <c r="O112" s="109">
        <f t="shared" ref="O112:O121" si="52">ROUND(L112,0)</f>
        <v>0</v>
      </c>
      <c r="P112" s="254">
        <f t="shared" si="40"/>
        <v>0</v>
      </c>
      <c r="Q112" s="255"/>
      <c r="R112" s="1018"/>
      <c r="S112" s="109"/>
      <c r="T112" s="313" t="e">
        <f t="shared" si="46"/>
        <v>#DIV/0!</v>
      </c>
      <c r="U112" s="919"/>
    </row>
    <row r="113" spans="1:21" hidden="1" outlineLevel="1" x14ac:dyDescent="0.25">
      <c r="A113" s="74"/>
      <c r="B113" s="74"/>
      <c r="C113" s="162" t="s">
        <v>582</v>
      </c>
      <c r="D113" s="661" t="s">
        <v>374</v>
      </c>
      <c r="E113" s="768">
        <v>0</v>
      </c>
      <c r="F113" s="768">
        <f t="shared" si="49"/>
        <v>0</v>
      </c>
      <c r="G113" s="254">
        <f t="shared" si="37"/>
        <v>0</v>
      </c>
      <c r="H113" s="830"/>
      <c r="I113" s="109">
        <f t="shared" si="50"/>
        <v>0</v>
      </c>
      <c r="J113" s="254">
        <f t="shared" si="38"/>
        <v>0</v>
      </c>
      <c r="K113" s="255"/>
      <c r="L113" s="109">
        <f t="shared" si="51"/>
        <v>0</v>
      </c>
      <c r="M113" s="254">
        <f t="shared" si="39"/>
        <v>0</v>
      </c>
      <c r="N113" s="255"/>
      <c r="O113" s="109">
        <f t="shared" si="52"/>
        <v>0</v>
      </c>
      <c r="P113" s="254">
        <f t="shared" si="40"/>
        <v>0</v>
      </c>
      <c r="Q113" s="255"/>
      <c r="R113" s="1018"/>
      <c r="S113" s="109"/>
      <c r="T113" s="313" t="e">
        <f t="shared" si="46"/>
        <v>#DIV/0!</v>
      </c>
      <c r="U113" s="919"/>
    </row>
    <row r="114" spans="1:21" ht="26.4" customHeight="1" collapsed="1" x14ac:dyDescent="0.25">
      <c r="A114" s="74" t="s">
        <v>1209</v>
      </c>
      <c r="B114" s="74"/>
      <c r="C114" s="162" t="s">
        <v>581</v>
      </c>
      <c r="D114" s="661" t="s">
        <v>1151</v>
      </c>
      <c r="E114" s="768">
        <v>541742</v>
      </c>
      <c r="F114" s="768">
        <f t="shared" si="49"/>
        <v>541742</v>
      </c>
      <c r="G114" s="254">
        <f t="shared" si="37"/>
        <v>0</v>
      </c>
      <c r="H114" s="830"/>
      <c r="I114" s="109">
        <f t="shared" si="50"/>
        <v>541742</v>
      </c>
      <c r="J114" s="254">
        <f t="shared" si="38"/>
        <v>0</v>
      </c>
      <c r="K114" s="255"/>
      <c r="L114" s="109">
        <f t="shared" si="51"/>
        <v>541742</v>
      </c>
      <c r="M114" s="254">
        <f t="shared" si="39"/>
        <v>0</v>
      </c>
      <c r="N114" s="255"/>
      <c r="O114" s="109">
        <f t="shared" si="52"/>
        <v>541742</v>
      </c>
      <c r="P114" s="254">
        <f t="shared" si="40"/>
        <v>0</v>
      </c>
      <c r="Q114" s="255"/>
      <c r="R114" s="1018"/>
      <c r="S114" s="109">
        <v>0</v>
      </c>
      <c r="T114" s="313">
        <f t="shared" si="46"/>
        <v>0</v>
      </c>
      <c r="U114" s="919"/>
    </row>
    <row r="115" spans="1:21" ht="27.6" x14ac:dyDescent="0.25">
      <c r="A115" s="74" t="s">
        <v>490</v>
      </c>
      <c r="B115" s="74" t="s">
        <v>494</v>
      </c>
      <c r="C115" s="162" t="s">
        <v>582</v>
      </c>
      <c r="D115" s="668" t="s">
        <v>578</v>
      </c>
      <c r="E115" s="762">
        <v>353405</v>
      </c>
      <c r="F115" s="762">
        <f>ROUND(E115,0)-3420</f>
        <v>349985</v>
      </c>
      <c r="G115" s="256">
        <f t="shared" si="37"/>
        <v>-3420</v>
      </c>
      <c r="H115" s="866" t="s">
        <v>1193</v>
      </c>
      <c r="I115" s="21">
        <f t="shared" si="50"/>
        <v>349985</v>
      </c>
      <c r="J115" s="256">
        <f t="shared" si="38"/>
        <v>0</v>
      </c>
      <c r="K115" s="257"/>
      <c r="L115" s="21">
        <f t="shared" si="51"/>
        <v>349985</v>
      </c>
      <c r="M115" s="256">
        <f t="shared" si="39"/>
        <v>0</v>
      </c>
      <c r="N115" s="257"/>
      <c r="O115" s="21">
        <f t="shared" si="52"/>
        <v>349985</v>
      </c>
      <c r="P115" s="256">
        <f t="shared" si="40"/>
        <v>0</v>
      </c>
      <c r="Q115" s="257"/>
      <c r="R115" s="250"/>
      <c r="S115" s="21">
        <v>0</v>
      </c>
      <c r="T115" s="314">
        <f t="shared" si="46"/>
        <v>0</v>
      </c>
      <c r="U115" s="920"/>
    </row>
    <row r="116" spans="1:21" ht="16.95" hidden="1" customHeight="1" outlineLevel="1" x14ac:dyDescent="0.25">
      <c r="A116" s="74"/>
      <c r="B116" s="74"/>
      <c r="C116" s="162" t="s">
        <v>585</v>
      </c>
      <c r="D116" s="668"/>
      <c r="E116" s="768">
        <v>0</v>
      </c>
      <c r="F116" s="768">
        <f t="shared" si="49"/>
        <v>0</v>
      </c>
      <c r="G116" s="254">
        <f t="shared" si="37"/>
        <v>0</v>
      </c>
      <c r="H116" s="366"/>
      <c r="I116" s="109">
        <f t="shared" si="50"/>
        <v>0</v>
      </c>
      <c r="J116" s="254">
        <f t="shared" si="38"/>
        <v>0</v>
      </c>
      <c r="K116" s="258"/>
      <c r="L116" s="109">
        <f t="shared" si="51"/>
        <v>0</v>
      </c>
      <c r="M116" s="254">
        <f t="shared" si="39"/>
        <v>0</v>
      </c>
      <c r="N116" s="258"/>
      <c r="O116" s="109">
        <f t="shared" si="52"/>
        <v>0</v>
      </c>
      <c r="P116" s="254">
        <f t="shared" si="40"/>
        <v>0</v>
      </c>
      <c r="Q116" s="258"/>
      <c r="R116" s="250"/>
      <c r="S116" s="21"/>
      <c r="T116" s="314" t="e">
        <f t="shared" si="46"/>
        <v>#DIV/0!</v>
      </c>
      <c r="U116" s="920"/>
    </row>
    <row r="117" spans="1:21" hidden="1" outlineLevel="1" x14ac:dyDescent="0.25">
      <c r="B117" s="74"/>
      <c r="C117" s="162" t="s">
        <v>586</v>
      </c>
      <c r="D117" s="668" t="s">
        <v>510</v>
      </c>
      <c r="E117" s="294">
        <v>0</v>
      </c>
      <c r="F117" s="294">
        <f t="shared" si="49"/>
        <v>0</v>
      </c>
      <c r="G117" s="259">
        <f t="shared" si="37"/>
        <v>0</v>
      </c>
      <c r="H117" s="873"/>
      <c r="I117" s="110">
        <f>ROUND(F117,0)</f>
        <v>0</v>
      </c>
      <c r="J117" s="259">
        <f t="shared" si="38"/>
        <v>0</v>
      </c>
      <c r="K117" s="255"/>
      <c r="L117" s="110">
        <f t="shared" si="51"/>
        <v>0</v>
      </c>
      <c r="M117" s="259">
        <f t="shared" si="39"/>
        <v>0</v>
      </c>
      <c r="N117" s="255"/>
      <c r="O117" s="110">
        <f t="shared" si="52"/>
        <v>0</v>
      </c>
      <c r="P117" s="259">
        <f t="shared" si="40"/>
        <v>0</v>
      </c>
      <c r="Q117" s="255"/>
      <c r="R117" s="1018"/>
      <c r="S117" s="21"/>
      <c r="T117" s="314" t="e">
        <f t="shared" si="46"/>
        <v>#DIV/0!</v>
      </c>
      <c r="U117" s="920"/>
    </row>
    <row r="118" spans="1:21" ht="45" customHeight="1" collapsed="1" x14ac:dyDescent="0.25">
      <c r="A118" s="74" t="s">
        <v>340</v>
      </c>
      <c r="B118" s="74"/>
      <c r="C118" s="162" t="s">
        <v>583</v>
      </c>
      <c r="D118" s="672" t="s">
        <v>551</v>
      </c>
      <c r="E118" s="673">
        <v>30982</v>
      </c>
      <c r="F118" s="294">
        <f>ROUND(E118,0)+48041</f>
        <v>79023</v>
      </c>
      <c r="G118" s="259">
        <f t="shared" si="37"/>
        <v>48041</v>
      </c>
      <c r="H118" s="874" t="s">
        <v>1189</v>
      </c>
      <c r="I118" s="110">
        <f t="shared" si="50"/>
        <v>79023</v>
      </c>
      <c r="J118" s="259">
        <f t="shared" si="38"/>
        <v>0</v>
      </c>
      <c r="K118" s="255"/>
      <c r="L118" s="110">
        <f t="shared" ref="L118:L123" si="53">ROUND(I118,0)</f>
        <v>79023</v>
      </c>
      <c r="M118" s="259">
        <f t="shared" si="39"/>
        <v>0</v>
      </c>
      <c r="N118" s="258"/>
      <c r="O118" s="110">
        <f t="shared" si="52"/>
        <v>79023</v>
      </c>
      <c r="P118" s="259">
        <f t="shared" si="40"/>
        <v>0</v>
      </c>
      <c r="Q118" s="258"/>
      <c r="R118" s="250"/>
      <c r="S118" s="21">
        <f>69236.56+1074</f>
        <v>70310.559999999998</v>
      </c>
      <c r="T118" s="314">
        <f t="shared" si="46"/>
        <v>0.88974804803664753</v>
      </c>
      <c r="U118" s="640" t="s">
        <v>579</v>
      </c>
    </row>
    <row r="119" spans="1:21" ht="58.95" customHeight="1" x14ac:dyDescent="0.25">
      <c r="A119" s="74" t="s">
        <v>340</v>
      </c>
      <c r="B119" s="74"/>
      <c r="C119" s="162" t="s">
        <v>584</v>
      </c>
      <c r="D119" s="667" t="s">
        <v>877</v>
      </c>
      <c r="E119" s="958">
        <v>783000</v>
      </c>
      <c r="F119" s="959">
        <f t="shared" si="49"/>
        <v>783000</v>
      </c>
      <c r="G119" s="865">
        <f t="shared" si="37"/>
        <v>0</v>
      </c>
      <c r="H119" s="820"/>
      <c r="I119" s="110">
        <f t="shared" si="50"/>
        <v>783000</v>
      </c>
      <c r="J119" s="259">
        <f t="shared" si="38"/>
        <v>0</v>
      </c>
      <c r="K119" s="255"/>
      <c r="L119" s="110">
        <f t="shared" si="53"/>
        <v>783000</v>
      </c>
      <c r="M119" s="259">
        <f t="shared" si="39"/>
        <v>0</v>
      </c>
      <c r="N119" s="258"/>
      <c r="O119" s="110">
        <f t="shared" si="52"/>
        <v>783000</v>
      </c>
      <c r="P119" s="259">
        <f t="shared" si="40"/>
        <v>0</v>
      </c>
      <c r="Q119" s="258"/>
      <c r="R119" s="250"/>
      <c r="S119" s="21">
        <v>0</v>
      </c>
      <c r="T119" s="314">
        <f t="shared" si="46"/>
        <v>0</v>
      </c>
      <c r="U119" s="920"/>
    </row>
    <row r="120" spans="1:21" ht="16.2" customHeight="1" x14ac:dyDescent="0.25">
      <c r="B120" s="74" t="s">
        <v>772</v>
      </c>
      <c r="C120" s="162" t="s">
        <v>585</v>
      </c>
      <c r="D120" s="667" t="s">
        <v>635</v>
      </c>
      <c r="E120" s="958">
        <v>164032</v>
      </c>
      <c r="F120" s="959">
        <f t="shared" si="49"/>
        <v>164032</v>
      </c>
      <c r="G120" s="219">
        <f t="shared" si="37"/>
        <v>0</v>
      </c>
      <c r="H120" s="875"/>
      <c r="I120" s="110">
        <f>ROUND(F120,0)+24147</f>
        <v>188179</v>
      </c>
      <c r="J120" s="259">
        <f t="shared" si="38"/>
        <v>24147</v>
      </c>
      <c r="K120" s="255" t="s">
        <v>1263</v>
      </c>
      <c r="L120" s="110">
        <f t="shared" si="53"/>
        <v>188179</v>
      </c>
      <c r="M120" s="259">
        <f t="shared" si="39"/>
        <v>0</v>
      </c>
      <c r="N120" s="258"/>
      <c r="O120" s="110">
        <f t="shared" si="52"/>
        <v>188179</v>
      </c>
      <c r="P120" s="900">
        <f t="shared" si="40"/>
        <v>0</v>
      </c>
      <c r="Q120" s="258"/>
      <c r="R120" s="250"/>
      <c r="S120" s="21">
        <v>0</v>
      </c>
      <c r="T120" s="314">
        <f t="shared" si="46"/>
        <v>0</v>
      </c>
      <c r="U120" s="640" t="s">
        <v>1267</v>
      </c>
    </row>
    <row r="121" spans="1:21" ht="18.600000000000001" hidden="1" customHeight="1" outlineLevel="1" x14ac:dyDescent="0.25">
      <c r="B121" s="74"/>
      <c r="C121" s="162" t="s">
        <v>632</v>
      </c>
      <c r="D121" s="667" t="s">
        <v>636</v>
      </c>
      <c r="E121" s="669">
        <v>0</v>
      </c>
      <c r="F121" s="892">
        <f t="shared" si="49"/>
        <v>0</v>
      </c>
      <c r="G121" s="864">
        <f t="shared" si="37"/>
        <v>0</v>
      </c>
      <c r="H121" s="873"/>
      <c r="I121" s="110">
        <f t="shared" si="50"/>
        <v>0</v>
      </c>
      <c r="J121" s="259">
        <f t="shared" si="38"/>
        <v>0</v>
      </c>
      <c r="K121" s="255"/>
      <c r="L121" s="110">
        <f t="shared" si="53"/>
        <v>0</v>
      </c>
      <c r="M121" s="259">
        <f t="shared" si="39"/>
        <v>0</v>
      </c>
      <c r="N121" s="944"/>
      <c r="O121" s="110">
        <f t="shared" si="52"/>
        <v>0</v>
      </c>
      <c r="P121" s="259">
        <f t="shared" si="40"/>
        <v>0</v>
      </c>
      <c r="Q121" s="258"/>
      <c r="R121" s="250"/>
      <c r="S121" s="21">
        <f t="shared" ref="S121:S122" si="54">ROUND(H121,0)</f>
        <v>0</v>
      </c>
      <c r="T121" s="314" t="e">
        <f t="shared" si="46"/>
        <v>#DIV/0!</v>
      </c>
      <c r="U121" s="920"/>
    </row>
    <row r="122" spans="1:21" ht="27.6" hidden="1" customHeight="1" outlineLevel="1" x14ac:dyDescent="0.25">
      <c r="B122" s="74"/>
      <c r="C122" s="213" t="s">
        <v>633</v>
      </c>
      <c r="D122" s="1011" t="s">
        <v>567</v>
      </c>
      <c r="E122" s="669">
        <v>0</v>
      </c>
      <c r="F122" s="294">
        <f t="shared" si="49"/>
        <v>0</v>
      </c>
      <c r="G122" s="259">
        <f t="shared" si="37"/>
        <v>0</v>
      </c>
      <c r="H122" s="873"/>
      <c r="I122" s="110">
        <f t="shared" si="50"/>
        <v>0</v>
      </c>
      <c r="J122" s="259">
        <f t="shared" si="38"/>
        <v>0</v>
      </c>
      <c r="K122" s="255"/>
      <c r="L122" s="110"/>
      <c r="M122" s="259"/>
      <c r="N122" s="945"/>
      <c r="O122" s="110">
        <f>ROUND(L122,0)</f>
        <v>0</v>
      </c>
      <c r="P122" s="259">
        <f t="shared" si="40"/>
        <v>0</v>
      </c>
      <c r="Q122" s="258"/>
      <c r="R122" s="250"/>
      <c r="S122" s="21">
        <f t="shared" si="54"/>
        <v>0</v>
      </c>
      <c r="T122" s="314" t="e">
        <f t="shared" si="46"/>
        <v>#DIV/0!</v>
      </c>
      <c r="U122" s="920"/>
    </row>
    <row r="123" spans="1:21" ht="28.95" hidden="1" customHeight="1" outlineLevel="1" x14ac:dyDescent="0.25">
      <c r="B123" s="74"/>
      <c r="C123" s="289" t="s">
        <v>634</v>
      </c>
      <c r="D123" s="1012" t="s">
        <v>637</v>
      </c>
      <c r="E123" s="295">
        <v>0</v>
      </c>
      <c r="F123" s="294">
        <f t="shared" si="49"/>
        <v>0</v>
      </c>
      <c r="G123" s="259">
        <f t="shared" si="37"/>
        <v>0</v>
      </c>
      <c r="H123" s="873"/>
      <c r="I123" s="110">
        <f t="shared" si="50"/>
        <v>0</v>
      </c>
      <c r="J123" s="259">
        <f t="shared" si="38"/>
        <v>0</v>
      </c>
      <c r="K123" s="255"/>
      <c r="L123" s="110">
        <f t="shared" si="53"/>
        <v>0</v>
      </c>
      <c r="M123" s="259">
        <f t="shared" si="39"/>
        <v>0</v>
      </c>
      <c r="N123" s="240"/>
      <c r="O123" s="110">
        <f>ROUND(L123,0)</f>
        <v>0</v>
      </c>
      <c r="P123" s="259">
        <f t="shared" si="40"/>
        <v>0</v>
      </c>
      <c r="Q123" s="258"/>
      <c r="R123" s="250"/>
      <c r="S123" s="21"/>
      <c r="T123" s="314" t="e">
        <f t="shared" si="46"/>
        <v>#DIV/0!</v>
      </c>
      <c r="U123" s="920"/>
    </row>
    <row r="124" spans="1:21" ht="14.4" collapsed="1" thickBot="1" x14ac:dyDescent="0.3">
      <c r="C124" s="72"/>
      <c r="D124" s="749" t="s">
        <v>141</v>
      </c>
      <c r="E124" s="773">
        <v>61803977.640000001</v>
      </c>
      <c r="F124" s="773">
        <f t="shared" ref="F124" si="55">F107+F108+F111</f>
        <v>62866316</v>
      </c>
      <c r="G124" s="54">
        <f t="shared" si="37"/>
        <v>1062338.3599999994</v>
      </c>
      <c r="H124" s="831"/>
      <c r="I124" s="54">
        <f>I107+I108+I111</f>
        <v>63458434</v>
      </c>
      <c r="J124" s="54">
        <f t="shared" si="38"/>
        <v>592118</v>
      </c>
      <c r="K124" s="260"/>
      <c r="L124" s="54">
        <f>L107+L108+L111</f>
        <v>63541619</v>
      </c>
      <c r="M124" s="54">
        <f t="shared" si="39"/>
        <v>83185</v>
      </c>
      <c r="N124" s="260"/>
      <c r="O124" s="54">
        <f>O107+O108+O111</f>
        <v>64271331</v>
      </c>
      <c r="P124" s="54">
        <f t="shared" si="40"/>
        <v>729712</v>
      </c>
      <c r="Q124" s="260"/>
      <c r="R124" s="260"/>
      <c r="S124" s="54">
        <f>S107+S108+S111</f>
        <v>37558759.600000001</v>
      </c>
      <c r="T124" s="315">
        <f t="shared" si="46"/>
        <v>0.58437812031619507</v>
      </c>
      <c r="U124" s="610"/>
    </row>
    <row r="126" spans="1:21" x14ac:dyDescent="0.25">
      <c r="G126" s="52"/>
      <c r="I126" s="52"/>
      <c r="J126" s="52"/>
      <c r="L126" s="52"/>
      <c r="M126" s="52"/>
      <c r="O126" s="52"/>
      <c r="P126" s="52"/>
      <c r="S126" s="52"/>
      <c r="U126" s="174"/>
    </row>
    <row r="127" spans="1:21" ht="20.399999999999999" x14ac:dyDescent="0.35">
      <c r="C127" s="1075" t="s">
        <v>142</v>
      </c>
      <c r="D127" s="1075"/>
      <c r="G127" s="52"/>
      <c r="I127" s="52"/>
      <c r="J127" s="52"/>
      <c r="L127" s="52"/>
      <c r="M127" s="52"/>
      <c r="O127" s="52"/>
      <c r="P127" s="52"/>
      <c r="S127" s="52"/>
      <c r="U127" s="174"/>
    </row>
    <row r="128" spans="1:21" ht="15" thickBot="1" x14ac:dyDescent="0.35">
      <c r="C128" s="1076"/>
      <c r="D128" s="1076"/>
      <c r="G128" s="60"/>
      <c r="I128" s="60"/>
      <c r="J128" s="60"/>
      <c r="L128" s="60"/>
      <c r="M128" s="60"/>
      <c r="O128" s="60"/>
      <c r="P128" s="60"/>
      <c r="S128" s="60"/>
      <c r="U128" s="177"/>
    </row>
    <row r="129" spans="2:21" ht="57" customHeight="1" thickBot="1" x14ac:dyDescent="0.3">
      <c r="C129" s="16" t="s">
        <v>1</v>
      </c>
      <c r="D129" s="17" t="s">
        <v>2</v>
      </c>
      <c r="E129" s="775" t="s">
        <v>1156</v>
      </c>
      <c r="F129" s="775" t="s">
        <v>1169</v>
      </c>
      <c r="G129" s="58" t="s">
        <v>647</v>
      </c>
      <c r="H129" s="797" t="s">
        <v>3</v>
      </c>
      <c r="I129" s="58" t="s">
        <v>1261</v>
      </c>
      <c r="J129" s="58" t="s">
        <v>1236</v>
      </c>
      <c r="K129" s="61" t="s">
        <v>3</v>
      </c>
      <c r="L129" s="58" t="s">
        <v>1294</v>
      </c>
      <c r="M129" s="58" t="s">
        <v>1295</v>
      </c>
      <c r="N129" s="61" t="s">
        <v>3</v>
      </c>
      <c r="O129" s="58" t="s">
        <v>1332</v>
      </c>
      <c r="P129" s="58" t="s">
        <v>1333</v>
      </c>
      <c r="Q129" s="61" t="s">
        <v>3</v>
      </c>
      <c r="R129" s="61"/>
      <c r="S129" s="58" t="str">
        <f>S5</f>
        <v>30.06.2024. fakts</v>
      </c>
      <c r="T129" s="299" t="str">
        <f>T5</f>
        <v>30.06.2024. fakts (%) pret 2024. plānu</v>
      </c>
      <c r="U129" s="286" t="s">
        <v>4</v>
      </c>
    </row>
    <row r="130" spans="2:21" x14ac:dyDescent="0.25">
      <c r="C130" s="95" t="s">
        <v>7</v>
      </c>
      <c r="D130" s="714" t="s">
        <v>143</v>
      </c>
      <c r="E130" s="776">
        <v>11584924</v>
      </c>
      <c r="F130" s="776">
        <f t="shared" ref="F130" si="56">SUM(F131:F139)</f>
        <v>11593156</v>
      </c>
      <c r="G130" s="33">
        <f t="shared" ref="G130:G180" si="57">F130-E130</f>
        <v>8232</v>
      </c>
      <c r="H130" s="832"/>
      <c r="I130" s="33">
        <f>SUM(I131:I139)</f>
        <v>11675168</v>
      </c>
      <c r="J130" s="33">
        <f t="shared" ref="J130:J200" si="58">I130-F130</f>
        <v>82012</v>
      </c>
      <c r="K130" s="261"/>
      <c r="L130" s="33">
        <f>SUM(L131:L139)</f>
        <v>11718990</v>
      </c>
      <c r="M130" s="33">
        <f t="shared" ref="M130:M200" si="59">L130-I130</f>
        <v>43822</v>
      </c>
      <c r="N130" s="261"/>
      <c r="O130" s="33">
        <f>SUM(O131:O139)</f>
        <v>11668303</v>
      </c>
      <c r="P130" s="33">
        <f t="shared" ref="P130:P200" si="60">O130-L130</f>
        <v>-50687</v>
      </c>
      <c r="Q130" s="261"/>
      <c r="R130" s="1032"/>
      <c r="S130" s="33">
        <f>SUM(S131:S139)</f>
        <v>5259156</v>
      </c>
      <c r="T130" s="320">
        <f t="shared" ref="T130:T139" si="61">S130/O130</f>
        <v>0.45072158307853338</v>
      </c>
      <c r="U130" s="115"/>
    </row>
    <row r="131" spans="2:21" ht="31.5" customHeight="1" x14ac:dyDescent="0.25">
      <c r="B131" s="74" t="s">
        <v>212</v>
      </c>
      <c r="C131" s="96" t="s">
        <v>10</v>
      </c>
      <c r="D131" s="623" t="s">
        <v>144</v>
      </c>
      <c r="E131" s="48">
        <v>1983487</v>
      </c>
      <c r="F131" s="48">
        <f>ROUND(E131,0)</f>
        <v>1983487</v>
      </c>
      <c r="G131" s="28">
        <f t="shared" si="57"/>
        <v>0</v>
      </c>
      <c r="H131" s="818"/>
      <c r="I131" s="28">
        <f>ROUND(F131,0)</f>
        <v>1983487</v>
      </c>
      <c r="J131" s="28">
        <f t="shared" si="58"/>
        <v>0</v>
      </c>
      <c r="K131" s="242"/>
      <c r="L131" s="28">
        <f t="shared" ref="L131:L142" si="62">ROUND(I131,0)</f>
        <v>1983487</v>
      </c>
      <c r="M131" s="28">
        <f t="shared" si="59"/>
        <v>0</v>
      </c>
      <c r="N131" s="242"/>
      <c r="O131" s="28">
        <f t="shared" ref="O131:O141" si="63">ROUND(L131,0)</f>
        <v>1983487</v>
      </c>
      <c r="P131" s="28">
        <f t="shared" si="60"/>
        <v>0</v>
      </c>
      <c r="Q131" s="242"/>
      <c r="R131" s="974"/>
      <c r="S131" s="28">
        <f>4937080-S137-S138</f>
        <v>830780.73999999976</v>
      </c>
      <c r="T131" s="309">
        <f t="shared" si="61"/>
        <v>0.41884859341150193</v>
      </c>
      <c r="U131" s="114"/>
    </row>
    <row r="132" spans="2:21" x14ac:dyDescent="0.25">
      <c r="B132" s="74" t="s">
        <v>213</v>
      </c>
      <c r="C132" s="96" t="s">
        <v>12</v>
      </c>
      <c r="D132" s="623" t="s">
        <v>145</v>
      </c>
      <c r="E132" s="48">
        <v>376850</v>
      </c>
      <c r="F132" s="48">
        <f t="shared" ref="F132:F141" si="64">ROUND(E132,0)</f>
        <v>376850</v>
      </c>
      <c r="G132" s="28">
        <f t="shared" si="57"/>
        <v>0</v>
      </c>
      <c r="H132" s="365"/>
      <c r="I132" s="28">
        <f t="shared" ref="I132:I137" si="65">ROUND(F132,0)</f>
        <v>376850</v>
      </c>
      <c r="J132" s="28">
        <f t="shared" si="58"/>
        <v>0</v>
      </c>
      <c r="K132" s="262"/>
      <c r="L132" s="28">
        <f t="shared" si="62"/>
        <v>376850</v>
      </c>
      <c r="M132" s="28">
        <f t="shared" si="59"/>
        <v>0</v>
      </c>
      <c r="N132" s="262"/>
      <c r="O132" s="28">
        <f t="shared" si="63"/>
        <v>376850</v>
      </c>
      <c r="P132" s="28">
        <f t="shared" si="60"/>
        <v>0</v>
      </c>
      <c r="Q132" s="262"/>
      <c r="R132" s="971"/>
      <c r="S132" s="28">
        <v>108179</v>
      </c>
      <c r="T132" s="309">
        <f t="shared" si="61"/>
        <v>0.28706116491972933</v>
      </c>
      <c r="U132" s="114"/>
    </row>
    <row r="133" spans="2:21" ht="13.2" customHeight="1" x14ac:dyDescent="0.25">
      <c r="B133" s="74" t="s">
        <v>215</v>
      </c>
      <c r="C133" s="96" t="s">
        <v>146</v>
      </c>
      <c r="D133" s="623" t="s">
        <v>147</v>
      </c>
      <c r="E133" s="48">
        <v>62512</v>
      </c>
      <c r="F133" s="48">
        <f>ROUND(E133,0)</f>
        <v>62512</v>
      </c>
      <c r="G133" s="28">
        <f t="shared" si="57"/>
        <v>0</v>
      </c>
      <c r="H133" s="818"/>
      <c r="I133" s="28">
        <f t="shared" si="65"/>
        <v>62512</v>
      </c>
      <c r="J133" s="28">
        <f t="shared" si="58"/>
        <v>0</v>
      </c>
      <c r="K133" s="242"/>
      <c r="L133" s="28">
        <f t="shared" si="62"/>
        <v>62512</v>
      </c>
      <c r="M133" s="28">
        <f t="shared" si="59"/>
        <v>0</v>
      </c>
      <c r="N133" s="242"/>
      <c r="O133" s="28">
        <f t="shared" si="63"/>
        <v>62512</v>
      </c>
      <c r="P133" s="28">
        <f t="shared" si="60"/>
        <v>0</v>
      </c>
      <c r="Q133" s="242"/>
      <c r="R133" s="974"/>
      <c r="S133" s="28">
        <v>18812</v>
      </c>
      <c r="T133" s="309">
        <f t="shared" si="61"/>
        <v>0.30093422062963909</v>
      </c>
      <c r="U133" s="369"/>
    </row>
    <row r="134" spans="2:21" ht="14.4" customHeight="1" x14ac:dyDescent="0.25">
      <c r="B134" s="74" t="s">
        <v>216</v>
      </c>
      <c r="C134" s="96" t="s">
        <v>148</v>
      </c>
      <c r="D134" s="623" t="s">
        <v>149</v>
      </c>
      <c r="E134" s="48">
        <v>45277</v>
      </c>
      <c r="F134" s="48">
        <f t="shared" si="64"/>
        <v>45277</v>
      </c>
      <c r="G134" s="28">
        <f t="shared" si="57"/>
        <v>0</v>
      </c>
      <c r="H134" s="818"/>
      <c r="I134" s="28">
        <f t="shared" si="65"/>
        <v>45277</v>
      </c>
      <c r="J134" s="28">
        <f t="shared" si="58"/>
        <v>0</v>
      </c>
      <c r="K134" s="242"/>
      <c r="L134" s="28">
        <f t="shared" si="62"/>
        <v>45277</v>
      </c>
      <c r="M134" s="28">
        <f t="shared" si="59"/>
        <v>0</v>
      </c>
      <c r="N134" s="242"/>
      <c r="O134" s="28">
        <f t="shared" si="63"/>
        <v>45277</v>
      </c>
      <c r="P134" s="28">
        <f t="shared" si="60"/>
        <v>0</v>
      </c>
      <c r="Q134" s="242"/>
      <c r="R134" s="974"/>
      <c r="S134" s="28">
        <v>10921</v>
      </c>
      <c r="T134" s="309">
        <f t="shared" si="61"/>
        <v>0.24120414338405813</v>
      </c>
      <c r="U134" s="369"/>
    </row>
    <row r="135" spans="2:21" ht="15.6" customHeight="1" x14ac:dyDescent="0.25">
      <c r="B135" s="74" t="s">
        <v>214</v>
      </c>
      <c r="C135" s="96" t="s">
        <v>150</v>
      </c>
      <c r="D135" s="623" t="s">
        <v>151</v>
      </c>
      <c r="E135" s="48">
        <v>8040</v>
      </c>
      <c r="F135" s="48">
        <f>ROUND(E135,0)+8232</f>
        <v>16272</v>
      </c>
      <c r="G135" s="28">
        <f t="shared" si="57"/>
        <v>8232</v>
      </c>
      <c r="H135" s="870" t="s">
        <v>1207</v>
      </c>
      <c r="I135" s="28">
        <f t="shared" si="65"/>
        <v>16272</v>
      </c>
      <c r="J135" s="28">
        <f t="shared" si="58"/>
        <v>0</v>
      </c>
      <c r="K135" s="262"/>
      <c r="L135" s="28">
        <f>ROUND(I135,0)+50781</f>
        <v>67053</v>
      </c>
      <c r="M135" s="28">
        <f t="shared" si="59"/>
        <v>50781</v>
      </c>
      <c r="N135" s="262" t="s">
        <v>1297</v>
      </c>
      <c r="O135" s="28">
        <f t="shared" si="63"/>
        <v>67053</v>
      </c>
      <c r="P135" s="28">
        <f t="shared" si="60"/>
        <v>0</v>
      </c>
      <c r="Q135" s="262"/>
      <c r="R135" s="971"/>
      <c r="S135" s="28">
        <v>31800</v>
      </c>
      <c r="T135" s="309">
        <f t="shared" si="61"/>
        <v>0.47425171133282629</v>
      </c>
      <c r="U135" s="369"/>
    </row>
    <row r="136" spans="2:21" ht="14.4" customHeight="1" x14ac:dyDescent="0.25">
      <c r="B136" s="74" t="s">
        <v>217</v>
      </c>
      <c r="C136" s="96" t="s">
        <v>152</v>
      </c>
      <c r="D136" s="623" t="s">
        <v>243</v>
      </c>
      <c r="E136" s="48">
        <v>53045</v>
      </c>
      <c r="F136" s="48">
        <f t="shared" si="64"/>
        <v>53045</v>
      </c>
      <c r="G136" s="28">
        <f t="shared" si="57"/>
        <v>0</v>
      </c>
      <c r="H136" s="365"/>
      <c r="I136" s="28">
        <f>ROUND(F136,0)</f>
        <v>53045</v>
      </c>
      <c r="J136" s="28">
        <f t="shared" si="58"/>
        <v>0</v>
      </c>
      <c r="K136" s="262"/>
      <c r="L136" s="28">
        <f t="shared" si="62"/>
        <v>53045</v>
      </c>
      <c r="M136" s="28">
        <f t="shared" si="59"/>
        <v>0</v>
      </c>
      <c r="N136" s="262"/>
      <c r="O136" s="28">
        <f t="shared" si="63"/>
        <v>53045</v>
      </c>
      <c r="P136" s="28">
        <f t="shared" si="60"/>
        <v>0</v>
      </c>
      <c r="Q136" s="262"/>
      <c r="R136" s="971"/>
      <c r="S136" s="28">
        <v>14556</v>
      </c>
      <c r="T136" s="309">
        <f t="shared" si="61"/>
        <v>0.27440852106701857</v>
      </c>
      <c r="U136" s="369"/>
    </row>
    <row r="137" spans="2:21" ht="45.6" customHeight="1" x14ac:dyDescent="0.25">
      <c r="B137" s="74" t="s">
        <v>212</v>
      </c>
      <c r="C137" s="96" t="s">
        <v>153</v>
      </c>
      <c r="D137" s="623" t="s">
        <v>155</v>
      </c>
      <c r="E137" s="48">
        <v>2229302</v>
      </c>
      <c r="F137" s="48">
        <f t="shared" si="64"/>
        <v>2229302</v>
      </c>
      <c r="G137" s="28">
        <f t="shared" si="57"/>
        <v>0</v>
      </c>
      <c r="H137" s="833"/>
      <c r="I137" s="28">
        <f t="shared" si="65"/>
        <v>2229302</v>
      </c>
      <c r="J137" s="28">
        <f t="shared" si="58"/>
        <v>0</v>
      </c>
      <c r="K137" s="263"/>
      <c r="L137" s="28">
        <f t="shared" si="62"/>
        <v>2229302</v>
      </c>
      <c r="M137" s="28">
        <f t="shared" si="59"/>
        <v>0</v>
      </c>
      <c r="N137" s="263"/>
      <c r="O137" s="28">
        <f>ROUND(L137,0)-50687</f>
        <v>2178615</v>
      </c>
      <c r="P137" s="28">
        <f t="shared" si="60"/>
        <v>-50687</v>
      </c>
      <c r="Q137" s="263" t="s">
        <v>1356</v>
      </c>
      <c r="R137" s="974"/>
      <c r="S137" s="28">
        <v>1074399.57</v>
      </c>
      <c r="T137" s="309">
        <f t="shared" si="61"/>
        <v>0.49315715259465304</v>
      </c>
      <c r="U137" s="369"/>
    </row>
    <row r="138" spans="2:21" ht="13.95" customHeight="1" x14ac:dyDescent="0.25">
      <c r="B138" s="74" t="s">
        <v>212</v>
      </c>
      <c r="C138" s="96" t="s">
        <v>154</v>
      </c>
      <c r="D138" s="623" t="s">
        <v>156</v>
      </c>
      <c r="E138" s="48">
        <v>6416104</v>
      </c>
      <c r="F138" s="48">
        <f t="shared" si="64"/>
        <v>6416104</v>
      </c>
      <c r="G138" s="28">
        <f t="shared" si="57"/>
        <v>0</v>
      </c>
      <c r="H138" s="365"/>
      <c r="I138" s="28">
        <f>ROUND(F138,0)+61071+20941</f>
        <v>6498116</v>
      </c>
      <c r="J138" s="28">
        <f t="shared" si="58"/>
        <v>82012</v>
      </c>
      <c r="K138" s="242" t="s">
        <v>1242</v>
      </c>
      <c r="L138" s="28">
        <f t="shared" si="62"/>
        <v>6498116</v>
      </c>
      <c r="M138" s="28">
        <f t="shared" si="59"/>
        <v>0</v>
      </c>
      <c r="N138" s="262"/>
      <c r="O138" s="28">
        <f t="shared" si="63"/>
        <v>6498116</v>
      </c>
      <c r="P138" s="28">
        <f t="shared" si="60"/>
        <v>0</v>
      </c>
      <c r="Q138" s="262"/>
      <c r="R138" s="971"/>
      <c r="S138" s="28">
        <v>3031899.69</v>
      </c>
      <c r="T138" s="309">
        <f t="shared" si="61"/>
        <v>0.46658134296155995</v>
      </c>
      <c r="U138" s="369"/>
    </row>
    <row r="139" spans="2:21" ht="42.6" customHeight="1" x14ac:dyDescent="0.25">
      <c r="B139" s="74" t="s">
        <v>362</v>
      </c>
      <c r="C139" s="96" t="s">
        <v>301</v>
      </c>
      <c r="D139" s="623" t="s">
        <v>331</v>
      </c>
      <c r="E139" s="48">
        <v>410307</v>
      </c>
      <c r="F139" s="48">
        <f>ROUND(E139,0)</f>
        <v>410307</v>
      </c>
      <c r="G139" s="264">
        <f t="shared" si="57"/>
        <v>0</v>
      </c>
      <c r="H139" s="834"/>
      <c r="I139" s="28">
        <f>ROUND(F139,0)</f>
        <v>410307</v>
      </c>
      <c r="J139" s="264">
        <f t="shared" si="58"/>
        <v>0</v>
      </c>
      <c r="K139" s="265"/>
      <c r="L139" s="28">
        <f>ROUND(I139,0)-6959</f>
        <v>403348</v>
      </c>
      <c r="M139" s="264">
        <f t="shared" si="59"/>
        <v>-6959</v>
      </c>
      <c r="N139" s="265" t="s">
        <v>1289</v>
      </c>
      <c r="O139" s="28">
        <f t="shared" si="63"/>
        <v>403348</v>
      </c>
      <c r="P139" s="264">
        <f t="shared" si="60"/>
        <v>0</v>
      </c>
      <c r="Q139" s="265"/>
      <c r="R139" s="974"/>
      <c r="S139" s="28">
        <v>137808</v>
      </c>
      <c r="T139" s="309">
        <f t="shared" si="61"/>
        <v>0.34166030326169955</v>
      </c>
      <c r="U139" s="369"/>
    </row>
    <row r="140" spans="2:21" x14ac:dyDescent="0.25">
      <c r="C140" s="97" t="s">
        <v>15</v>
      </c>
      <c r="D140" s="644" t="s">
        <v>157</v>
      </c>
      <c r="E140" s="761">
        <v>0</v>
      </c>
      <c r="F140" s="761">
        <f t="shared" si="64"/>
        <v>0</v>
      </c>
      <c r="G140" s="23">
        <f t="shared" si="57"/>
        <v>0</v>
      </c>
      <c r="H140" s="802"/>
      <c r="I140" s="23">
        <f>ROUND(F140,0)</f>
        <v>0</v>
      </c>
      <c r="J140" s="23">
        <f t="shared" si="58"/>
        <v>0</v>
      </c>
      <c r="K140" s="226"/>
      <c r="L140" s="23">
        <f t="shared" si="62"/>
        <v>0</v>
      </c>
      <c r="M140" s="23">
        <f t="shared" si="59"/>
        <v>0</v>
      </c>
      <c r="N140" s="226"/>
      <c r="O140" s="23">
        <f t="shared" si="63"/>
        <v>0</v>
      </c>
      <c r="P140" s="23">
        <f t="shared" si="60"/>
        <v>0</v>
      </c>
      <c r="Q140" s="226"/>
      <c r="R140" s="1016"/>
      <c r="S140" s="23">
        <f>ROUND(H140,0)</f>
        <v>0</v>
      </c>
      <c r="T140" s="297"/>
      <c r="U140" s="368"/>
    </row>
    <row r="141" spans="2:21" ht="13.95" customHeight="1" x14ac:dyDescent="0.25">
      <c r="B141" s="74" t="s">
        <v>220</v>
      </c>
      <c r="C141" s="96" t="s">
        <v>18</v>
      </c>
      <c r="D141" s="623" t="s">
        <v>158</v>
      </c>
      <c r="E141" s="48">
        <v>0</v>
      </c>
      <c r="F141" s="48">
        <f t="shared" si="64"/>
        <v>0</v>
      </c>
      <c r="G141" s="28">
        <f t="shared" si="57"/>
        <v>0</v>
      </c>
      <c r="H141" s="365"/>
      <c r="I141" s="28">
        <f>ROUND(F141,0)</f>
        <v>0</v>
      </c>
      <c r="J141" s="28">
        <f t="shared" si="58"/>
        <v>0</v>
      </c>
      <c r="K141" s="262"/>
      <c r="L141" s="28">
        <f t="shared" si="62"/>
        <v>0</v>
      </c>
      <c r="M141" s="28">
        <f t="shared" si="59"/>
        <v>0</v>
      </c>
      <c r="N141" s="262"/>
      <c r="O141" s="28">
        <f t="shared" si="63"/>
        <v>0</v>
      </c>
      <c r="P141" s="28">
        <f t="shared" si="60"/>
        <v>0</v>
      </c>
      <c r="Q141" s="262"/>
      <c r="R141" s="971"/>
      <c r="S141" s="28">
        <v>0</v>
      </c>
      <c r="T141" s="309"/>
      <c r="U141" s="921"/>
    </row>
    <row r="142" spans="2:21" ht="29.4" customHeight="1" collapsed="1" x14ac:dyDescent="0.25">
      <c r="B142" s="74" t="s">
        <v>219</v>
      </c>
      <c r="C142" s="97" t="s">
        <v>23</v>
      </c>
      <c r="D142" s="644" t="s">
        <v>159</v>
      </c>
      <c r="E142" s="761">
        <v>1032367.7769225</v>
      </c>
      <c r="F142" s="761">
        <f>ROUND(E142,0)+645</f>
        <v>1033013</v>
      </c>
      <c r="G142" s="23">
        <f t="shared" si="57"/>
        <v>645.22307750000618</v>
      </c>
      <c r="H142" s="807" t="s">
        <v>1191</v>
      </c>
      <c r="I142" s="23">
        <f>ROUND(F142,0)+13315</f>
        <v>1046328</v>
      </c>
      <c r="J142" s="23">
        <f t="shared" si="58"/>
        <v>13315</v>
      </c>
      <c r="K142" s="231" t="s">
        <v>1244</v>
      </c>
      <c r="L142" s="23">
        <f t="shared" si="62"/>
        <v>1046328</v>
      </c>
      <c r="M142" s="23">
        <f t="shared" si="59"/>
        <v>0</v>
      </c>
      <c r="N142" s="231"/>
      <c r="O142" s="23">
        <f>ROUND(L142,0)-102</f>
        <v>1046226</v>
      </c>
      <c r="P142" s="23">
        <f t="shared" si="60"/>
        <v>-102</v>
      </c>
      <c r="Q142" s="231" t="s">
        <v>1344</v>
      </c>
      <c r="R142" s="1019"/>
      <c r="S142" s="23">
        <v>425406</v>
      </c>
      <c r="T142" s="297">
        <f t="shared" ref="T142:T156" si="66">S142/O142</f>
        <v>0.40661004410137008</v>
      </c>
      <c r="U142" s="912"/>
    </row>
    <row r="143" spans="2:21" s="29" customFormat="1" ht="16.95" customHeight="1" x14ac:dyDescent="0.25">
      <c r="C143" s="97" t="s">
        <v>31</v>
      </c>
      <c r="D143" s="644" t="s">
        <v>385</v>
      </c>
      <c r="E143" s="761">
        <v>521949.07229136</v>
      </c>
      <c r="F143" s="761">
        <f t="shared" ref="F143" si="67">F144+F147</f>
        <v>583582</v>
      </c>
      <c r="G143" s="23">
        <f t="shared" si="57"/>
        <v>61632.927708639996</v>
      </c>
      <c r="H143" s="807"/>
      <c r="I143" s="23">
        <f>I144+I147</f>
        <v>587548</v>
      </c>
      <c r="J143" s="23">
        <f t="shared" si="58"/>
        <v>3966</v>
      </c>
      <c r="K143" s="231"/>
      <c r="L143" s="23">
        <f>L144+L147</f>
        <v>587548</v>
      </c>
      <c r="M143" s="23">
        <f t="shared" si="59"/>
        <v>0</v>
      </c>
      <c r="N143" s="231"/>
      <c r="O143" s="23">
        <f>O144+O147</f>
        <v>587548</v>
      </c>
      <c r="P143" s="23">
        <f t="shared" si="60"/>
        <v>0</v>
      </c>
      <c r="Q143" s="231"/>
      <c r="R143" s="1019"/>
      <c r="S143" s="23">
        <f>S144+S147</f>
        <v>283887</v>
      </c>
      <c r="T143" s="297">
        <f t="shared" si="66"/>
        <v>0.4831724386773506</v>
      </c>
      <c r="U143" s="368"/>
    </row>
    <row r="144" spans="2:21" x14ac:dyDescent="0.25">
      <c r="B144" s="74" t="s">
        <v>218</v>
      </c>
      <c r="C144" s="96" t="s">
        <v>34</v>
      </c>
      <c r="D144" s="623" t="s">
        <v>160</v>
      </c>
      <c r="E144" s="48">
        <v>179686.07229136</v>
      </c>
      <c r="F144" s="48">
        <f>SUM(F145:F146)</f>
        <v>179686</v>
      </c>
      <c r="G144" s="28">
        <f t="shared" ref="G144" si="68">SUM(G145:G146)</f>
        <v>-7.2291360003873706E-2</v>
      </c>
      <c r="H144" s="369"/>
      <c r="I144" s="28">
        <f>SUM(I145:I146)</f>
        <v>179686</v>
      </c>
      <c r="J144" s="28">
        <f t="shared" si="58"/>
        <v>0</v>
      </c>
      <c r="K144" s="28"/>
      <c r="L144" s="28">
        <f>SUM(L145:L146)</f>
        <v>179686</v>
      </c>
      <c r="M144" s="28">
        <f t="shared" si="59"/>
        <v>0</v>
      </c>
      <c r="N144" s="28"/>
      <c r="O144" s="28">
        <f>SUM(O145:O146)</f>
        <v>179686</v>
      </c>
      <c r="P144" s="28">
        <f t="shared" si="60"/>
        <v>0</v>
      </c>
      <c r="Q144" s="28"/>
      <c r="R144" s="968"/>
      <c r="S144" s="28">
        <f>SUM(S145:S146)</f>
        <v>78521</v>
      </c>
      <c r="T144" s="309">
        <f t="shared" si="66"/>
        <v>0.43699008269982081</v>
      </c>
      <c r="U144" s="369"/>
    </row>
    <row r="145" spans="2:21" ht="27.6" x14ac:dyDescent="0.25">
      <c r="B145" s="74" t="s">
        <v>218</v>
      </c>
      <c r="C145" s="98" t="s">
        <v>501</v>
      </c>
      <c r="D145" s="621" t="s">
        <v>446</v>
      </c>
      <c r="E145" s="762">
        <v>150459.07229136</v>
      </c>
      <c r="F145" s="762">
        <f>ROUND(E145,0)</f>
        <v>150459</v>
      </c>
      <c r="G145" s="68">
        <f t="shared" si="57"/>
        <v>-7.2291360003873706E-2</v>
      </c>
      <c r="H145" s="809"/>
      <c r="I145" s="21">
        <f>ROUND(F145,0)-3283-544</f>
        <v>146632</v>
      </c>
      <c r="J145" s="68">
        <f t="shared" si="58"/>
        <v>-3827</v>
      </c>
      <c r="K145" s="1073" t="s">
        <v>1234</v>
      </c>
      <c r="L145" s="21">
        <f>ROUND(I145,0)-660</f>
        <v>145972</v>
      </c>
      <c r="M145" s="68">
        <f t="shared" si="59"/>
        <v>-660</v>
      </c>
      <c r="N145" s="241" t="s">
        <v>1299</v>
      </c>
      <c r="O145" s="21">
        <f>ROUND(L145,0)</f>
        <v>145972</v>
      </c>
      <c r="P145" s="68">
        <f t="shared" si="60"/>
        <v>0</v>
      </c>
      <c r="Q145" s="233"/>
      <c r="R145" s="1015"/>
      <c r="S145" s="21">
        <v>60752</v>
      </c>
      <c r="T145" s="298">
        <f t="shared" si="66"/>
        <v>0.41618940618748801</v>
      </c>
      <c r="U145" s="22"/>
    </row>
    <row r="146" spans="2:21" ht="15.6" customHeight="1" x14ac:dyDescent="0.25">
      <c r="B146" s="74"/>
      <c r="C146" s="98" t="s">
        <v>502</v>
      </c>
      <c r="D146" s="715" t="s">
        <v>500</v>
      </c>
      <c r="E146" s="768">
        <v>29227</v>
      </c>
      <c r="F146" s="762">
        <f>ROUND(E146,0)</f>
        <v>29227</v>
      </c>
      <c r="G146" s="68">
        <f t="shared" si="57"/>
        <v>0</v>
      </c>
      <c r="H146" s="835"/>
      <c r="I146" s="21">
        <f>ROUND(F146,0)+3283+544</f>
        <v>33054</v>
      </c>
      <c r="J146" s="109">
        <f t="shared" si="58"/>
        <v>3827</v>
      </c>
      <c r="K146" s="1074"/>
      <c r="L146" s="21">
        <f>ROUND(I146,0)+660</f>
        <v>33714</v>
      </c>
      <c r="M146" s="109">
        <f t="shared" si="59"/>
        <v>660</v>
      </c>
      <c r="N146" s="239"/>
      <c r="O146" s="21">
        <f>ROUND(L146,0)</f>
        <v>33714</v>
      </c>
      <c r="P146" s="109">
        <f t="shared" si="60"/>
        <v>0</v>
      </c>
      <c r="Q146" s="239"/>
      <c r="R146" s="1015"/>
      <c r="S146" s="21">
        <v>17769</v>
      </c>
      <c r="T146" s="310">
        <f t="shared" si="66"/>
        <v>0.52705107670403983</v>
      </c>
      <c r="U146" s="371"/>
    </row>
    <row r="147" spans="2:21" ht="27.6" x14ac:dyDescent="0.25">
      <c r="B147" s="74" t="s">
        <v>451</v>
      </c>
      <c r="C147" s="96" t="s">
        <v>36</v>
      </c>
      <c r="D147" s="636" t="s">
        <v>302</v>
      </c>
      <c r="E147" s="48">
        <v>342263</v>
      </c>
      <c r="F147" s="48">
        <f>ROUND(E147,0)+1093+59292+1248</f>
        <v>403896</v>
      </c>
      <c r="G147" s="111">
        <f t="shared" si="57"/>
        <v>61633</v>
      </c>
      <c r="H147" s="281" t="s">
        <v>1202</v>
      </c>
      <c r="I147" s="28">
        <f>ROUND(F147,0)+3966</f>
        <v>407862</v>
      </c>
      <c r="J147" s="111">
        <f t="shared" si="58"/>
        <v>3966</v>
      </c>
      <c r="K147" s="28" t="s">
        <v>1238</v>
      </c>
      <c r="L147" s="28">
        <f>ROUND(I147,0)</f>
        <v>407862</v>
      </c>
      <c r="M147" s="111">
        <f t="shared" si="59"/>
        <v>0</v>
      </c>
      <c r="N147" s="28"/>
      <c r="O147" s="28">
        <f>ROUND(L147,0)</f>
        <v>407862</v>
      </c>
      <c r="P147" s="111">
        <f t="shared" si="60"/>
        <v>0</v>
      </c>
      <c r="Q147" s="28"/>
      <c r="R147" s="968"/>
      <c r="S147" s="28">
        <v>205366</v>
      </c>
      <c r="T147" s="309">
        <f t="shared" si="66"/>
        <v>0.50351834689184083</v>
      </c>
      <c r="U147" s="28" t="s">
        <v>650</v>
      </c>
    </row>
    <row r="148" spans="2:21" x14ac:dyDescent="0.25">
      <c r="C148" s="97" t="s">
        <v>37</v>
      </c>
      <c r="D148" s="644" t="s">
        <v>387</v>
      </c>
      <c r="E148" s="761">
        <v>70000</v>
      </c>
      <c r="F148" s="761">
        <f t="shared" ref="F148" si="69">F149</f>
        <v>174970</v>
      </c>
      <c r="G148" s="23">
        <f t="shared" si="57"/>
        <v>104970</v>
      </c>
      <c r="H148" s="802"/>
      <c r="I148" s="23">
        <f>I149</f>
        <v>174970</v>
      </c>
      <c r="J148" s="23">
        <f t="shared" si="58"/>
        <v>0</v>
      </c>
      <c r="K148" s="226"/>
      <c r="L148" s="23">
        <f>L149</f>
        <v>174970</v>
      </c>
      <c r="M148" s="23">
        <f t="shared" si="59"/>
        <v>0</v>
      </c>
      <c r="N148" s="226"/>
      <c r="O148" s="23">
        <f>O149</f>
        <v>174970</v>
      </c>
      <c r="P148" s="23">
        <f t="shared" si="60"/>
        <v>0</v>
      </c>
      <c r="Q148" s="226"/>
      <c r="R148" s="1016"/>
      <c r="S148" s="23">
        <f>S149</f>
        <v>5438</v>
      </c>
      <c r="T148" s="297">
        <f t="shared" si="66"/>
        <v>3.1079613648053953E-2</v>
      </c>
      <c r="U148" s="368"/>
    </row>
    <row r="149" spans="2:21" ht="16.2" customHeight="1" x14ac:dyDescent="0.25">
      <c r="B149" s="74" t="s">
        <v>450</v>
      </c>
      <c r="C149" s="96" t="s">
        <v>162</v>
      </c>
      <c r="D149" s="623" t="s">
        <v>386</v>
      </c>
      <c r="E149" s="48">
        <v>70000</v>
      </c>
      <c r="F149" s="48">
        <f>ROUND(E149,0)+104970</f>
        <v>174970</v>
      </c>
      <c r="G149" s="28">
        <f t="shared" si="57"/>
        <v>104970</v>
      </c>
      <c r="H149" s="242" t="s">
        <v>615</v>
      </c>
      <c r="I149" s="28">
        <f>ROUND(F149,0)</f>
        <v>174970</v>
      </c>
      <c r="J149" s="28">
        <f t="shared" si="58"/>
        <v>0</v>
      </c>
      <c r="K149" s="242"/>
      <c r="L149" s="28">
        <f>ROUND(I149,0)</f>
        <v>174970</v>
      </c>
      <c r="M149" s="28">
        <f t="shared" si="59"/>
        <v>0</v>
      </c>
      <c r="N149" s="242"/>
      <c r="O149" s="28">
        <f>ROUND(L149,0)</f>
        <v>174970</v>
      </c>
      <c r="P149" s="28">
        <f t="shared" si="60"/>
        <v>0</v>
      </c>
      <c r="Q149" s="242"/>
      <c r="R149" s="974"/>
      <c r="S149" s="28">
        <v>5438</v>
      </c>
      <c r="T149" s="309">
        <f t="shared" si="66"/>
        <v>3.1079613648053953E-2</v>
      </c>
      <c r="U149" s="28" t="s">
        <v>1268</v>
      </c>
    </row>
    <row r="150" spans="2:21" ht="27.6" x14ac:dyDescent="0.25">
      <c r="C150" s="97" t="s">
        <v>40</v>
      </c>
      <c r="D150" s="644" t="s">
        <v>161</v>
      </c>
      <c r="E150" s="761">
        <v>14182678.841957785</v>
      </c>
      <c r="F150" s="761">
        <f t="shared" ref="F150" si="70">F151+F152+F153+F154+F172</f>
        <v>14286414</v>
      </c>
      <c r="G150" s="23">
        <f>G152+G153+G154+G172</f>
        <v>103735.15804221481</v>
      </c>
      <c r="H150" s="368"/>
      <c r="I150" s="23">
        <f>I151+I152+I153+I154+I172</f>
        <v>14591725</v>
      </c>
      <c r="J150" s="23">
        <f t="shared" si="58"/>
        <v>305311</v>
      </c>
      <c r="K150" s="23"/>
      <c r="L150" s="23">
        <f>L151+L152+L153+L154+L172</f>
        <v>14665800</v>
      </c>
      <c r="M150" s="23">
        <f t="shared" si="59"/>
        <v>74075</v>
      </c>
      <c r="N150" s="23"/>
      <c r="O150" s="23">
        <f>O151+O152+O153+O154+O172</f>
        <v>15381807</v>
      </c>
      <c r="P150" s="23">
        <f t="shared" si="60"/>
        <v>716007</v>
      </c>
      <c r="Q150" s="23"/>
      <c r="R150" s="1021"/>
      <c r="S150" s="23">
        <f>S151+S152+S153+S154+S172</f>
        <v>5832356</v>
      </c>
      <c r="T150" s="297">
        <f t="shared" si="66"/>
        <v>0.37917235601772925</v>
      </c>
      <c r="U150" s="368"/>
    </row>
    <row r="151" spans="2:21" ht="15.6" customHeight="1" x14ac:dyDescent="0.25">
      <c r="B151" s="74" t="s">
        <v>220</v>
      </c>
      <c r="C151" s="96" t="s">
        <v>43</v>
      </c>
      <c r="D151" s="660" t="s">
        <v>158</v>
      </c>
      <c r="E151" s="777">
        <v>70000</v>
      </c>
      <c r="F151" s="48">
        <f>ROUND(E151,0)</f>
        <v>70000</v>
      </c>
      <c r="G151" s="28">
        <f>F151-E151</f>
        <v>0</v>
      </c>
      <c r="H151" s="365"/>
      <c r="I151" s="28">
        <f>ROUND(F151,0)</f>
        <v>70000</v>
      </c>
      <c r="J151" s="28">
        <f t="shared" si="58"/>
        <v>0</v>
      </c>
      <c r="K151" s="262"/>
      <c r="L151" s="28">
        <f>ROUND(I151,0)</f>
        <v>70000</v>
      </c>
      <c r="M151" s="28">
        <f t="shared" si="59"/>
        <v>0</v>
      </c>
      <c r="N151" s="262"/>
      <c r="O151" s="28">
        <f>ROUND(L151,0)</f>
        <v>70000</v>
      </c>
      <c r="P151" s="28">
        <f t="shared" si="60"/>
        <v>0</v>
      </c>
      <c r="Q151" s="262"/>
      <c r="R151" s="971"/>
      <c r="S151" s="28">
        <f>ROUND(H151,0)</f>
        <v>0</v>
      </c>
      <c r="T151" s="309">
        <f t="shared" si="66"/>
        <v>0</v>
      </c>
      <c r="U151" s="921"/>
    </row>
    <row r="152" spans="2:21" ht="14.25" customHeight="1" x14ac:dyDescent="0.25">
      <c r="B152" s="74" t="s">
        <v>488</v>
      </c>
      <c r="C152" s="96" t="s">
        <v>53</v>
      </c>
      <c r="D152" s="660" t="s">
        <v>163</v>
      </c>
      <c r="E152" s="777">
        <v>330452</v>
      </c>
      <c r="F152" s="777">
        <f>ROUND(E152,0)</f>
        <v>330452</v>
      </c>
      <c r="G152" s="34">
        <f t="shared" si="57"/>
        <v>0</v>
      </c>
      <c r="H152" s="818"/>
      <c r="I152" s="34">
        <f>ROUND(F152,0)</f>
        <v>330452</v>
      </c>
      <c r="J152" s="34">
        <f t="shared" si="58"/>
        <v>0</v>
      </c>
      <c r="K152" s="291"/>
      <c r="L152" s="34">
        <f>ROUND(I152,0)</f>
        <v>330452</v>
      </c>
      <c r="M152" s="34">
        <f t="shared" si="59"/>
        <v>0</v>
      </c>
      <c r="N152" s="291"/>
      <c r="O152" s="34">
        <f>ROUND(L152,0)</f>
        <v>330452</v>
      </c>
      <c r="P152" s="34">
        <f t="shared" si="60"/>
        <v>0</v>
      </c>
      <c r="Q152" s="291"/>
      <c r="R152" s="1033"/>
      <c r="S152" s="34">
        <v>121565</v>
      </c>
      <c r="T152" s="321">
        <f t="shared" si="66"/>
        <v>0.36787491072833572</v>
      </c>
      <c r="U152" s="921"/>
    </row>
    <row r="153" spans="2:21" ht="16.2" customHeight="1" x14ac:dyDescent="0.25">
      <c r="B153" s="74" t="s">
        <v>499</v>
      </c>
      <c r="C153" s="96" t="s">
        <v>168</v>
      </c>
      <c r="D153" s="660" t="s">
        <v>366</v>
      </c>
      <c r="E153" s="777">
        <v>393055</v>
      </c>
      <c r="F153" s="777">
        <f>ROUND(E153,0)</f>
        <v>393055</v>
      </c>
      <c r="G153" s="155">
        <f t="shared" si="57"/>
        <v>0</v>
      </c>
      <c r="H153" s="876"/>
      <c r="I153" s="34">
        <f>ROUND(F153,0)</f>
        <v>393055</v>
      </c>
      <c r="J153" s="155">
        <f t="shared" si="58"/>
        <v>0</v>
      </c>
      <c r="K153" s="242"/>
      <c r="L153" s="34">
        <f>ROUND(I153,0)</f>
        <v>393055</v>
      </c>
      <c r="M153" s="155">
        <f t="shared" si="59"/>
        <v>0</v>
      </c>
      <c r="N153" s="242"/>
      <c r="O153" s="34">
        <f>ROUND(L153,0)</f>
        <v>393055</v>
      </c>
      <c r="P153" s="155">
        <f t="shared" si="60"/>
        <v>0</v>
      </c>
      <c r="Q153" s="242"/>
      <c r="R153" s="974"/>
      <c r="S153" s="34">
        <v>142640</v>
      </c>
      <c r="T153" s="321">
        <f t="shared" si="66"/>
        <v>0.36290086629097706</v>
      </c>
      <c r="U153" s="921"/>
    </row>
    <row r="154" spans="2:21" x14ac:dyDescent="0.25">
      <c r="C154" s="96" t="s">
        <v>170</v>
      </c>
      <c r="D154" s="660" t="s">
        <v>367</v>
      </c>
      <c r="E154" s="777">
        <v>1839370</v>
      </c>
      <c r="F154" s="777">
        <f t="shared" ref="F154:G154" si="71">SUM(F155:F171)</f>
        <v>1839370</v>
      </c>
      <c r="G154" s="34">
        <f t="shared" si="71"/>
        <v>0</v>
      </c>
      <c r="H154" s="611"/>
      <c r="I154" s="34">
        <f>SUM(I155:I171)</f>
        <v>1841370</v>
      </c>
      <c r="J154" s="34">
        <f t="shared" si="58"/>
        <v>2000</v>
      </c>
      <c r="K154" s="34"/>
      <c r="L154" s="34">
        <f>SUM(L155:L171)</f>
        <v>1834021</v>
      </c>
      <c r="M154" s="34">
        <f t="shared" si="59"/>
        <v>-7349</v>
      </c>
      <c r="N154" s="34"/>
      <c r="O154" s="34">
        <f>SUM(O155:O171)</f>
        <v>1862424</v>
      </c>
      <c r="P154" s="34">
        <f t="shared" si="60"/>
        <v>28403</v>
      </c>
      <c r="Q154" s="34"/>
      <c r="R154" s="1034"/>
      <c r="S154" s="34">
        <f>SUM(S155:S171)</f>
        <v>330018</v>
      </c>
      <c r="T154" s="321">
        <f t="shared" si="66"/>
        <v>0.17719810311722786</v>
      </c>
      <c r="U154" s="611"/>
    </row>
    <row r="155" spans="2:21" ht="33" customHeight="1" x14ac:dyDescent="0.25">
      <c r="B155" s="74" t="s">
        <v>221</v>
      </c>
      <c r="C155" s="98" t="s">
        <v>388</v>
      </c>
      <c r="D155" s="619" t="s">
        <v>164</v>
      </c>
      <c r="E155" s="762">
        <v>696938</v>
      </c>
      <c r="F155" s="762">
        <f>ROUND(E155,0)</f>
        <v>696938</v>
      </c>
      <c r="G155" s="21">
        <f t="shared" si="57"/>
        <v>0</v>
      </c>
      <c r="H155" s="836"/>
      <c r="I155" s="21">
        <f>ROUND(F155,0)+2000</f>
        <v>698938</v>
      </c>
      <c r="J155" s="21">
        <f t="shared" si="58"/>
        <v>2000</v>
      </c>
      <c r="K155" s="267" t="s">
        <v>1243</v>
      </c>
      <c r="L155" s="21">
        <f>ROUND(I155,0)-7349+5000+26640</f>
        <v>723229</v>
      </c>
      <c r="M155" s="21">
        <f t="shared" si="59"/>
        <v>24291</v>
      </c>
      <c r="N155" s="267" t="s">
        <v>1301</v>
      </c>
      <c r="O155" s="21">
        <f>ROUND(L155,0)-5801-44284-3347</f>
        <v>669797</v>
      </c>
      <c r="P155" s="21">
        <f t="shared" si="60"/>
        <v>-53432</v>
      </c>
      <c r="Q155" s="290" t="s">
        <v>1358</v>
      </c>
      <c r="R155" s="907"/>
      <c r="S155" s="21">
        <f>176797+11592+86-S163-S164-S165-S166-S168-S169</f>
        <v>188475</v>
      </c>
      <c r="T155" s="302">
        <f t="shared" si="66"/>
        <v>0.28139122749131451</v>
      </c>
      <c r="U155" s="924" t="s">
        <v>1404</v>
      </c>
    </row>
    <row r="156" spans="2:21" ht="18.600000000000001" customHeight="1" x14ac:dyDescent="0.25">
      <c r="B156" s="74" t="s">
        <v>508</v>
      </c>
      <c r="C156" s="98" t="s">
        <v>389</v>
      </c>
      <c r="D156" s="619" t="s">
        <v>305</v>
      </c>
      <c r="E156" s="769">
        <v>40000</v>
      </c>
      <c r="F156" s="769">
        <f t="shared" ref="F156:F161" si="72">ROUND(E156,0)</f>
        <v>40000</v>
      </c>
      <c r="G156" s="68">
        <f t="shared" si="57"/>
        <v>0</v>
      </c>
      <c r="H156" s="837"/>
      <c r="I156" s="68">
        <f t="shared" ref="I156:I161" si="73">ROUND(F156,0)</f>
        <v>40000</v>
      </c>
      <c r="J156" s="68">
        <f t="shared" si="58"/>
        <v>0</v>
      </c>
      <c r="K156" s="268"/>
      <c r="L156" s="68">
        <f>ROUND(I156,0)</f>
        <v>40000</v>
      </c>
      <c r="M156" s="68">
        <f t="shared" si="59"/>
        <v>0</v>
      </c>
      <c r="N156" s="268"/>
      <c r="O156" s="68">
        <f t="shared" ref="O156:O160" si="74">ROUND(L156,0)</f>
        <v>40000</v>
      </c>
      <c r="P156" s="68">
        <f t="shared" si="60"/>
        <v>0</v>
      </c>
      <c r="Q156" s="268"/>
      <c r="R156" s="907"/>
      <c r="S156" s="68">
        <v>33783</v>
      </c>
      <c r="T156" s="975">
        <f t="shared" si="66"/>
        <v>0.84457499999999996</v>
      </c>
      <c r="U156" s="68"/>
    </row>
    <row r="157" spans="2:21" ht="16.5" customHeight="1" x14ac:dyDescent="0.25">
      <c r="B157" s="74" t="s">
        <v>508</v>
      </c>
      <c r="C157" s="98" t="s">
        <v>626</v>
      </c>
      <c r="D157" s="687" t="s">
        <v>503</v>
      </c>
      <c r="E157" s="768">
        <v>15094</v>
      </c>
      <c r="F157" s="769">
        <f t="shared" si="72"/>
        <v>15094</v>
      </c>
      <c r="G157" s="68">
        <f t="shared" si="57"/>
        <v>0</v>
      </c>
      <c r="H157" s="838"/>
      <c r="I157" s="68">
        <f t="shared" si="73"/>
        <v>15094</v>
      </c>
      <c r="J157" s="68">
        <f t="shared" si="58"/>
        <v>0</v>
      </c>
      <c r="K157" s="269"/>
      <c r="L157" s="68">
        <f>ROUND(I157,0)</f>
        <v>15094</v>
      </c>
      <c r="M157" s="68">
        <f t="shared" si="59"/>
        <v>0</v>
      </c>
      <c r="N157" s="269"/>
      <c r="O157" s="68">
        <f t="shared" si="74"/>
        <v>15094</v>
      </c>
      <c r="P157" s="68">
        <f t="shared" si="60"/>
        <v>0</v>
      </c>
      <c r="Q157" s="269"/>
      <c r="R157" s="907"/>
      <c r="S157" s="68">
        <f>42161-S156</f>
        <v>8378</v>
      </c>
      <c r="T157" s="976">
        <f>S157/F157</f>
        <v>0.55505498873724657</v>
      </c>
      <c r="U157" s="371"/>
    </row>
    <row r="158" spans="2:21" ht="28.2" customHeight="1" x14ac:dyDescent="0.25">
      <c r="B158" s="74" t="s">
        <v>580</v>
      </c>
      <c r="C158" s="158" t="s">
        <v>627</v>
      </c>
      <c r="D158" s="649" t="s">
        <v>576</v>
      </c>
      <c r="E158" s="762">
        <v>50458</v>
      </c>
      <c r="F158" s="762">
        <f>ROUND(E158,0)</f>
        <v>50458</v>
      </c>
      <c r="G158" s="21">
        <f t="shared" si="57"/>
        <v>0</v>
      </c>
      <c r="H158" s="836"/>
      <c r="I158" s="21">
        <f t="shared" si="73"/>
        <v>50458</v>
      </c>
      <c r="J158" s="21">
        <f t="shared" si="58"/>
        <v>0</v>
      </c>
      <c r="K158" s="267"/>
      <c r="L158" s="21">
        <f>ROUND(I158,0)</f>
        <v>50458</v>
      </c>
      <c r="M158" s="21">
        <f t="shared" si="59"/>
        <v>0</v>
      </c>
      <c r="N158" s="267"/>
      <c r="O158" s="21">
        <f t="shared" si="74"/>
        <v>50458</v>
      </c>
      <c r="P158" s="21">
        <f t="shared" si="60"/>
        <v>0</v>
      </c>
      <c r="Q158" s="267"/>
      <c r="R158" s="907"/>
      <c r="S158" s="21">
        <v>0</v>
      </c>
      <c r="T158" s="298">
        <f>S158/O158</f>
        <v>0</v>
      </c>
      <c r="U158" s="21" t="s">
        <v>668</v>
      </c>
    </row>
    <row r="159" spans="2:21" ht="27.75" customHeight="1" x14ac:dyDescent="0.25">
      <c r="B159" s="74" t="s">
        <v>452</v>
      </c>
      <c r="C159" s="159" t="s">
        <v>628</v>
      </c>
      <c r="D159" s="662" t="s">
        <v>373</v>
      </c>
      <c r="E159" s="762">
        <v>145650</v>
      </c>
      <c r="F159" s="762">
        <f t="shared" si="72"/>
        <v>145650</v>
      </c>
      <c r="G159" s="109">
        <f t="shared" si="57"/>
        <v>0</v>
      </c>
      <c r="H159" s="838"/>
      <c r="I159" s="21">
        <f>ROUND(F159,0)</f>
        <v>145650</v>
      </c>
      <c r="J159" s="109">
        <f t="shared" si="58"/>
        <v>0</v>
      </c>
      <c r="K159" s="269"/>
      <c r="L159" s="21">
        <f>ROUND(I159,0)-5000-26640</f>
        <v>114010</v>
      </c>
      <c r="M159" s="109">
        <f t="shared" si="59"/>
        <v>-31640</v>
      </c>
      <c r="N159" s="269" t="s">
        <v>1300</v>
      </c>
      <c r="O159" s="21">
        <f>ROUND(L159,0)+3347</f>
        <v>117357</v>
      </c>
      <c r="P159" s="109">
        <f t="shared" si="60"/>
        <v>3347</v>
      </c>
      <c r="Q159" s="269" t="s">
        <v>1355</v>
      </c>
      <c r="R159" s="907"/>
      <c r="S159" s="21">
        <v>0</v>
      </c>
      <c r="T159" s="298">
        <f>S159/O159</f>
        <v>0</v>
      </c>
      <c r="U159" s="21" t="s">
        <v>668</v>
      </c>
    </row>
    <row r="160" spans="2:21" ht="15.75" customHeight="1" x14ac:dyDescent="0.25">
      <c r="B160" s="74" t="s">
        <v>453</v>
      </c>
      <c r="C160" s="158" t="s">
        <v>390</v>
      </c>
      <c r="D160" s="662" t="s">
        <v>374</v>
      </c>
      <c r="E160" s="762">
        <v>397337</v>
      </c>
      <c r="F160" s="762">
        <f t="shared" si="72"/>
        <v>397337</v>
      </c>
      <c r="G160" s="109">
        <f t="shared" si="57"/>
        <v>0</v>
      </c>
      <c r="H160" s="838"/>
      <c r="I160" s="21">
        <f t="shared" si="73"/>
        <v>397337</v>
      </c>
      <c r="J160" s="109">
        <f t="shared" si="58"/>
        <v>0</v>
      </c>
      <c r="K160" s="269"/>
      <c r="L160" s="21">
        <f>ROUND(I160,0)</f>
        <v>397337</v>
      </c>
      <c r="M160" s="109">
        <f t="shared" si="59"/>
        <v>0</v>
      </c>
      <c r="N160" s="269"/>
      <c r="O160" s="21">
        <f t="shared" si="74"/>
        <v>397337</v>
      </c>
      <c r="P160" s="109">
        <f t="shared" si="60"/>
        <v>0</v>
      </c>
      <c r="Q160" s="269"/>
      <c r="R160" s="907"/>
      <c r="S160" s="21">
        <v>90266</v>
      </c>
      <c r="T160" s="298">
        <f>S160/O160</f>
        <v>0.22717743376529242</v>
      </c>
      <c r="U160" s="22"/>
    </row>
    <row r="161" spans="2:21" ht="15.75" customHeight="1" x14ac:dyDescent="0.25">
      <c r="B161" s="647" t="s">
        <v>1229</v>
      </c>
      <c r="C161" s="158" t="s">
        <v>391</v>
      </c>
      <c r="D161" s="648" t="s">
        <v>902</v>
      </c>
      <c r="E161" s="762">
        <v>207440</v>
      </c>
      <c r="F161" s="762">
        <f t="shared" si="72"/>
        <v>207440</v>
      </c>
      <c r="G161" s="55">
        <f t="shared" si="57"/>
        <v>0</v>
      </c>
      <c r="H161" s="817"/>
      <c r="I161" s="21">
        <f t="shared" si="73"/>
        <v>207440</v>
      </c>
      <c r="J161" s="55">
        <f t="shared" si="58"/>
        <v>0</v>
      </c>
      <c r="K161" s="241"/>
      <c r="L161" s="21">
        <f>ROUND(I161,0)</f>
        <v>207440</v>
      </c>
      <c r="M161" s="55">
        <f t="shared" si="59"/>
        <v>0</v>
      </c>
      <c r="N161" s="241"/>
      <c r="O161" s="21">
        <f>ROUND(L161,0)+22000+50687</f>
        <v>280127</v>
      </c>
      <c r="P161" s="55">
        <f t="shared" si="60"/>
        <v>72687</v>
      </c>
      <c r="Q161" s="241" t="s">
        <v>1357</v>
      </c>
      <c r="R161" s="1020"/>
      <c r="S161" s="21">
        <v>3388</v>
      </c>
      <c r="T161" s="298">
        <f>S161/O161</f>
        <v>1.2094514273882917E-2</v>
      </c>
      <c r="U161" s="21" t="s">
        <v>668</v>
      </c>
    </row>
    <row r="162" spans="2:21" ht="34.5" customHeight="1" x14ac:dyDescent="0.25">
      <c r="B162" s="74" t="s">
        <v>1272</v>
      </c>
      <c r="C162" s="158" t="s">
        <v>392</v>
      </c>
      <c r="D162" s="651" t="s">
        <v>1072</v>
      </c>
      <c r="E162" s="766">
        <v>14067</v>
      </c>
      <c r="F162" s="762">
        <f t="shared" ref="F162:F171" si="75">ROUND(E162,0)</f>
        <v>14067</v>
      </c>
      <c r="G162" s="55">
        <f t="shared" ref="G162:G168" si="76">F162-E162</f>
        <v>0</v>
      </c>
      <c r="H162" s="839"/>
      <c r="I162" s="21">
        <f t="shared" ref="I162:I168" si="77">ROUND(F162,0)</f>
        <v>14067</v>
      </c>
      <c r="J162" s="55">
        <f t="shared" ref="J162:J168" si="78">I162-F162</f>
        <v>0</v>
      </c>
      <c r="K162" s="652"/>
      <c r="L162" s="21">
        <f t="shared" ref="L162:L165" si="79">ROUND(I162,0)</f>
        <v>14067</v>
      </c>
      <c r="M162" s="55">
        <f t="shared" ref="M162:M166" si="80">L162-I162</f>
        <v>0</v>
      </c>
      <c r="N162" s="652"/>
      <c r="O162" s="21">
        <f>ROUND(L162,0)+5801</f>
        <v>19868</v>
      </c>
      <c r="P162" s="55">
        <f t="shared" ref="P162:P166" si="81">O162-L162</f>
        <v>5801</v>
      </c>
      <c r="Q162" s="652" t="s">
        <v>1359</v>
      </c>
      <c r="R162" s="1020"/>
      <c r="S162" s="219">
        <v>0</v>
      </c>
      <c r="T162" s="306">
        <f>S162/O162</f>
        <v>0</v>
      </c>
      <c r="U162" s="609"/>
    </row>
    <row r="163" spans="2:21" ht="12.75" customHeight="1" x14ac:dyDescent="0.25">
      <c r="B163" s="74" t="s">
        <v>221</v>
      </c>
      <c r="C163" s="158" t="s">
        <v>393</v>
      </c>
      <c r="D163" s="651" t="s">
        <v>1114</v>
      </c>
      <c r="E163" s="766">
        <v>7900</v>
      </c>
      <c r="F163" s="762">
        <f t="shared" si="75"/>
        <v>7900</v>
      </c>
      <c r="G163" s="55">
        <f t="shared" si="76"/>
        <v>0</v>
      </c>
      <c r="H163" s="839"/>
      <c r="I163" s="21">
        <f t="shared" si="77"/>
        <v>7900</v>
      </c>
      <c r="J163" s="55">
        <f t="shared" si="78"/>
        <v>0</v>
      </c>
      <c r="K163" s="652"/>
      <c r="L163" s="21">
        <f t="shared" si="79"/>
        <v>7900</v>
      </c>
      <c r="M163" s="55">
        <f t="shared" si="80"/>
        <v>0</v>
      </c>
      <c r="N163" s="652"/>
      <c r="O163" s="21">
        <f t="shared" ref="O163:O166" si="82">ROUND(L163,0)</f>
        <v>7900</v>
      </c>
      <c r="P163" s="55">
        <f t="shared" si="81"/>
        <v>0</v>
      </c>
      <c r="Q163" s="652"/>
      <c r="R163" s="1020"/>
      <c r="S163" s="219"/>
      <c r="T163" s="306"/>
      <c r="U163" s="609"/>
    </row>
    <row r="164" spans="2:21" ht="17.399999999999999" customHeight="1" x14ac:dyDescent="0.25">
      <c r="B164" s="74" t="s">
        <v>221</v>
      </c>
      <c r="C164" s="158" t="s">
        <v>629</v>
      </c>
      <c r="D164" s="651" t="s">
        <v>572</v>
      </c>
      <c r="E164" s="766">
        <v>9000</v>
      </c>
      <c r="F164" s="762">
        <f t="shared" si="75"/>
        <v>9000</v>
      </c>
      <c r="G164" s="55">
        <f t="shared" si="76"/>
        <v>0</v>
      </c>
      <c r="H164" s="839"/>
      <c r="I164" s="21">
        <f t="shared" si="77"/>
        <v>9000</v>
      </c>
      <c r="J164" s="55">
        <f t="shared" si="78"/>
        <v>0</v>
      </c>
      <c r="K164" s="652"/>
      <c r="L164" s="21">
        <f t="shared" si="79"/>
        <v>9000</v>
      </c>
      <c r="M164" s="55">
        <f t="shared" si="80"/>
        <v>0</v>
      </c>
      <c r="N164" s="652"/>
      <c r="O164" s="21">
        <f t="shared" si="82"/>
        <v>9000</v>
      </c>
      <c r="P164" s="55">
        <f t="shared" si="81"/>
        <v>0</v>
      </c>
      <c r="Q164" s="652"/>
      <c r="R164" s="1020"/>
      <c r="S164" s="219"/>
      <c r="T164" s="306"/>
      <c r="U164" s="609"/>
    </row>
    <row r="165" spans="2:21" ht="44.25" customHeight="1" x14ac:dyDescent="0.25">
      <c r="B165" s="74" t="s">
        <v>221</v>
      </c>
      <c r="C165" s="158" t="s">
        <v>1165</v>
      </c>
      <c r="D165" s="651" t="s">
        <v>1140</v>
      </c>
      <c r="E165" s="766">
        <v>12020</v>
      </c>
      <c r="F165" s="762">
        <f t="shared" si="75"/>
        <v>12020</v>
      </c>
      <c r="G165" s="55">
        <f t="shared" si="76"/>
        <v>0</v>
      </c>
      <c r="H165" s="839"/>
      <c r="I165" s="21">
        <f t="shared" si="77"/>
        <v>12020</v>
      </c>
      <c r="J165" s="55">
        <f t="shared" si="78"/>
        <v>0</v>
      </c>
      <c r="K165" s="652"/>
      <c r="L165" s="21">
        <f t="shared" si="79"/>
        <v>12020</v>
      </c>
      <c r="M165" s="55">
        <f t="shared" si="80"/>
        <v>0</v>
      </c>
      <c r="N165" s="652"/>
      <c r="O165" s="21">
        <f t="shared" si="82"/>
        <v>12020</v>
      </c>
      <c r="P165" s="55">
        <f t="shared" si="81"/>
        <v>0</v>
      </c>
      <c r="Q165" s="652"/>
      <c r="R165" s="1020"/>
      <c r="S165" s="219"/>
      <c r="T165" s="306">
        <f>S165/O165</f>
        <v>0</v>
      </c>
      <c r="U165" s="609"/>
    </row>
    <row r="166" spans="2:21" ht="40.950000000000003" customHeight="1" x14ac:dyDescent="0.25">
      <c r="B166" s="74" t="s">
        <v>221</v>
      </c>
      <c r="C166" s="158" t="s">
        <v>1166</v>
      </c>
      <c r="D166" s="651" t="s">
        <v>1139</v>
      </c>
      <c r="E166" s="766">
        <v>30655</v>
      </c>
      <c r="F166" s="762">
        <f t="shared" si="75"/>
        <v>30655</v>
      </c>
      <c r="G166" s="55">
        <f t="shared" si="76"/>
        <v>0</v>
      </c>
      <c r="H166" s="839"/>
      <c r="I166" s="21">
        <f t="shared" si="77"/>
        <v>30655</v>
      </c>
      <c r="J166" s="55">
        <f t="shared" si="78"/>
        <v>0</v>
      </c>
      <c r="K166" s="652"/>
      <c r="L166" s="21">
        <f>ROUND(I166,0)</f>
        <v>30655</v>
      </c>
      <c r="M166" s="55">
        <f t="shared" si="80"/>
        <v>0</v>
      </c>
      <c r="N166" s="652"/>
      <c r="O166" s="21">
        <f t="shared" si="82"/>
        <v>30655</v>
      </c>
      <c r="P166" s="55">
        <f t="shared" si="81"/>
        <v>0</v>
      </c>
      <c r="Q166" s="652"/>
      <c r="R166" s="1020"/>
      <c r="S166" s="219"/>
      <c r="T166" s="306">
        <f>S166/O166</f>
        <v>0</v>
      </c>
      <c r="U166" s="609"/>
    </row>
    <row r="167" spans="2:21" ht="16.95" customHeight="1" x14ac:dyDescent="0.25">
      <c r="B167" s="74" t="s">
        <v>904</v>
      </c>
      <c r="C167" s="158" t="s">
        <v>1167</v>
      </c>
      <c r="D167" s="651" t="s">
        <v>905</v>
      </c>
      <c r="E167" s="766">
        <v>168527</v>
      </c>
      <c r="F167" s="762">
        <f t="shared" si="75"/>
        <v>168527</v>
      </c>
      <c r="G167" s="55">
        <f t="shared" si="76"/>
        <v>0</v>
      </c>
      <c r="H167" s="839"/>
      <c r="I167" s="21">
        <f t="shared" si="77"/>
        <v>168527</v>
      </c>
      <c r="J167" s="55">
        <f t="shared" si="78"/>
        <v>0</v>
      </c>
      <c r="K167" s="652"/>
      <c r="L167" s="21">
        <f t="shared" ref="L167:L168" si="83">ROUND(I167,0)</f>
        <v>168527</v>
      </c>
      <c r="M167" s="55">
        <f t="shared" ref="M167:M168" si="84">L167-I167</f>
        <v>0</v>
      </c>
      <c r="N167" s="652"/>
      <c r="O167" s="21">
        <f t="shared" ref="O167:O171" si="85">ROUND(L167,0)</f>
        <v>168527</v>
      </c>
      <c r="P167" s="55">
        <f t="shared" ref="P167:P168" si="86">O167-L167</f>
        <v>0</v>
      </c>
      <c r="Q167" s="652"/>
      <c r="R167" s="1020"/>
      <c r="S167" s="219">
        <v>5728</v>
      </c>
      <c r="T167" s="298">
        <f>S167/O167</f>
        <v>3.398861903433871E-2</v>
      </c>
      <c r="U167" s="609"/>
    </row>
    <row r="168" spans="2:21" ht="42.6" customHeight="1" x14ac:dyDescent="0.25">
      <c r="B168" s="74" t="s">
        <v>221</v>
      </c>
      <c r="C168" s="158" t="s">
        <v>1168</v>
      </c>
      <c r="D168" s="651" t="s">
        <v>861</v>
      </c>
      <c r="E168" s="766">
        <v>44284</v>
      </c>
      <c r="F168" s="762">
        <f t="shared" si="75"/>
        <v>44284</v>
      </c>
      <c r="G168" s="55">
        <f t="shared" si="76"/>
        <v>0</v>
      </c>
      <c r="H168" s="839"/>
      <c r="I168" s="21">
        <f t="shared" si="77"/>
        <v>44284</v>
      </c>
      <c r="J168" s="55">
        <f t="shared" si="78"/>
        <v>0</v>
      </c>
      <c r="K168" s="652"/>
      <c r="L168" s="21">
        <f t="shared" si="83"/>
        <v>44284</v>
      </c>
      <c r="M168" s="55">
        <f t="shared" si="84"/>
        <v>0</v>
      </c>
      <c r="N168" s="652"/>
      <c r="O168" s="21">
        <f t="shared" si="85"/>
        <v>44284</v>
      </c>
      <c r="P168" s="55">
        <f t="shared" si="86"/>
        <v>0</v>
      </c>
      <c r="Q168" s="652"/>
      <c r="R168" s="1020"/>
      <c r="S168" s="219"/>
      <c r="T168" s="306"/>
      <c r="U168" s="609"/>
    </row>
    <row r="169" spans="2:21" ht="13.2" customHeight="1" x14ac:dyDescent="0.25">
      <c r="B169" s="74" t="s">
        <v>221</v>
      </c>
      <c r="C169" s="158" t="s">
        <v>392</v>
      </c>
      <c r="D169" s="649" t="s">
        <v>318</v>
      </c>
      <c r="E169" s="769">
        <v>0</v>
      </c>
      <c r="F169" s="762">
        <f t="shared" si="75"/>
        <v>0</v>
      </c>
      <c r="G169" s="68">
        <f t="shared" si="57"/>
        <v>0</v>
      </c>
      <c r="H169" s="837"/>
      <c r="I169" s="68"/>
      <c r="J169" s="68">
        <f t="shared" si="58"/>
        <v>0</v>
      </c>
      <c r="K169" s="268"/>
      <c r="L169" s="68"/>
      <c r="M169" s="68">
        <f t="shared" si="59"/>
        <v>0</v>
      </c>
      <c r="N169" s="268"/>
      <c r="O169" s="21">
        <f t="shared" si="85"/>
        <v>0</v>
      </c>
      <c r="P169" s="68">
        <f t="shared" si="60"/>
        <v>0</v>
      </c>
      <c r="Q169" s="268"/>
      <c r="R169" s="907"/>
      <c r="S169" s="68">
        <v>0</v>
      </c>
      <c r="T169" s="303"/>
      <c r="U169" s="608"/>
    </row>
    <row r="170" spans="2:21" ht="14.25" customHeight="1" x14ac:dyDescent="0.25">
      <c r="B170" s="74" t="s">
        <v>507</v>
      </c>
      <c r="C170" s="158" t="s">
        <v>393</v>
      </c>
      <c r="D170" s="648" t="s">
        <v>332</v>
      </c>
      <c r="E170" s="769">
        <v>0</v>
      </c>
      <c r="F170" s="762">
        <f t="shared" si="75"/>
        <v>0</v>
      </c>
      <c r="G170" s="68">
        <f t="shared" si="57"/>
        <v>0</v>
      </c>
      <c r="H170" s="877"/>
      <c r="I170" s="68"/>
      <c r="J170" s="68">
        <f t="shared" si="58"/>
        <v>0</v>
      </c>
      <c r="K170" s="901"/>
      <c r="L170" s="68"/>
      <c r="M170" s="68">
        <f t="shared" si="59"/>
        <v>0</v>
      </c>
      <c r="N170" s="268"/>
      <c r="O170" s="21">
        <f t="shared" si="85"/>
        <v>0</v>
      </c>
      <c r="P170" s="68">
        <f t="shared" si="60"/>
        <v>0</v>
      </c>
      <c r="Q170" s="268"/>
      <c r="R170" s="907"/>
      <c r="S170" s="68">
        <v>0</v>
      </c>
      <c r="T170" s="303"/>
      <c r="U170" s="22"/>
    </row>
    <row r="171" spans="2:21" ht="32.4" customHeight="1" x14ac:dyDescent="0.25">
      <c r="B171" s="74" t="s">
        <v>601</v>
      </c>
      <c r="C171" s="158" t="s">
        <v>629</v>
      </c>
      <c r="D171" s="670" t="s">
        <v>602</v>
      </c>
      <c r="E171" s="768">
        <v>0</v>
      </c>
      <c r="F171" s="762">
        <f t="shared" si="75"/>
        <v>0</v>
      </c>
      <c r="G171" s="68">
        <f t="shared" si="57"/>
        <v>0</v>
      </c>
      <c r="H171" s="838"/>
      <c r="I171" s="109"/>
      <c r="J171" s="68">
        <f t="shared" si="58"/>
        <v>0</v>
      </c>
      <c r="K171" s="271"/>
      <c r="L171" s="109"/>
      <c r="M171" s="68">
        <f t="shared" si="59"/>
        <v>0</v>
      </c>
      <c r="N171" s="271"/>
      <c r="O171" s="21">
        <f t="shared" si="85"/>
        <v>0</v>
      </c>
      <c r="P171" s="68">
        <f t="shared" si="60"/>
        <v>0</v>
      </c>
      <c r="Q171" s="271"/>
      <c r="R171" s="1035"/>
      <c r="S171" s="109">
        <v>0</v>
      </c>
      <c r="T171" s="310"/>
      <c r="U171" s="22"/>
    </row>
    <row r="172" spans="2:21" ht="29.25" customHeight="1" x14ac:dyDescent="0.25">
      <c r="C172" s="96" t="s">
        <v>172</v>
      </c>
      <c r="D172" s="660" t="s">
        <v>165</v>
      </c>
      <c r="E172" s="777">
        <v>11549801.841957785</v>
      </c>
      <c r="F172" s="777">
        <f t="shared" ref="F172" si="87">SUM(F173:F177,F181:F190)</f>
        <v>11653537</v>
      </c>
      <c r="G172" s="34">
        <f t="shared" si="57"/>
        <v>103735.15804221481</v>
      </c>
      <c r="H172" s="841"/>
      <c r="I172" s="34">
        <f>SUM(I173:I177,I181:I190)</f>
        <v>11956848</v>
      </c>
      <c r="J172" s="34">
        <f t="shared" si="58"/>
        <v>303311</v>
      </c>
      <c r="K172" s="270"/>
      <c r="L172" s="34">
        <f>SUM(L173:L177,L181:L190)</f>
        <v>12038272</v>
      </c>
      <c r="M172" s="34">
        <f t="shared" si="59"/>
        <v>81424</v>
      </c>
      <c r="N172" s="270"/>
      <c r="O172" s="34">
        <f>SUM(O173:O177,O181:O190)</f>
        <v>12725876</v>
      </c>
      <c r="P172" s="34">
        <f t="shared" si="60"/>
        <v>687604</v>
      </c>
      <c r="Q172" s="270"/>
      <c r="R172" s="1036"/>
      <c r="S172" s="34">
        <f>SUM(S173:S177,S181:S190)</f>
        <v>5238133</v>
      </c>
      <c r="T172" s="321">
        <f t="shared" ref="T172:T183" si="88">S172/O172</f>
        <v>0.41161276441794653</v>
      </c>
      <c r="U172" s="611"/>
    </row>
    <row r="173" spans="2:21" ht="19.5" customHeight="1" x14ac:dyDescent="0.25">
      <c r="B173" s="74" t="s">
        <v>363</v>
      </c>
      <c r="C173" s="98" t="s">
        <v>651</v>
      </c>
      <c r="D173" s="648" t="s">
        <v>630</v>
      </c>
      <c r="E173" s="769">
        <v>1199200.0293275001</v>
      </c>
      <c r="F173" s="769">
        <f>ROUND(E173,0)</f>
        <v>1199200</v>
      </c>
      <c r="G173" s="163">
        <f t="shared" si="57"/>
        <v>-2.9327500145882368E-2</v>
      </c>
      <c r="H173" s="840"/>
      <c r="I173" s="68">
        <f>ROUND(F173,0)</f>
        <v>1199200</v>
      </c>
      <c r="J173" s="163">
        <f t="shared" si="58"/>
        <v>0</v>
      </c>
      <c r="K173" s="271"/>
      <c r="L173" s="68">
        <f>ROUND(I173,0)</f>
        <v>1199200</v>
      </c>
      <c r="M173" s="163">
        <f t="shared" si="59"/>
        <v>0</v>
      </c>
      <c r="N173" s="271"/>
      <c r="O173" s="68">
        <f>ROUND(L173,0)</f>
        <v>1199200</v>
      </c>
      <c r="P173" s="163">
        <f t="shared" si="60"/>
        <v>0</v>
      </c>
      <c r="Q173" s="271"/>
      <c r="R173" s="1035"/>
      <c r="S173" s="68">
        <v>1110691</v>
      </c>
      <c r="T173" s="303">
        <f t="shared" si="88"/>
        <v>0.92619329553035357</v>
      </c>
      <c r="U173" s="928" t="s">
        <v>1269</v>
      </c>
    </row>
    <row r="174" spans="2:21" ht="13.95" customHeight="1" x14ac:dyDescent="0.25">
      <c r="B174" s="74" t="s">
        <v>1117</v>
      </c>
      <c r="C174" s="98" t="s">
        <v>652</v>
      </c>
      <c r="D174" s="648" t="s">
        <v>1160</v>
      </c>
      <c r="E174" s="769">
        <v>1875164.83</v>
      </c>
      <c r="F174" s="769">
        <f t="shared" ref="F174:F186" si="89">ROUND(E174,0)</f>
        <v>1875165</v>
      </c>
      <c r="G174" s="21">
        <f t="shared" si="57"/>
        <v>0.16999999992549419</v>
      </c>
      <c r="H174" s="836"/>
      <c r="I174" s="68">
        <f>ROUND(F174,0)</f>
        <v>1875165</v>
      </c>
      <c r="J174" s="21">
        <f t="shared" si="58"/>
        <v>0</v>
      </c>
      <c r="K174" s="267"/>
      <c r="L174" s="68">
        <f>ROUND(I174,0)</f>
        <v>1875165</v>
      </c>
      <c r="M174" s="21">
        <f t="shared" si="59"/>
        <v>0</v>
      </c>
      <c r="N174" s="267"/>
      <c r="O174" s="68">
        <f>ROUND(L174,0)</f>
        <v>1875165</v>
      </c>
      <c r="P174" s="21">
        <f t="shared" si="60"/>
        <v>0</v>
      </c>
      <c r="Q174" s="267"/>
      <c r="R174" s="907"/>
      <c r="S174" s="68">
        <v>899527.65</v>
      </c>
      <c r="T174" s="303">
        <f t="shared" si="88"/>
        <v>0.47970586588380226</v>
      </c>
      <c r="U174" s="608"/>
    </row>
    <row r="175" spans="2:21" ht="27" customHeight="1" x14ac:dyDescent="0.25">
      <c r="B175" s="74" t="s">
        <v>490</v>
      </c>
      <c r="C175" s="158" t="s">
        <v>653</v>
      </c>
      <c r="D175" s="648" t="s">
        <v>578</v>
      </c>
      <c r="E175" s="769">
        <v>363351</v>
      </c>
      <c r="F175" s="769">
        <f>ROUND(E175,0)-1-3420+92966</f>
        <v>452896</v>
      </c>
      <c r="G175" s="55">
        <f t="shared" si="57"/>
        <v>89545</v>
      </c>
      <c r="H175" s="272" t="s">
        <v>1194</v>
      </c>
      <c r="I175" s="68">
        <f>ROUND(F175,0)</f>
        <v>452896</v>
      </c>
      <c r="J175" s="55">
        <f t="shared" si="58"/>
        <v>0</v>
      </c>
      <c r="K175" s="272"/>
      <c r="L175" s="68">
        <f>ROUND(I175,0)</f>
        <v>452896</v>
      </c>
      <c r="M175" s="55">
        <f t="shared" si="59"/>
        <v>0</v>
      </c>
      <c r="N175" s="272"/>
      <c r="O175" s="68">
        <f>ROUND(L175,0)</f>
        <v>452896</v>
      </c>
      <c r="P175" s="55">
        <f t="shared" si="60"/>
        <v>0</v>
      </c>
      <c r="Q175" s="272"/>
      <c r="R175" s="907"/>
      <c r="S175" s="68">
        <v>0</v>
      </c>
      <c r="T175" s="303">
        <f t="shared" si="88"/>
        <v>0</v>
      </c>
      <c r="U175" s="21" t="s">
        <v>668</v>
      </c>
    </row>
    <row r="176" spans="2:21" ht="25.95" customHeight="1" x14ac:dyDescent="0.25">
      <c r="B176" s="74" t="s">
        <v>620</v>
      </c>
      <c r="C176" s="98" t="s">
        <v>654</v>
      </c>
      <c r="D176" s="648" t="s">
        <v>304</v>
      </c>
      <c r="E176" s="769">
        <v>1574037</v>
      </c>
      <c r="F176" s="769">
        <f>ROUND(E176,0)+168382-168382</f>
        <v>1574037</v>
      </c>
      <c r="G176" s="68">
        <f t="shared" si="57"/>
        <v>0</v>
      </c>
      <c r="H176" s="871" t="s">
        <v>1213</v>
      </c>
      <c r="I176" s="68">
        <f>ROUND(F176,0)</f>
        <v>1574037</v>
      </c>
      <c r="J176" s="68">
        <f t="shared" si="58"/>
        <v>0</v>
      </c>
      <c r="K176" s="268"/>
      <c r="L176" s="68">
        <f>ROUND(I176,0)</f>
        <v>1574037</v>
      </c>
      <c r="M176" s="68">
        <f t="shared" si="59"/>
        <v>0</v>
      </c>
      <c r="N176" s="268"/>
      <c r="O176" s="68">
        <f>ROUND(L176,0)+680342</f>
        <v>2254379</v>
      </c>
      <c r="P176" s="68">
        <f t="shared" si="60"/>
        <v>680342</v>
      </c>
      <c r="Q176" s="268" t="s">
        <v>1352</v>
      </c>
      <c r="R176" s="907"/>
      <c r="S176" s="1004">
        <v>879876</v>
      </c>
      <c r="T176" s="303">
        <f t="shared" si="88"/>
        <v>0.39029639647991754</v>
      </c>
      <c r="U176" s="68" t="s">
        <v>724</v>
      </c>
    </row>
    <row r="177" spans="2:21" ht="32.25" customHeight="1" x14ac:dyDescent="0.25">
      <c r="B177" s="74" t="s">
        <v>303</v>
      </c>
      <c r="C177" s="98" t="s">
        <v>655</v>
      </c>
      <c r="D177" s="648" t="s">
        <v>368</v>
      </c>
      <c r="E177" s="778">
        <v>5403977.9826302836</v>
      </c>
      <c r="F177" s="778">
        <f>SUM(F178:F180)</f>
        <v>5418168</v>
      </c>
      <c r="G177" s="68">
        <f t="shared" si="57"/>
        <v>14190.017369716428</v>
      </c>
      <c r="H177" s="836"/>
      <c r="I177" s="113">
        <f>SUM(I178:I180)</f>
        <v>5367776</v>
      </c>
      <c r="J177" s="68">
        <f t="shared" si="58"/>
        <v>-50392</v>
      </c>
      <c r="K177" s="267"/>
      <c r="L177" s="113">
        <f>SUM(L178:L180)</f>
        <v>5373200</v>
      </c>
      <c r="M177" s="68">
        <f t="shared" si="59"/>
        <v>5424</v>
      </c>
      <c r="N177" s="267"/>
      <c r="O177" s="113">
        <f>SUM(O178:O180)</f>
        <v>5380462</v>
      </c>
      <c r="P177" s="68">
        <f t="shared" si="60"/>
        <v>7262</v>
      </c>
      <c r="Q177" s="267"/>
      <c r="R177" s="907"/>
      <c r="S177" s="113">
        <f>SUM(S178:S180)</f>
        <v>2297036.35</v>
      </c>
      <c r="T177" s="322">
        <f t="shared" si="88"/>
        <v>0.42692176805634907</v>
      </c>
      <c r="U177" s="842"/>
    </row>
    <row r="178" spans="2:21" s="713" customFormat="1" ht="14.25" customHeight="1" x14ac:dyDescent="0.25">
      <c r="B178" s="779"/>
      <c r="C178" s="217" t="s">
        <v>656</v>
      </c>
      <c r="D178" s="712" t="s">
        <v>639</v>
      </c>
      <c r="E178" s="780">
        <v>4799085.2470302833</v>
      </c>
      <c r="F178" s="780">
        <f>ROUND(E178,0)+13000-645+1835</f>
        <v>4813275</v>
      </c>
      <c r="G178" s="641">
        <f t="shared" si="57"/>
        <v>14189.752969716676</v>
      </c>
      <c r="H178" s="843" t="s">
        <v>1217</v>
      </c>
      <c r="I178" s="782">
        <f>ROUND(F178,0)-10919-6705-19453</f>
        <v>4776198</v>
      </c>
      <c r="J178" s="641">
        <f t="shared" si="58"/>
        <v>-37077</v>
      </c>
      <c r="K178" s="783" t="s">
        <v>1254</v>
      </c>
      <c r="L178" s="782">
        <f>ROUND(I178,0)-9076+3500+11000</f>
        <v>4781622</v>
      </c>
      <c r="M178" s="641">
        <f t="shared" si="59"/>
        <v>5424</v>
      </c>
      <c r="N178" s="783" t="s">
        <v>1330</v>
      </c>
      <c r="O178" s="782">
        <f>ROUND(L178,0)+276+62+102+28+165+6629</f>
        <v>4788884</v>
      </c>
      <c r="P178" s="641">
        <f t="shared" si="60"/>
        <v>7262</v>
      </c>
      <c r="Q178" s="290" t="s">
        <v>1353</v>
      </c>
      <c r="R178" s="907"/>
      <c r="S178" s="1005">
        <f>1784574+14835+13492+5805+7004+2845+5699+2536+73851+101784+45826</f>
        <v>2058251</v>
      </c>
      <c r="T178" s="784">
        <f t="shared" si="88"/>
        <v>0.42979763134792992</v>
      </c>
      <c r="U178" s="785"/>
    </row>
    <row r="179" spans="2:21" s="713" customFormat="1" ht="18" customHeight="1" x14ac:dyDescent="0.25">
      <c r="B179" s="779"/>
      <c r="C179" s="217" t="s">
        <v>657</v>
      </c>
      <c r="D179" s="712" t="s">
        <v>640</v>
      </c>
      <c r="E179" s="780">
        <v>350000</v>
      </c>
      <c r="F179" s="780">
        <f t="shared" si="89"/>
        <v>350000</v>
      </c>
      <c r="G179" s="641">
        <f t="shared" si="57"/>
        <v>0</v>
      </c>
      <c r="H179" s="843"/>
      <c r="I179" s="782">
        <f>ROUND(F179,0)-13315</f>
        <v>336685</v>
      </c>
      <c r="J179" s="641">
        <f t="shared" si="58"/>
        <v>-13315</v>
      </c>
      <c r="K179" s="781" t="s">
        <v>1244</v>
      </c>
      <c r="L179" s="782">
        <f>ROUND(I179,0)</f>
        <v>336685</v>
      </c>
      <c r="M179" s="641">
        <f t="shared" si="59"/>
        <v>0</v>
      </c>
      <c r="N179" s="781"/>
      <c r="O179" s="782">
        <f t="shared" ref="O179:O190" si="90">ROUND(L179,0)</f>
        <v>336685</v>
      </c>
      <c r="P179" s="641">
        <f t="shared" si="60"/>
        <v>0</v>
      </c>
      <c r="Q179" s="781"/>
      <c r="R179" s="1037"/>
      <c r="S179" s="782">
        <v>174456</v>
      </c>
      <c r="T179" s="784">
        <f t="shared" si="88"/>
        <v>0.51815792209335132</v>
      </c>
      <c r="U179" s="785"/>
    </row>
    <row r="180" spans="2:21" s="713" customFormat="1" ht="15" customHeight="1" x14ac:dyDescent="0.25">
      <c r="B180" s="779"/>
      <c r="C180" s="217" t="s">
        <v>658</v>
      </c>
      <c r="D180" s="712" t="s">
        <v>641</v>
      </c>
      <c r="E180" s="780">
        <v>254892.73560000001</v>
      </c>
      <c r="F180" s="780">
        <f t="shared" si="89"/>
        <v>254893</v>
      </c>
      <c r="G180" s="641">
        <f t="shared" si="57"/>
        <v>0.26439999998547137</v>
      </c>
      <c r="H180" s="843"/>
      <c r="I180" s="782">
        <f>ROUND(F180,0)</f>
        <v>254893</v>
      </c>
      <c r="J180" s="641">
        <f t="shared" si="58"/>
        <v>0</v>
      </c>
      <c r="K180" s="781"/>
      <c r="L180" s="782">
        <f>ROUND(I180,0)</f>
        <v>254893</v>
      </c>
      <c r="M180" s="641">
        <f t="shared" si="59"/>
        <v>0</v>
      </c>
      <c r="N180" s="783"/>
      <c r="O180" s="782">
        <f t="shared" si="90"/>
        <v>254893</v>
      </c>
      <c r="P180" s="641">
        <f t="shared" si="60"/>
        <v>0</v>
      </c>
      <c r="Q180" s="783"/>
      <c r="R180" s="1037"/>
      <c r="S180" s="782">
        <f>8334+955523-S174</f>
        <v>64329.349999999977</v>
      </c>
      <c r="T180" s="784">
        <f t="shared" si="88"/>
        <v>0.2523778605140195</v>
      </c>
      <c r="U180" s="785"/>
    </row>
    <row r="181" spans="2:21" ht="13.5" customHeight="1" x14ac:dyDescent="0.25">
      <c r="B181" s="74" t="s">
        <v>303</v>
      </c>
      <c r="C181" s="158" t="s">
        <v>659</v>
      </c>
      <c r="D181" s="648" t="s">
        <v>983</v>
      </c>
      <c r="E181" s="769">
        <v>35000</v>
      </c>
      <c r="F181" s="769">
        <f t="shared" si="89"/>
        <v>35000</v>
      </c>
      <c r="G181" s="68">
        <f t="shared" ref="G181:G242" si="91">F181-E181</f>
        <v>0</v>
      </c>
      <c r="H181" s="837"/>
      <c r="I181" s="68">
        <f t="shared" ref="I181:I190" si="92">ROUND(F181,0)</f>
        <v>35000</v>
      </c>
      <c r="J181" s="68">
        <f t="shared" si="58"/>
        <v>0</v>
      </c>
      <c r="K181" s="268"/>
      <c r="L181" s="68">
        <f t="shared" ref="L181:L188" si="93">ROUND(I181,0)</f>
        <v>35000</v>
      </c>
      <c r="M181" s="68">
        <f t="shared" si="59"/>
        <v>0</v>
      </c>
      <c r="N181" s="268"/>
      <c r="O181" s="68">
        <f t="shared" si="90"/>
        <v>35000</v>
      </c>
      <c r="P181" s="68">
        <f t="shared" si="60"/>
        <v>0</v>
      </c>
      <c r="Q181" s="268"/>
      <c r="R181" s="907"/>
      <c r="S181" s="68"/>
      <c r="T181" s="303">
        <f t="shared" si="88"/>
        <v>0</v>
      </c>
      <c r="U181" s="109" t="s">
        <v>669</v>
      </c>
    </row>
    <row r="182" spans="2:21" ht="41.4" customHeight="1" x14ac:dyDescent="0.25">
      <c r="B182" s="74" t="s">
        <v>303</v>
      </c>
      <c r="C182" s="159" t="s">
        <v>660</v>
      </c>
      <c r="D182" s="670" t="s">
        <v>1159</v>
      </c>
      <c r="E182" s="768">
        <v>210000</v>
      </c>
      <c r="F182" s="769">
        <f t="shared" si="89"/>
        <v>210000</v>
      </c>
      <c r="G182" s="68">
        <f t="shared" si="91"/>
        <v>0</v>
      </c>
      <c r="H182" s="838"/>
      <c r="I182" s="68">
        <f>ROUND(F182,0)+90000</f>
        <v>300000</v>
      </c>
      <c r="J182" s="68">
        <f t="shared" si="58"/>
        <v>90000</v>
      </c>
      <c r="K182" s="269" t="s">
        <v>1246</v>
      </c>
      <c r="L182" s="68">
        <f t="shared" si="93"/>
        <v>300000</v>
      </c>
      <c r="M182" s="68">
        <f t="shared" si="59"/>
        <v>0</v>
      </c>
      <c r="N182" s="269"/>
      <c r="O182" s="68">
        <f t="shared" si="90"/>
        <v>300000</v>
      </c>
      <c r="P182" s="68">
        <f t="shared" si="60"/>
        <v>0</v>
      </c>
      <c r="Q182" s="269"/>
      <c r="R182" s="907"/>
      <c r="S182" s="927">
        <v>1040</v>
      </c>
      <c r="T182" s="310">
        <f t="shared" si="88"/>
        <v>3.4666666666666665E-3</v>
      </c>
      <c r="U182" s="109" t="s">
        <v>669</v>
      </c>
    </row>
    <row r="183" spans="2:21" ht="18" customHeight="1" x14ac:dyDescent="0.25">
      <c r="B183" s="74" t="s">
        <v>303</v>
      </c>
      <c r="C183" s="158" t="s">
        <v>661</v>
      </c>
      <c r="D183" s="902" t="s">
        <v>1245</v>
      </c>
      <c r="E183" s="905"/>
      <c r="F183" s="905"/>
      <c r="G183" s="904"/>
      <c r="H183" s="906"/>
      <c r="I183" s="904">
        <v>263703</v>
      </c>
      <c r="J183" s="68">
        <f t="shared" si="58"/>
        <v>263703</v>
      </c>
      <c r="K183" s="907"/>
      <c r="L183" s="68">
        <f t="shared" ref="L183" si="94">ROUND(I183,0)</f>
        <v>263703</v>
      </c>
      <c r="M183" s="68">
        <f t="shared" ref="M183" si="95">L183-I183</f>
        <v>0</v>
      </c>
      <c r="N183" s="907"/>
      <c r="O183" s="68">
        <f t="shared" si="90"/>
        <v>263703</v>
      </c>
      <c r="P183" s="68">
        <f t="shared" ref="P183" si="96">O183-L183</f>
        <v>0</v>
      </c>
      <c r="Q183" s="907"/>
      <c r="R183" s="907"/>
      <c r="S183" s="1004">
        <v>49202</v>
      </c>
      <c r="T183" s="908">
        <f t="shared" si="88"/>
        <v>0.18658111587657328</v>
      </c>
      <c r="U183" s="109" t="s">
        <v>669</v>
      </c>
    </row>
    <row r="184" spans="2:21" ht="18.600000000000001" customHeight="1" x14ac:dyDescent="0.25">
      <c r="B184" s="74" t="s">
        <v>303</v>
      </c>
      <c r="C184" s="158" t="s">
        <v>662</v>
      </c>
      <c r="D184" s="670" t="s">
        <v>988</v>
      </c>
      <c r="E184" s="768">
        <v>17500</v>
      </c>
      <c r="F184" s="769">
        <f t="shared" si="89"/>
        <v>17500</v>
      </c>
      <c r="G184" s="68">
        <f t="shared" si="91"/>
        <v>0</v>
      </c>
      <c r="H184" s="838"/>
      <c r="I184" s="68">
        <f t="shared" si="92"/>
        <v>17500</v>
      </c>
      <c r="J184" s="68">
        <f t="shared" si="58"/>
        <v>0</v>
      </c>
      <c r="K184" s="269"/>
      <c r="L184" s="68">
        <f>ROUND(I184,0)</f>
        <v>17500</v>
      </c>
      <c r="M184" s="68">
        <f t="shared" si="59"/>
        <v>0</v>
      </c>
      <c r="N184" s="269"/>
      <c r="O184" s="68">
        <f t="shared" si="90"/>
        <v>17500</v>
      </c>
      <c r="P184" s="68">
        <f t="shared" si="60"/>
        <v>0</v>
      </c>
      <c r="Q184" s="269"/>
      <c r="R184" s="907"/>
      <c r="S184" s="927"/>
      <c r="T184" s="310">
        <f t="shared" ref="T184:T197" si="97">S184/O184</f>
        <v>0</v>
      </c>
      <c r="U184" s="109" t="s">
        <v>669</v>
      </c>
    </row>
    <row r="185" spans="2:21" ht="33.6" customHeight="1" x14ac:dyDescent="0.25">
      <c r="B185" s="74" t="s">
        <v>303</v>
      </c>
      <c r="C185" s="158" t="s">
        <v>663</v>
      </c>
      <c r="D185" s="670" t="s">
        <v>637</v>
      </c>
      <c r="E185" s="768">
        <v>255000</v>
      </c>
      <c r="F185" s="769">
        <f t="shared" si="89"/>
        <v>255000</v>
      </c>
      <c r="G185" s="68">
        <f t="shared" si="91"/>
        <v>0</v>
      </c>
      <c r="H185" s="838"/>
      <c r="I185" s="68">
        <f t="shared" si="92"/>
        <v>255000</v>
      </c>
      <c r="J185" s="68">
        <f t="shared" si="58"/>
        <v>0</v>
      </c>
      <c r="K185" s="269"/>
      <c r="L185" s="68">
        <f t="shared" si="93"/>
        <v>255000</v>
      </c>
      <c r="M185" s="68">
        <f t="shared" si="59"/>
        <v>0</v>
      </c>
      <c r="N185" s="269"/>
      <c r="O185" s="68">
        <f t="shared" si="90"/>
        <v>255000</v>
      </c>
      <c r="P185" s="68">
        <f t="shared" si="60"/>
        <v>0</v>
      </c>
      <c r="Q185" s="269"/>
      <c r="R185" s="907"/>
      <c r="S185" s="927">
        <v>760</v>
      </c>
      <c r="T185" s="310">
        <f t="shared" si="97"/>
        <v>2.9803921568627451E-3</v>
      </c>
      <c r="U185" s="109" t="s">
        <v>669</v>
      </c>
    </row>
    <row r="186" spans="2:21" ht="15" customHeight="1" x14ac:dyDescent="0.25">
      <c r="B186" s="74" t="s">
        <v>303</v>
      </c>
      <c r="C186" s="158" t="s">
        <v>664</v>
      </c>
      <c r="D186" s="670" t="s">
        <v>1126</v>
      </c>
      <c r="E186" s="768">
        <v>39800</v>
      </c>
      <c r="F186" s="769">
        <f t="shared" si="89"/>
        <v>39800</v>
      </c>
      <c r="G186" s="68">
        <f t="shared" si="91"/>
        <v>0</v>
      </c>
      <c r="H186" s="838"/>
      <c r="I186" s="68">
        <f t="shared" si="92"/>
        <v>39800</v>
      </c>
      <c r="J186" s="68">
        <f t="shared" si="58"/>
        <v>0</v>
      </c>
      <c r="K186" s="269"/>
      <c r="L186" s="68">
        <f t="shared" si="93"/>
        <v>39800</v>
      </c>
      <c r="M186" s="68">
        <f t="shared" si="59"/>
        <v>0</v>
      </c>
      <c r="N186" s="269"/>
      <c r="O186" s="68">
        <f t="shared" si="90"/>
        <v>39800</v>
      </c>
      <c r="P186" s="68">
        <f t="shared" si="60"/>
        <v>0</v>
      </c>
      <c r="Q186" s="269"/>
      <c r="R186" s="907"/>
      <c r="S186" s="927"/>
      <c r="T186" s="310">
        <f t="shared" si="97"/>
        <v>0</v>
      </c>
      <c r="U186" s="109" t="s">
        <v>669</v>
      </c>
    </row>
    <row r="187" spans="2:21" ht="29.4" customHeight="1" x14ac:dyDescent="0.25">
      <c r="B187" s="74" t="s">
        <v>303</v>
      </c>
      <c r="C187" s="158" t="s">
        <v>665</v>
      </c>
      <c r="D187" s="670" t="s">
        <v>1162</v>
      </c>
      <c r="E187" s="768">
        <v>30000</v>
      </c>
      <c r="F187" s="769">
        <f>ROUND(E187,0)</f>
        <v>30000</v>
      </c>
      <c r="G187" s="68">
        <f>F187-E187</f>
        <v>0</v>
      </c>
      <c r="H187" s="838"/>
      <c r="I187" s="68">
        <f>ROUND(F187,0)</f>
        <v>30000</v>
      </c>
      <c r="J187" s="68">
        <f>I187-F187</f>
        <v>0</v>
      </c>
      <c r="K187" s="269"/>
      <c r="L187" s="68">
        <f>ROUND(I187,0)</f>
        <v>30000</v>
      </c>
      <c r="M187" s="68">
        <f>L187-I187</f>
        <v>0</v>
      </c>
      <c r="N187" s="269"/>
      <c r="O187" s="68">
        <f t="shared" si="90"/>
        <v>30000</v>
      </c>
      <c r="P187" s="68">
        <f>O187-L187</f>
        <v>0</v>
      </c>
      <c r="Q187" s="269"/>
      <c r="R187" s="907"/>
      <c r="S187" s="927"/>
      <c r="T187" s="310">
        <f t="shared" si="97"/>
        <v>0</v>
      </c>
      <c r="U187" s="109" t="s">
        <v>669</v>
      </c>
    </row>
    <row r="188" spans="2:21" ht="18.600000000000001" customHeight="1" x14ac:dyDescent="0.25">
      <c r="B188" s="74" t="s">
        <v>772</v>
      </c>
      <c r="C188" s="158" t="s">
        <v>665</v>
      </c>
      <c r="D188" s="670" t="s">
        <v>635</v>
      </c>
      <c r="E188" s="768">
        <v>546771</v>
      </c>
      <c r="F188" s="769">
        <f>ROUND(E188,0)</f>
        <v>546771</v>
      </c>
      <c r="G188" s="68">
        <f>F188-E188</f>
        <v>0</v>
      </c>
      <c r="H188" s="838"/>
      <c r="I188" s="68">
        <f t="shared" si="92"/>
        <v>546771</v>
      </c>
      <c r="J188" s="68">
        <f t="shared" si="58"/>
        <v>0</v>
      </c>
      <c r="K188" s="269"/>
      <c r="L188" s="68">
        <f t="shared" si="93"/>
        <v>546771</v>
      </c>
      <c r="M188" s="68">
        <f t="shared" si="59"/>
        <v>0</v>
      </c>
      <c r="N188" s="269"/>
      <c r="O188" s="68">
        <f t="shared" si="90"/>
        <v>546771</v>
      </c>
      <c r="P188" s="68">
        <f t="shared" si="60"/>
        <v>0</v>
      </c>
      <c r="Q188" s="269"/>
      <c r="R188" s="907"/>
      <c r="S188" s="927">
        <v>0</v>
      </c>
      <c r="T188" s="310">
        <f t="shared" si="97"/>
        <v>0</v>
      </c>
      <c r="U188" s="109" t="s">
        <v>669</v>
      </c>
    </row>
    <row r="189" spans="2:21" ht="18" customHeight="1" x14ac:dyDescent="0.25">
      <c r="B189" s="74"/>
      <c r="C189" s="158" t="s">
        <v>666</v>
      </c>
      <c r="D189" s="670" t="s">
        <v>1317</v>
      </c>
      <c r="E189" s="768">
        <v>0</v>
      </c>
      <c r="F189" s="769">
        <f>ROUND(E189,0)</f>
        <v>0</v>
      </c>
      <c r="G189" s="68">
        <f>F189-E189</f>
        <v>0</v>
      </c>
      <c r="H189" s="269"/>
      <c r="I189" s="68">
        <f t="shared" si="92"/>
        <v>0</v>
      </c>
      <c r="J189" s="68">
        <f t="shared" si="58"/>
        <v>0</v>
      </c>
      <c r="K189" s="269"/>
      <c r="L189" s="68">
        <f>ROUND(I189,0)+55000</f>
        <v>55000</v>
      </c>
      <c r="M189" s="68">
        <f t="shared" si="59"/>
        <v>55000</v>
      </c>
      <c r="N189" s="269" t="s">
        <v>1318</v>
      </c>
      <c r="O189" s="68">
        <f t="shared" si="90"/>
        <v>55000</v>
      </c>
      <c r="P189" s="68">
        <f t="shared" si="60"/>
        <v>0</v>
      </c>
      <c r="Q189" s="269"/>
      <c r="R189" s="907"/>
      <c r="S189" s="927">
        <f>ROUND(H189,0)</f>
        <v>0</v>
      </c>
      <c r="T189" s="310">
        <f t="shared" si="97"/>
        <v>0</v>
      </c>
      <c r="U189" s="109" t="s">
        <v>668</v>
      </c>
    </row>
    <row r="190" spans="2:21" ht="27.6" customHeight="1" x14ac:dyDescent="0.25">
      <c r="B190" s="74" t="s">
        <v>489</v>
      </c>
      <c r="C190" s="158" t="s">
        <v>667</v>
      </c>
      <c r="D190" s="670" t="s">
        <v>1320</v>
      </c>
      <c r="E190" s="769">
        <v>0</v>
      </c>
      <c r="F190" s="769">
        <f>ROUND(E190,0)</f>
        <v>0</v>
      </c>
      <c r="G190" s="68">
        <f>F190-E190</f>
        <v>0</v>
      </c>
      <c r="H190" s="817"/>
      <c r="I190" s="68">
        <f t="shared" si="92"/>
        <v>0</v>
      </c>
      <c r="J190" s="68">
        <f t="shared" si="58"/>
        <v>0</v>
      </c>
      <c r="K190" s="241"/>
      <c r="L190" s="68">
        <f>ROUND(I190,0)+21000</f>
        <v>21000</v>
      </c>
      <c r="M190" s="68">
        <f t="shared" si="59"/>
        <v>21000</v>
      </c>
      <c r="N190" s="269" t="s">
        <v>1318</v>
      </c>
      <c r="O190" s="68">
        <f t="shared" si="90"/>
        <v>21000</v>
      </c>
      <c r="P190" s="68">
        <f t="shared" si="60"/>
        <v>0</v>
      </c>
      <c r="Q190" s="241"/>
      <c r="R190" s="1020"/>
      <c r="S190" s="927">
        <v>0</v>
      </c>
      <c r="T190" s="303">
        <f t="shared" si="97"/>
        <v>0</v>
      </c>
      <c r="U190" s="1042" t="s">
        <v>669</v>
      </c>
    </row>
    <row r="191" spans="2:21" x14ac:dyDescent="0.25">
      <c r="C191" s="97" t="s">
        <v>67</v>
      </c>
      <c r="D191" s="644" t="s">
        <v>166</v>
      </c>
      <c r="E191" s="23">
        <v>2519181.6714729005</v>
      </c>
      <c r="F191" s="761">
        <f t="shared" ref="F191" si="98">SUM(F192,F197:F201)+F204+F205</f>
        <v>2529195</v>
      </c>
      <c r="G191" s="23">
        <f>SUM(G192,G197:G205)</f>
        <v>10013.342056599839</v>
      </c>
      <c r="H191" s="368"/>
      <c r="I191" s="23">
        <f>SUM(I192,I197:I201)+I204+I205</f>
        <v>2529195</v>
      </c>
      <c r="J191" s="23">
        <f t="shared" si="58"/>
        <v>0</v>
      </c>
      <c r="K191" s="23"/>
      <c r="L191" s="23">
        <f>SUM(L192,L197:L201)+L204+L205</f>
        <v>2527695</v>
      </c>
      <c r="M191" s="23">
        <f t="shared" si="59"/>
        <v>-1500</v>
      </c>
      <c r="N191" s="23"/>
      <c r="O191" s="23">
        <f>SUM(O192,O197:O201)+O204+O205</f>
        <v>2554562</v>
      </c>
      <c r="P191" s="23">
        <f t="shared" si="60"/>
        <v>26867</v>
      </c>
      <c r="Q191" s="23"/>
      <c r="R191" s="1021"/>
      <c r="S191" s="23">
        <f>SUM(S192,S197:S201)+S204+S205</f>
        <v>1199233</v>
      </c>
      <c r="T191" s="297">
        <f t="shared" si="97"/>
        <v>0.46944760001910307</v>
      </c>
      <c r="U191" s="368"/>
    </row>
    <row r="192" spans="2:21" ht="23.25" customHeight="1" x14ac:dyDescent="0.25">
      <c r="C192" s="96" t="s">
        <v>70</v>
      </c>
      <c r="D192" s="623" t="s">
        <v>311</v>
      </c>
      <c r="E192" s="48">
        <v>1326357.7900424001</v>
      </c>
      <c r="F192" s="48">
        <f>SUM(F193:F196)</f>
        <v>1326358</v>
      </c>
      <c r="G192" s="48">
        <f>SUM(G193:G196)</f>
        <v>0.20995759987272322</v>
      </c>
      <c r="H192" s="48">
        <f>SUM(H193:H196)</f>
        <v>0</v>
      </c>
      <c r="I192" s="48">
        <f>SUM(I193:I196)</f>
        <v>1326358</v>
      </c>
      <c r="J192" s="28">
        <f t="shared" si="58"/>
        <v>0</v>
      </c>
      <c r="K192" s="28"/>
      <c r="L192" s="48">
        <f>SUM(L193:L196)</f>
        <v>1334858</v>
      </c>
      <c r="M192" s="28">
        <f t="shared" si="59"/>
        <v>8500</v>
      </c>
      <c r="N192" s="28"/>
      <c r="O192" s="28">
        <f>SUM(O193:O196)</f>
        <v>1355693</v>
      </c>
      <c r="P192" s="28">
        <f t="shared" si="60"/>
        <v>20835</v>
      </c>
      <c r="Q192" s="28"/>
      <c r="R192" s="968"/>
      <c r="S192" s="28">
        <f>SUM(S193:S196)</f>
        <v>559757</v>
      </c>
      <c r="T192" s="922">
        <f t="shared" si="97"/>
        <v>0.41289362709699023</v>
      </c>
      <c r="U192" s="921"/>
    </row>
    <row r="193" spans="2:21" ht="16.5" customHeight="1" x14ac:dyDescent="0.25">
      <c r="B193" s="74" t="s">
        <v>454</v>
      </c>
      <c r="C193" s="98" t="s">
        <v>235</v>
      </c>
      <c r="D193" s="621" t="s">
        <v>369</v>
      </c>
      <c r="E193" s="769">
        <v>638049.85509206681</v>
      </c>
      <c r="F193" s="769">
        <f>ROUND(E193,0)</f>
        <v>638050</v>
      </c>
      <c r="G193" s="68">
        <f t="shared" si="91"/>
        <v>0.14490793319419026</v>
      </c>
      <c r="H193" s="837"/>
      <c r="I193" s="68">
        <f t="shared" ref="I193:I200" si="99">ROUND(F193,0)</f>
        <v>638050</v>
      </c>
      <c r="J193" s="68">
        <f t="shared" si="58"/>
        <v>0</v>
      </c>
      <c r="K193" s="292"/>
      <c r="L193" s="68">
        <f>ROUND(I193,0)</f>
        <v>638050</v>
      </c>
      <c r="M193" s="68">
        <f t="shared" si="59"/>
        <v>0</v>
      </c>
      <c r="N193" s="292"/>
      <c r="O193" s="68">
        <f>ROUND(L193,0)+21000</f>
        <v>659050</v>
      </c>
      <c r="P193" s="68">
        <f t="shared" si="60"/>
        <v>21000</v>
      </c>
      <c r="Q193" s="292" t="s">
        <v>1350</v>
      </c>
      <c r="R193" s="1038"/>
      <c r="S193" s="68">
        <v>361831</v>
      </c>
      <c r="T193" s="303">
        <f t="shared" si="97"/>
        <v>0.54901904256126244</v>
      </c>
      <c r="U193" s="68" t="s">
        <v>670</v>
      </c>
    </row>
    <row r="194" spans="2:21" ht="12.75" customHeight="1" x14ac:dyDescent="0.25">
      <c r="B194" s="74" t="s">
        <v>448</v>
      </c>
      <c r="C194" s="98" t="s">
        <v>237</v>
      </c>
      <c r="D194" s="621" t="s">
        <v>333</v>
      </c>
      <c r="E194" s="769">
        <v>485179.86028633331</v>
      </c>
      <c r="F194" s="769">
        <f>ROUND(E194,0)</f>
        <v>485180</v>
      </c>
      <c r="G194" s="68">
        <f t="shared" si="91"/>
        <v>0.1397136666928418</v>
      </c>
      <c r="H194" s="837"/>
      <c r="I194" s="68">
        <f t="shared" si="99"/>
        <v>485180</v>
      </c>
      <c r="J194" s="68">
        <f t="shared" si="58"/>
        <v>0</v>
      </c>
      <c r="K194" s="268"/>
      <c r="L194" s="68">
        <f>ROUND(I194,0)+8500</f>
        <v>493680</v>
      </c>
      <c r="M194" s="68">
        <f t="shared" si="59"/>
        <v>8500</v>
      </c>
      <c r="N194" s="292" t="s">
        <v>1319</v>
      </c>
      <c r="O194" s="68">
        <f>ROUND(L194,0)-165</f>
        <v>493515</v>
      </c>
      <c r="P194" s="68">
        <f t="shared" si="60"/>
        <v>-165</v>
      </c>
      <c r="Q194" s="268" t="s">
        <v>1346</v>
      </c>
      <c r="R194" s="907"/>
      <c r="S194" s="68">
        <v>130856</v>
      </c>
      <c r="T194" s="303">
        <f t="shared" si="97"/>
        <v>0.26515100858129947</v>
      </c>
      <c r="U194" s="68" t="s">
        <v>671</v>
      </c>
    </row>
    <row r="195" spans="2:21" ht="13.2" customHeight="1" x14ac:dyDescent="0.25">
      <c r="B195" s="74" t="s">
        <v>447</v>
      </c>
      <c r="C195" s="98" t="s">
        <v>313</v>
      </c>
      <c r="D195" s="621" t="s">
        <v>621</v>
      </c>
      <c r="E195" s="769">
        <v>172588.07466400001</v>
      </c>
      <c r="F195" s="769">
        <f>ROUND(E195,0)</f>
        <v>172588</v>
      </c>
      <c r="G195" s="68">
        <f t="shared" si="91"/>
        <v>-7.466400001430884E-2</v>
      </c>
      <c r="H195" s="817"/>
      <c r="I195" s="68">
        <f t="shared" si="99"/>
        <v>172588</v>
      </c>
      <c r="J195" s="68">
        <f t="shared" si="58"/>
        <v>0</v>
      </c>
      <c r="K195" s="241"/>
      <c r="L195" s="68">
        <f t="shared" ref="L195:L205" si="100">ROUND(I195,0)</f>
        <v>172588</v>
      </c>
      <c r="M195" s="68">
        <f t="shared" si="59"/>
        <v>0</v>
      </c>
      <c r="N195" s="241"/>
      <c r="O195" s="68">
        <f t="shared" ref="O195:O205" si="101">ROUND(L195,0)</f>
        <v>172588</v>
      </c>
      <c r="P195" s="68">
        <f t="shared" si="60"/>
        <v>0</v>
      </c>
      <c r="Q195" s="241"/>
      <c r="R195" s="1020"/>
      <c r="S195" s="68">
        <v>62886</v>
      </c>
      <c r="T195" s="303">
        <f t="shared" si="97"/>
        <v>0.36437063990543955</v>
      </c>
      <c r="U195" s="608"/>
    </row>
    <row r="196" spans="2:21" ht="16.95" customHeight="1" x14ac:dyDescent="0.25">
      <c r="B196" s="74" t="s">
        <v>676</v>
      </c>
      <c r="C196" s="98" t="s">
        <v>1147</v>
      </c>
      <c r="D196" s="621" t="s">
        <v>825</v>
      </c>
      <c r="E196" s="786">
        <v>30540</v>
      </c>
      <c r="F196" s="786">
        <f>ROUND(E196,0)</f>
        <v>30540</v>
      </c>
      <c r="G196" s="21">
        <f>F196-E196</f>
        <v>0</v>
      </c>
      <c r="H196" s="878"/>
      <c r="I196" s="68">
        <f t="shared" si="99"/>
        <v>30540</v>
      </c>
      <c r="J196" s="68">
        <f t="shared" si="58"/>
        <v>0</v>
      </c>
      <c r="K196" s="241"/>
      <c r="L196" s="21">
        <f t="shared" si="100"/>
        <v>30540</v>
      </c>
      <c r="M196" s="21">
        <f t="shared" si="59"/>
        <v>0</v>
      </c>
      <c r="N196" s="946"/>
      <c r="O196" s="21">
        <f t="shared" si="101"/>
        <v>30540</v>
      </c>
      <c r="P196" s="21">
        <f t="shared" si="60"/>
        <v>0</v>
      </c>
      <c r="Q196" s="946"/>
      <c r="R196" s="888"/>
      <c r="S196" s="68">
        <v>4184</v>
      </c>
      <c r="T196" s="68">
        <f t="shared" si="97"/>
        <v>0.13700065487884741</v>
      </c>
      <c r="U196" s="68"/>
    </row>
    <row r="197" spans="2:21" ht="29.4" customHeight="1" x14ac:dyDescent="0.25">
      <c r="B197" s="74" t="s">
        <v>491</v>
      </c>
      <c r="C197" s="160" t="s">
        <v>176</v>
      </c>
      <c r="D197" s="623" t="s">
        <v>334</v>
      </c>
      <c r="E197" s="48">
        <v>185742</v>
      </c>
      <c r="F197" s="48">
        <f>ROUND(E197,0)+10013</f>
        <v>195755</v>
      </c>
      <c r="G197" s="28">
        <f t="shared" si="91"/>
        <v>10013</v>
      </c>
      <c r="H197" s="879" t="s">
        <v>1205</v>
      </c>
      <c r="I197" s="28">
        <f t="shared" si="99"/>
        <v>195755</v>
      </c>
      <c r="J197" s="28">
        <f t="shared" si="58"/>
        <v>0</v>
      </c>
      <c r="K197" s="273"/>
      <c r="L197" s="28">
        <f t="shared" si="100"/>
        <v>195755</v>
      </c>
      <c r="M197" s="28">
        <f t="shared" si="59"/>
        <v>0</v>
      </c>
      <c r="N197" s="273"/>
      <c r="O197" s="28">
        <f t="shared" si="101"/>
        <v>195755</v>
      </c>
      <c r="P197" s="28">
        <f t="shared" si="60"/>
        <v>0</v>
      </c>
      <c r="Q197" s="273"/>
      <c r="R197" s="1039"/>
      <c r="S197" s="28">
        <v>195754</v>
      </c>
      <c r="T197" s="309">
        <f t="shared" si="97"/>
        <v>0.99999489157365073</v>
      </c>
      <c r="U197" s="28" t="s">
        <v>668</v>
      </c>
    </row>
    <row r="198" spans="2:21" ht="27" customHeight="1" x14ac:dyDescent="0.25">
      <c r="B198" s="74" t="s">
        <v>492</v>
      </c>
      <c r="C198" s="160" t="s">
        <v>261</v>
      </c>
      <c r="D198" s="623" t="s">
        <v>335</v>
      </c>
      <c r="E198" s="48">
        <v>0</v>
      </c>
      <c r="F198" s="48">
        <f t="shared" ref="F198:F205" si="102">ROUND(E198,0)</f>
        <v>0</v>
      </c>
      <c r="G198" s="28">
        <f t="shared" si="91"/>
        <v>0</v>
      </c>
      <c r="H198" s="818"/>
      <c r="I198" s="28">
        <f t="shared" si="99"/>
        <v>0</v>
      </c>
      <c r="J198" s="28">
        <f t="shared" si="58"/>
        <v>0</v>
      </c>
      <c r="K198" s="242"/>
      <c r="L198" s="28">
        <f t="shared" si="100"/>
        <v>0</v>
      </c>
      <c r="M198" s="28">
        <f t="shared" si="59"/>
        <v>0</v>
      </c>
      <c r="N198" s="242"/>
      <c r="O198" s="28">
        <f t="shared" si="101"/>
        <v>0</v>
      </c>
      <c r="P198" s="28">
        <f t="shared" si="60"/>
        <v>0</v>
      </c>
      <c r="Q198" s="242"/>
      <c r="R198" s="974"/>
      <c r="S198" s="28">
        <v>0</v>
      </c>
      <c r="T198" s="309"/>
      <c r="U198" s="369"/>
    </row>
    <row r="199" spans="2:21" ht="15" customHeight="1" x14ac:dyDescent="0.25">
      <c r="B199" s="74" t="s">
        <v>223</v>
      </c>
      <c r="C199" s="96" t="s">
        <v>357</v>
      </c>
      <c r="D199" s="623" t="s">
        <v>370</v>
      </c>
      <c r="E199" s="48">
        <v>153395.37309000001</v>
      </c>
      <c r="F199" s="48">
        <f t="shared" si="102"/>
        <v>153395</v>
      </c>
      <c r="G199" s="28">
        <f t="shared" si="91"/>
        <v>-0.37309000000823289</v>
      </c>
      <c r="H199" s="844"/>
      <c r="I199" s="28">
        <f t="shared" si="99"/>
        <v>153395</v>
      </c>
      <c r="J199" s="28">
        <f t="shared" si="58"/>
        <v>0</v>
      </c>
      <c r="K199" s="273"/>
      <c r="L199" s="28">
        <f t="shared" si="100"/>
        <v>153395</v>
      </c>
      <c r="M199" s="28">
        <f t="shared" si="59"/>
        <v>0</v>
      </c>
      <c r="N199" s="273"/>
      <c r="O199" s="28">
        <f>ROUND(L199,0)-276</f>
        <v>153119</v>
      </c>
      <c r="P199" s="28">
        <f t="shared" si="60"/>
        <v>-276</v>
      </c>
      <c r="Q199" s="273" t="s">
        <v>1342</v>
      </c>
      <c r="R199" s="1039"/>
      <c r="S199" s="28">
        <v>65854</v>
      </c>
      <c r="T199" s="309">
        <f t="shared" ref="T199:T209" si="103">S199/O199</f>
        <v>0.43008379103834271</v>
      </c>
      <c r="U199" s="369"/>
    </row>
    <row r="200" spans="2:21" ht="15.6" customHeight="1" x14ac:dyDescent="0.25">
      <c r="B200" s="74" t="s">
        <v>361</v>
      </c>
      <c r="C200" s="96" t="s">
        <v>394</v>
      </c>
      <c r="D200" s="623" t="s">
        <v>371</v>
      </c>
      <c r="E200" s="787">
        <v>64813.521870000011</v>
      </c>
      <c r="F200" s="787">
        <f t="shared" si="102"/>
        <v>64814</v>
      </c>
      <c r="G200" s="77">
        <f t="shared" si="91"/>
        <v>0.47812999998859596</v>
      </c>
      <c r="H200" s="846"/>
      <c r="I200" s="77">
        <f t="shared" si="99"/>
        <v>64814</v>
      </c>
      <c r="J200" s="77">
        <f t="shared" si="58"/>
        <v>0</v>
      </c>
      <c r="K200" s="274"/>
      <c r="L200" s="77">
        <f t="shared" si="100"/>
        <v>64814</v>
      </c>
      <c r="M200" s="77">
        <f t="shared" si="59"/>
        <v>0</v>
      </c>
      <c r="N200" s="274"/>
      <c r="O200" s="77">
        <f>ROUND(L200,0)-62</f>
        <v>64752</v>
      </c>
      <c r="P200" s="77">
        <f t="shared" si="60"/>
        <v>-62</v>
      </c>
      <c r="Q200" s="274" t="s">
        <v>1343</v>
      </c>
      <c r="R200" s="1039"/>
      <c r="S200" s="77">
        <v>26889</v>
      </c>
      <c r="T200" s="323">
        <f t="shared" si="103"/>
        <v>0.41526130467012601</v>
      </c>
      <c r="U200" s="845"/>
    </row>
    <row r="201" spans="2:21" ht="15" customHeight="1" x14ac:dyDescent="0.25">
      <c r="B201" s="74" t="s">
        <v>222</v>
      </c>
      <c r="C201" s="96" t="s">
        <v>395</v>
      </c>
      <c r="D201" s="623" t="s">
        <v>169</v>
      </c>
      <c r="E201" s="48">
        <v>765644.98647050001</v>
      </c>
      <c r="F201" s="48">
        <f t="shared" ref="F201" si="104">F202+F203</f>
        <v>765645</v>
      </c>
      <c r="G201" s="28">
        <f t="shared" si="91"/>
        <v>1.3529499992728233E-2</v>
      </c>
      <c r="H201" s="818"/>
      <c r="I201" s="28">
        <f>I202+I203</f>
        <v>765645</v>
      </c>
      <c r="J201" s="28">
        <f t="shared" ref="J201:J281" si="105">I201-F201</f>
        <v>0</v>
      </c>
      <c r="K201" s="242"/>
      <c r="L201" s="28">
        <f>L202+L203</f>
        <v>755645</v>
      </c>
      <c r="M201" s="28">
        <f t="shared" ref="M201:M281" si="106">L201-I201</f>
        <v>-10000</v>
      </c>
      <c r="N201" s="242"/>
      <c r="O201" s="28">
        <f>O202+O203</f>
        <v>762015</v>
      </c>
      <c r="P201" s="28">
        <f t="shared" ref="P201:P281" si="107">O201-L201</f>
        <v>6370</v>
      </c>
      <c r="Q201" s="242"/>
      <c r="R201" s="974"/>
      <c r="S201" s="28">
        <f>S202+S203</f>
        <v>346979</v>
      </c>
      <c r="T201" s="309">
        <f t="shared" si="103"/>
        <v>0.45534405490705565</v>
      </c>
      <c r="U201" s="369"/>
    </row>
    <row r="202" spans="2:21" ht="12.75" customHeight="1" x14ac:dyDescent="0.25">
      <c r="B202" s="74"/>
      <c r="C202" s="711" t="s">
        <v>1185</v>
      </c>
      <c r="D202" s="862" t="s">
        <v>1187</v>
      </c>
      <c r="E202" s="863">
        <v>765644.98647050001</v>
      </c>
      <c r="F202" s="863">
        <f>ROUND(E202,0)-126968</f>
        <v>638677</v>
      </c>
      <c r="G202" s="45">
        <f t="shared" si="91"/>
        <v>-126967.98647050001</v>
      </c>
      <c r="H202" s="652" t="s">
        <v>1176</v>
      </c>
      <c r="I202" s="219">
        <f>ROUND(F202,0)-43878</f>
        <v>594799</v>
      </c>
      <c r="J202" s="219">
        <f t="shared" si="105"/>
        <v>-43878</v>
      </c>
      <c r="K202" s="652" t="s">
        <v>1257</v>
      </c>
      <c r="L202" s="219">
        <f>ROUND(I202,0)-10000</f>
        <v>584799</v>
      </c>
      <c r="M202" s="219">
        <f t="shared" si="106"/>
        <v>-10000</v>
      </c>
      <c r="N202" s="652" t="s">
        <v>1296</v>
      </c>
      <c r="O202" s="219">
        <f>ROUND(L202,0)+6370-926</f>
        <v>590243</v>
      </c>
      <c r="P202" s="219">
        <f t="shared" si="107"/>
        <v>5444</v>
      </c>
      <c r="Q202" s="652" t="s">
        <v>1335</v>
      </c>
      <c r="R202" s="1020"/>
      <c r="S202" s="219">
        <f>346979-S203</f>
        <v>269177</v>
      </c>
      <c r="T202" s="306">
        <f t="shared" si="103"/>
        <v>0.45604437494387906</v>
      </c>
      <c r="U202" s="219" t="s">
        <v>1273</v>
      </c>
    </row>
    <row r="203" spans="2:21" ht="15" customHeight="1" x14ac:dyDescent="0.25">
      <c r="B203" s="74"/>
      <c r="C203" s="99" t="s">
        <v>1186</v>
      </c>
      <c r="D203" s="862" t="s">
        <v>1175</v>
      </c>
      <c r="E203" s="863">
        <v>0</v>
      </c>
      <c r="F203" s="863">
        <v>126968</v>
      </c>
      <c r="G203" s="67">
        <f t="shared" si="91"/>
        <v>126968</v>
      </c>
      <c r="H203" s="839"/>
      <c r="I203" s="219">
        <f>ROUND(F203,0)+43878</f>
        <v>170846</v>
      </c>
      <c r="J203" s="219">
        <f t="shared" si="105"/>
        <v>43878</v>
      </c>
      <c r="K203" s="652" t="s">
        <v>1257</v>
      </c>
      <c r="L203" s="219">
        <f t="shared" si="100"/>
        <v>170846</v>
      </c>
      <c r="M203" s="219">
        <f t="shared" si="106"/>
        <v>0</v>
      </c>
      <c r="N203" s="652"/>
      <c r="O203" s="219">
        <f>ROUND(L203,0)+926</f>
        <v>171772</v>
      </c>
      <c r="P203" s="219">
        <f t="shared" si="107"/>
        <v>926</v>
      </c>
      <c r="Q203" s="652" t="s">
        <v>1334</v>
      </c>
      <c r="R203" s="1020"/>
      <c r="S203" s="904">
        <v>77802</v>
      </c>
      <c r="T203" s="306">
        <f t="shared" si="103"/>
        <v>0.45293761497799406</v>
      </c>
      <c r="U203" s="609"/>
    </row>
    <row r="204" spans="2:21" ht="15.6" customHeight="1" x14ac:dyDescent="0.25">
      <c r="B204" s="74" t="s">
        <v>224</v>
      </c>
      <c r="C204" s="96" t="s">
        <v>396</v>
      </c>
      <c r="D204" s="623" t="s">
        <v>171</v>
      </c>
      <c r="E204" s="48">
        <v>4000</v>
      </c>
      <c r="F204" s="48">
        <f t="shared" si="102"/>
        <v>4000</v>
      </c>
      <c r="G204" s="28">
        <f t="shared" si="91"/>
        <v>0</v>
      </c>
      <c r="H204" s="365"/>
      <c r="I204" s="28">
        <f>ROUND(F204,0)</f>
        <v>4000</v>
      </c>
      <c r="J204" s="28">
        <f t="shared" si="105"/>
        <v>0</v>
      </c>
      <c r="K204" s="262"/>
      <c r="L204" s="28">
        <f t="shared" si="100"/>
        <v>4000</v>
      </c>
      <c r="M204" s="28">
        <f t="shared" si="106"/>
        <v>0</v>
      </c>
      <c r="N204" s="262"/>
      <c r="O204" s="28">
        <f t="shared" si="101"/>
        <v>4000</v>
      </c>
      <c r="P204" s="28">
        <f t="shared" si="107"/>
        <v>0</v>
      </c>
      <c r="Q204" s="262"/>
      <c r="R204" s="971"/>
      <c r="S204" s="28">
        <v>4000</v>
      </c>
      <c r="T204" s="309">
        <f t="shared" si="103"/>
        <v>1</v>
      </c>
      <c r="U204" s="369"/>
    </row>
    <row r="205" spans="2:21" ht="15.6" customHeight="1" x14ac:dyDescent="0.25">
      <c r="B205" s="74" t="s">
        <v>622</v>
      </c>
      <c r="C205" s="96" t="s">
        <v>527</v>
      </c>
      <c r="D205" s="623" t="s">
        <v>248</v>
      </c>
      <c r="E205" s="48">
        <v>19228</v>
      </c>
      <c r="F205" s="48">
        <f t="shared" si="102"/>
        <v>19228</v>
      </c>
      <c r="G205" s="28">
        <f t="shared" si="91"/>
        <v>0</v>
      </c>
      <c r="H205" s="365"/>
      <c r="I205" s="28">
        <f>ROUND(F205,0)</f>
        <v>19228</v>
      </c>
      <c r="J205" s="28">
        <f t="shared" si="105"/>
        <v>0</v>
      </c>
      <c r="K205" s="262"/>
      <c r="L205" s="28">
        <f t="shared" si="100"/>
        <v>19228</v>
      </c>
      <c r="M205" s="28">
        <f t="shared" si="106"/>
        <v>0</v>
      </c>
      <c r="N205" s="262"/>
      <c r="O205" s="28">
        <f t="shared" si="101"/>
        <v>19228</v>
      </c>
      <c r="P205" s="28">
        <f t="shared" si="107"/>
        <v>0</v>
      </c>
      <c r="Q205" s="262"/>
      <c r="R205" s="971"/>
      <c r="S205" s="28">
        <v>0</v>
      </c>
      <c r="T205" s="309">
        <f t="shared" si="103"/>
        <v>0</v>
      </c>
      <c r="U205" s="369"/>
    </row>
    <row r="206" spans="2:21" s="14" customFormat="1" ht="15.6" customHeight="1" x14ac:dyDescent="0.25">
      <c r="C206" s="97" t="s">
        <v>75</v>
      </c>
      <c r="D206" s="644" t="s">
        <v>173</v>
      </c>
      <c r="E206" s="23">
        <v>3797025.7610668591</v>
      </c>
      <c r="F206" s="23">
        <f t="shared" ref="F206:L206" si="108">F207+F214+F217+F222+F223+F224+F225+F226+F227</f>
        <v>3834372</v>
      </c>
      <c r="G206" s="23">
        <f t="shared" si="108"/>
        <v>37346.238933140878</v>
      </c>
      <c r="H206" s="23">
        <f t="shared" si="108"/>
        <v>0</v>
      </c>
      <c r="I206" s="23">
        <f t="shared" si="108"/>
        <v>3834372</v>
      </c>
      <c r="J206" s="23">
        <f t="shared" si="108"/>
        <v>0</v>
      </c>
      <c r="K206" s="23">
        <f t="shared" si="108"/>
        <v>0</v>
      </c>
      <c r="L206" s="23">
        <f t="shared" si="108"/>
        <v>3806675</v>
      </c>
      <c r="M206" s="23">
        <f t="shared" si="106"/>
        <v>-27697</v>
      </c>
      <c r="N206" s="23"/>
      <c r="O206" s="23">
        <f>O207+O214+O217+O222+O223+O224+O225+O226+O227</f>
        <v>3850931</v>
      </c>
      <c r="P206" s="23">
        <f t="shared" si="107"/>
        <v>44256</v>
      </c>
      <c r="Q206" s="23"/>
      <c r="R206" s="1021"/>
      <c r="S206" s="23">
        <f>S207+S214+S217+S222+S223+S224+S226+S227</f>
        <v>1385661</v>
      </c>
      <c r="T206" s="297">
        <f t="shared" si="103"/>
        <v>0.35982493584019032</v>
      </c>
      <c r="U206" s="368"/>
    </row>
    <row r="207" spans="2:21" s="14" customFormat="1" ht="15" customHeight="1" x14ac:dyDescent="0.25">
      <c r="C207" s="96" t="s">
        <v>77</v>
      </c>
      <c r="D207" s="623" t="s">
        <v>174</v>
      </c>
      <c r="E207" s="48">
        <v>2756987.0633929078</v>
      </c>
      <c r="F207" s="48">
        <f t="shared" ref="F207:G207" si="109">F208+F209+F210+F211+F213</f>
        <v>2756987</v>
      </c>
      <c r="G207" s="28">
        <f t="shared" si="109"/>
        <v>-6.3392907846719027E-2</v>
      </c>
      <c r="H207" s="369"/>
      <c r="I207" s="28">
        <f t="shared" ref="I207:L207" si="110">SUM(I208:I213)</f>
        <v>2756987</v>
      </c>
      <c r="J207" s="28">
        <f t="shared" si="110"/>
        <v>0</v>
      </c>
      <c r="K207" s="28">
        <f t="shared" si="110"/>
        <v>0</v>
      </c>
      <c r="L207" s="28">
        <f t="shared" si="110"/>
        <v>2756987</v>
      </c>
      <c r="M207" s="28">
        <f t="shared" si="106"/>
        <v>0</v>
      </c>
      <c r="N207" s="28"/>
      <c r="O207" s="28">
        <f>SUM(O208:O213)</f>
        <v>2756959</v>
      </c>
      <c r="P207" s="28">
        <f t="shared" si="107"/>
        <v>-28</v>
      </c>
      <c r="Q207" s="28"/>
      <c r="R207" s="968"/>
      <c r="S207" s="28">
        <f>S208+S209+S210+S211+S213</f>
        <v>1182950</v>
      </c>
      <c r="T207" s="309">
        <f t="shared" si="103"/>
        <v>0.42907783539762467</v>
      </c>
      <c r="U207" s="369"/>
    </row>
    <row r="208" spans="2:21" s="44" customFormat="1" ht="18.600000000000001" customHeight="1" outlineLevel="1" x14ac:dyDescent="0.25">
      <c r="B208" s="44">
        <v>1010</v>
      </c>
      <c r="C208" s="711" t="s">
        <v>397</v>
      </c>
      <c r="D208" s="622" t="s">
        <v>372</v>
      </c>
      <c r="E208" s="49">
        <v>650934.06339290785</v>
      </c>
      <c r="F208" s="49">
        <f>ROUND(E208,0)</f>
        <v>650934</v>
      </c>
      <c r="G208" s="45">
        <f t="shared" si="91"/>
        <v>-6.3392907846719027E-2</v>
      </c>
      <c r="H208" s="848"/>
      <c r="I208" s="45">
        <f>ROUND(F208,0)</f>
        <v>650934</v>
      </c>
      <c r="J208" s="45">
        <f t="shared" si="105"/>
        <v>0</v>
      </c>
      <c r="K208" s="267"/>
      <c r="L208" s="45">
        <f>ROUND(I208,0)</f>
        <v>650934</v>
      </c>
      <c r="M208" s="45">
        <f t="shared" si="106"/>
        <v>0</v>
      </c>
      <c r="N208" s="267"/>
      <c r="O208" s="45">
        <f>ROUND(L208,0)-1186</f>
        <v>649748</v>
      </c>
      <c r="P208" s="45">
        <f t="shared" si="107"/>
        <v>-1186</v>
      </c>
      <c r="Q208" s="652" t="s">
        <v>1341</v>
      </c>
      <c r="R208" s="1020"/>
      <c r="S208" s="45">
        <f>939897-S209</f>
        <v>281378.58999999997</v>
      </c>
      <c r="T208" s="324">
        <f t="shared" si="103"/>
        <v>0.43305803172922419</v>
      </c>
      <c r="U208" s="45" t="s">
        <v>1405</v>
      </c>
    </row>
    <row r="209" spans="2:21" s="44" customFormat="1" ht="16.2" customHeight="1" outlineLevel="1" x14ac:dyDescent="0.25">
      <c r="B209" s="44">
        <v>1010</v>
      </c>
      <c r="C209" s="99" t="s">
        <v>398</v>
      </c>
      <c r="D209" s="622" t="s">
        <v>234</v>
      </c>
      <c r="E209" s="49">
        <v>1598833</v>
      </c>
      <c r="F209" s="49">
        <f>ROUND(E209,0)</f>
        <v>1598833</v>
      </c>
      <c r="G209" s="67">
        <f t="shared" si="91"/>
        <v>0</v>
      </c>
      <c r="H209" s="808"/>
      <c r="I209" s="45">
        <f>ROUND(F209,0)</f>
        <v>1598833</v>
      </c>
      <c r="J209" s="67">
        <f t="shared" si="105"/>
        <v>0</v>
      </c>
      <c r="K209" s="276"/>
      <c r="L209" s="45">
        <f>ROUND(I209,0)</f>
        <v>1598833</v>
      </c>
      <c r="M209" s="67">
        <f t="shared" si="106"/>
        <v>0</v>
      </c>
      <c r="N209" s="276"/>
      <c r="O209" s="45">
        <f>ROUND(L209,0)</f>
        <v>1598833</v>
      </c>
      <c r="P209" s="67">
        <f t="shared" si="107"/>
        <v>0</v>
      </c>
      <c r="Q209" s="276"/>
      <c r="R209" s="1029"/>
      <c r="S209" s="45">
        <v>658518.41</v>
      </c>
      <c r="T209" s="324">
        <f t="shared" si="103"/>
        <v>0.41187441715301099</v>
      </c>
      <c r="U209" s="373"/>
    </row>
    <row r="210" spans="2:21" s="44" customFormat="1" ht="17.399999999999999" customHeight="1" outlineLevel="1" x14ac:dyDescent="0.25">
      <c r="B210" s="44">
        <v>1010</v>
      </c>
      <c r="C210" s="99" t="s">
        <v>399</v>
      </c>
      <c r="D210" s="642" t="s">
        <v>232</v>
      </c>
      <c r="E210" s="49">
        <v>0</v>
      </c>
      <c r="F210" s="49">
        <f>ROUND(E210,0)</f>
        <v>0</v>
      </c>
      <c r="G210" s="108">
        <f t="shared" si="91"/>
        <v>0</v>
      </c>
      <c r="H210" s="847"/>
      <c r="I210" s="45">
        <f>ROUND(F210,0)</f>
        <v>0</v>
      </c>
      <c r="J210" s="108">
        <f t="shared" si="105"/>
        <v>0</v>
      </c>
      <c r="K210" s="276"/>
      <c r="L210" s="45">
        <f>ROUND(I210,0)</f>
        <v>0</v>
      </c>
      <c r="M210" s="108">
        <f t="shared" si="106"/>
        <v>0</v>
      </c>
      <c r="N210" s="276"/>
      <c r="O210" s="45">
        <f>ROUND(L210,0)</f>
        <v>0</v>
      </c>
      <c r="P210" s="108">
        <f t="shared" si="107"/>
        <v>0</v>
      </c>
      <c r="Q210" s="276"/>
      <c r="R210" s="1029"/>
      <c r="S210" s="21">
        <v>0</v>
      </c>
      <c r="T210" s="324"/>
      <c r="U210" s="373"/>
    </row>
    <row r="211" spans="2:21" s="44" customFormat="1" outlineLevel="1" x14ac:dyDescent="0.25">
      <c r="B211" s="44">
        <v>1012</v>
      </c>
      <c r="C211" s="99" t="s">
        <v>400</v>
      </c>
      <c r="D211" s="622" t="s">
        <v>236</v>
      </c>
      <c r="E211" s="49">
        <v>501000</v>
      </c>
      <c r="F211" s="49">
        <f>ROUND(E211,0)</f>
        <v>501000</v>
      </c>
      <c r="G211" s="45">
        <f t="shared" si="91"/>
        <v>0</v>
      </c>
      <c r="H211" s="848"/>
      <c r="I211" s="45">
        <f>ROUND(F211,0)</f>
        <v>501000</v>
      </c>
      <c r="J211" s="45">
        <f t="shared" si="105"/>
        <v>0</v>
      </c>
      <c r="K211" s="275"/>
      <c r="L211" s="45">
        <f>ROUND(I211,0)</f>
        <v>501000</v>
      </c>
      <c r="M211" s="45">
        <f t="shared" si="106"/>
        <v>0</v>
      </c>
      <c r="N211" s="275"/>
      <c r="O211" s="45">
        <f>ROUND(L211,0)</f>
        <v>501000</v>
      </c>
      <c r="P211" s="45">
        <f t="shared" si="107"/>
        <v>0</v>
      </c>
      <c r="Q211" s="275"/>
      <c r="R211" s="967"/>
      <c r="S211" s="45">
        <v>241359</v>
      </c>
      <c r="T211" s="324">
        <f>S211/O211</f>
        <v>0.48175449101796408</v>
      </c>
      <c r="U211" s="373"/>
    </row>
    <row r="212" spans="2:21" s="44" customFormat="1" outlineLevel="1" x14ac:dyDescent="0.25">
      <c r="C212" s="99" t="s">
        <v>401</v>
      </c>
      <c r="D212" s="963" t="s">
        <v>1340</v>
      </c>
      <c r="E212" s="964"/>
      <c r="F212" s="964"/>
      <c r="G212" s="903"/>
      <c r="H212" s="965"/>
      <c r="I212" s="903"/>
      <c r="J212" s="903"/>
      <c r="K212" s="967"/>
      <c r="L212" s="903"/>
      <c r="M212" s="903"/>
      <c r="N212" s="967"/>
      <c r="O212" s="903">
        <f>1186</f>
        <v>1186</v>
      </c>
      <c r="P212" s="45">
        <f t="shared" si="107"/>
        <v>1186</v>
      </c>
      <c r="Q212" s="652" t="s">
        <v>1341</v>
      </c>
      <c r="R212" s="1020"/>
      <c r="S212" s="903">
        <v>90</v>
      </c>
      <c r="T212" s="324">
        <f>S212/O212</f>
        <v>7.5885328836424959E-2</v>
      </c>
      <c r="U212" s="966"/>
    </row>
    <row r="213" spans="2:21" s="44" customFormat="1" outlineLevel="1" x14ac:dyDescent="0.25">
      <c r="B213" s="44">
        <v>1015</v>
      </c>
      <c r="C213" s="99" t="s">
        <v>1339</v>
      </c>
      <c r="D213" s="622" t="s">
        <v>308</v>
      </c>
      <c r="E213" s="788">
        <v>6220</v>
      </c>
      <c r="F213" s="788">
        <f>ROUND(E213,0)</f>
        <v>6220</v>
      </c>
      <c r="G213" s="67">
        <f t="shared" si="91"/>
        <v>0</v>
      </c>
      <c r="H213" s="849"/>
      <c r="I213" s="67">
        <f>ROUND(F213,0)</f>
        <v>6220</v>
      </c>
      <c r="J213" s="67">
        <f t="shared" si="105"/>
        <v>0</v>
      </c>
      <c r="K213" s="277"/>
      <c r="L213" s="67">
        <f>ROUND(I213,0)</f>
        <v>6220</v>
      </c>
      <c r="M213" s="67">
        <f t="shared" si="106"/>
        <v>0</v>
      </c>
      <c r="N213" s="277"/>
      <c r="O213" s="67">
        <f>ROUND(L213,0)-28</f>
        <v>6192</v>
      </c>
      <c r="P213" s="67">
        <f t="shared" si="107"/>
        <v>-28</v>
      </c>
      <c r="Q213" s="277" t="s">
        <v>1345</v>
      </c>
      <c r="R213" s="967"/>
      <c r="S213" s="67">
        <v>1694</v>
      </c>
      <c r="T213" s="325">
        <f t="shared" ref="T213:T219" si="111">S213/O213</f>
        <v>0.27357881136950907</v>
      </c>
      <c r="U213" s="612"/>
    </row>
    <row r="214" spans="2:21" s="14" customFormat="1" ht="19.5" customHeight="1" x14ac:dyDescent="0.25">
      <c r="C214" s="96" t="s">
        <v>79</v>
      </c>
      <c r="D214" s="623" t="s">
        <v>175</v>
      </c>
      <c r="E214" s="48">
        <v>14014</v>
      </c>
      <c r="F214" s="48">
        <f>F215+F216</f>
        <v>14244</v>
      </c>
      <c r="G214" s="28">
        <f t="shared" si="91"/>
        <v>230</v>
      </c>
      <c r="H214" s="818"/>
      <c r="I214" s="28">
        <f>I215+I216</f>
        <v>14244</v>
      </c>
      <c r="J214" s="28">
        <f t="shared" si="105"/>
        <v>0</v>
      </c>
      <c r="K214" s="242"/>
      <c r="L214" s="28">
        <f>L215+L216</f>
        <v>14244</v>
      </c>
      <c r="M214" s="28">
        <f t="shared" si="106"/>
        <v>0</v>
      </c>
      <c r="N214" s="242"/>
      <c r="O214" s="28">
        <f>O215+O216</f>
        <v>14244</v>
      </c>
      <c r="P214" s="28">
        <f t="shared" si="107"/>
        <v>0</v>
      </c>
      <c r="Q214" s="242"/>
      <c r="R214" s="974"/>
      <c r="S214" s="28">
        <f>S215+S216</f>
        <v>390</v>
      </c>
      <c r="T214" s="309">
        <f t="shared" si="111"/>
        <v>2.737994945240101E-2</v>
      </c>
      <c r="U214" s="369"/>
    </row>
    <row r="215" spans="2:21" s="44" customFormat="1" outlineLevel="1" x14ac:dyDescent="0.25">
      <c r="B215" s="44">
        <v>1011</v>
      </c>
      <c r="C215" s="99" t="s">
        <v>182</v>
      </c>
      <c r="D215" s="622" t="s">
        <v>238</v>
      </c>
      <c r="E215" s="49">
        <v>1407</v>
      </c>
      <c r="F215" s="49">
        <f>ROUND(E215,0)</f>
        <v>1407</v>
      </c>
      <c r="G215" s="45">
        <f t="shared" si="91"/>
        <v>0</v>
      </c>
      <c r="H215" s="848"/>
      <c r="I215" s="45">
        <f>ROUND(F215,0)</f>
        <v>1407</v>
      </c>
      <c r="J215" s="45">
        <f t="shared" si="105"/>
        <v>0</v>
      </c>
      <c r="K215" s="275"/>
      <c r="L215" s="45">
        <f>ROUND(I215,0)</f>
        <v>1407</v>
      </c>
      <c r="M215" s="45">
        <f t="shared" si="106"/>
        <v>0</v>
      </c>
      <c r="N215" s="275"/>
      <c r="O215" s="45">
        <f>ROUND(L215,0)</f>
        <v>1407</v>
      </c>
      <c r="P215" s="45">
        <f t="shared" si="107"/>
        <v>0</v>
      </c>
      <c r="Q215" s="275"/>
      <c r="R215" s="967"/>
      <c r="S215" s="45">
        <f>390-S216</f>
        <v>140</v>
      </c>
      <c r="T215" s="324">
        <f t="shared" si="111"/>
        <v>9.950248756218906E-2</v>
      </c>
      <c r="U215" s="373"/>
    </row>
    <row r="216" spans="2:21" s="44" customFormat="1" outlineLevel="1" x14ac:dyDescent="0.25">
      <c r="B216" s="44">
        <v>1011</v>
      </c>
      <c r="C216" s="99" t="s">
        <v>184</v>
      </c>
      <c r="D216" s="622" t="s">
        <v>239</v>
      </c>
      <c r="E216" s="49">
        <v>12607</v>
      </c>
      <c r="F216" s="49">
        <f>ROUND(E216,0)+230</f>
        <v>12837</v>
      </c>
      <c r="G216" s="45">
        <f t="shared" si="91"/>
        <v>230</v>
      </c>
      <c r="H216" s="275" t="s">
        <v>615</v>
      </c>
      <c r="I216" s="45">
        <f>ROUND(F216,0)</f>
        <v>12837</v>
      </c>
      <c r="J216" s="45">
        <f t="shared" si="105"/>
        <v>0</v>
      </c>
      <c r="K216" s="275"/>
      <c r="L216" s="45">
        <f>ROUND(I216,0)</f>
        <v>12837</v>
      </c>
      <c r="M216" s="45">
        <f t="shared" si="106"/>
        <v>0</v>
      </c>
      <c r="N216" s="275"/>
      <c r="O216" s="45">
        <f>ROUND(L216,0)</f>
        <v>12837</v>
      </c>
      <c r="P216" s="45">
        <f t="shared" si="107"/>
        <v>0</v>
      </c>
      <c r="Q216" s="275"/>
      <c r="R216" s="967"/>
      <c r="S216" s="45">
        <v>250</v>
      </c>
      <c r="T216" s="324">
        <f t="shared" si="111"/>
        <v>1.9474955207603024E-2</v>
      </c>
      <c r="U216" s="373"/>
    </row>
    <row r="217" spans="2:21" s="14" customFormat="1" ht="27" customHeight="1" x14ac:dyDescent="0.25">
      <c r="C217" s="96" t="s">
        <v>80</v>
      </c>
      <c r="D217" s="623" t="s">
        <v>258</v>
      </c>
      <c r="E217" s="770">
        <v>622113.62317695003</v>
      </c>
      <c r="F217" s="770">
        <f t="shared" ref="F217:G217" si="112">SUM(F218:F221)</f>
        <v>659230</v>
      </c>
      <c r="G217" s="64">
        <f t="shared" si="112"/>
        <v>37116.376823049912</v>
      </c>
      <c r="H217" s="365"/>
      <c r="I217" s="64">
        <f>SUM(I218:I221)</f>
        <v>659230</v>
      </c>
      <c r="J217" s="64">
        <f t="shared" si="105"/>
        <v>0</v>
      </c>
      <c r="K217" s="262"/>
      <c r="L217" s="64">
        <f>SUM(L218:L221)</f>
        <v>631533</v>
      </c>
      <c r="M217" s="64">
        <f t="shared" si="106"/>
        <v>-27697</v>
      </c>
      <c r="N217" s="262"/>
      <c r="O217" s="64">
        <f>SUM(O218:O221)</f>
        <v>631533</v>
      </c>
      <c r="P217" s="64">
        <f t="shared" si="107"/>
        <v>0</v>
      </c>
      <c r="Q217" s="262"/>
      <c r="R217" s="971"/>
      <c r="S217" s="64">
        <f>SUM(S218:S221)</f>
        <v>118401</v>
      </c>
      <c r="T217" s="326">
        <f t="shared" si="111"/>
        <v>0.18748188930744711</v>
      </c>
      <c r="U217" s="613"/>
    </row>
    <row r="218" spans="2:21" s="14" customFormat="1" ht="15" customHeight="1" x14ac:dyDescent="0.25">
      <c r="B218" s="12" t="s">
        <v>623</v>
      </c>
      <c r="C218" s="100" t="s">
        <v>187</v>
      </c>
      <c r="D218" s="643" t="s">
        <v>597</v>
      </c>
      <c r="E218" s="767">
        <v>402246.62317695009</v>
      </c>
      <c r="F218" s="767">
        <f>ROUND(E218,0)</f>
        <v>402247</v>
      </c>
      <c r="G218" s="55">
        <f t="shared" si="91"/>
        <v>0.37682304991176352</v>
      </c>
      <c r="H218" s="801"/>
      <c r="I218" s="55">
        <f>ROUND(F218,0)</f>
        <v>402247</v>
      </c>
      <c r="J218" s="55">
        <f t="shared" si="105"/>
        <v>0</v>
      </c>
      <c r="K218" s="267"/>
      <c r="L218" s="55">
        <f>ROUND(I218,0)-27697</f>
        <v>374550</v>
      </c>
      <c r="M218" s="55">
        <f t="shared" si="106"/>
        <v>-27697</v>
      </c>
      <c r="N218" s="267" t="s">
        <v>1289</v>
      </c>
      <c r="O218" s="55">
        <f>ROUND(L218,0)-3745</f>
        <v>370805</v>
      </c>
      <c r="P218" s="55">
        <f t="shared" si="107"/>
        <v>-3745</v>
      </c>
      <c r="Q218" s="652" t="s">
        <v>1338</v>
      </c>
      <c r="R218" s="1020"/>
      <c r="S218" s="55">
        <f>118191-S219-S220</f>
        <v>111951.65</v>
      </c>
      <c r="T218" s="307">
        <f t="shared" si="111"/>
        <v>0.30191515756260029</v>
      </c>
      <c r="U218" s="815"/>
    </row>
    <row r="219" spans="2:21" s="14" customFormat="1" ht="15" customHeight="1" x14ac:dyDescent="0.25">
      <c r="B219" s="12" t="s">
        <v>623</v>
      </c>
      <c r="C219" s="100" t="s">
        <v>188</v>
      </c>
      <c r="D219" s="643" t="s">
        <v>1337</v>
      </c>
      <c r="E219" s="905"/>
      <c r="F219" s="905"/>
      <c r="G219" s="904"/>
      <c r="H219" s="961"/>
      <c r="I219" s="904"/>
      <c r="J219" s="904"/>
      <c r="K219" s="907"/>
      <c r="L219" s="904"/>
      <c r="M219" s="904"/>
      <c r="N219" s="907"/>
      <c r="O219" s="904">
        <f>3745</f>
        <v>3745</v>
      </c>
      <c r="P219" s="55">
        <f t="shared" si="107"/>
        <v>3745</v>
      </c>
      <c r="Q219" s="652" t="s">
        <v>1338</v>
      </c>
      <c r="R219" s="1020"/>
      <c r="S219" s="904">
        <v>775</v>
      </c>
      <c r="T219" s="307">
        <f t="shared" si="111"/>
        <v>0.20694259012016022</v>
      </c>
      <c r="U219" s="962"/>
    </row>
    <row r="220" spans="2:21" s="14" customFormat="1" ht="15.75" customHeight="1" x14ac:dyDescent="0.25">
      <c r="B220" s="12" t="s">
        <v>623</v>
      </c>
      <c r="C220" s="161" t="s">
        <v>402</v>
      </c>
      <c r="D220" s="643" t="s">
        <v>600</v>
      </c>
      <c r="E220" s="767">
        <v>10250</v>
      </c>
      <c r="F220" s="767">
        <f>ROUND(E220,0)+38150</f>
        <v>48400</v>
      </c>
      <c r="G220" s="55">
        <f t="shared" si="91"/>
        <v>38150</v>
      </c>
      <c r="H220" s="225" t="s">
        <v>1190</v>
      </c>
      <c r="I220" s="55">
        <f t="shared" ref="I220:I227" si="113">ROUND(F220,0)</f>
        <v>48400</v>
      </c>
      <c r="J220" s="55">
        <f t="shared" si="105"/>
        <v>0</v>
      </c>
      <c r="K220" s="225"/>
      <c r="L220" s="55">
        <f t="shared" ref="L220:L227" si="114">ROUND(I220,0)</f>
        <v>48400</v>
      </c>
      <c r="M220" s="55">
        <f t="shared" si="106"/>
        <v>0</v>
      </c>
      <c r="N220" s="225"/>
      <c r="O220" s="55">
        <f t="shared" ref="O220:O227" si="115">ROUND(L220,0)</f>
        <v>48400</v>
      </c>
      <c r="P220" s="55">
        <f t="shared" si="107"/>
        <v>0</v>
      </c>
      <c r="Q220" s="225"/>
      <c r="R220" s="1015"/>
      <c r="S220" s="55">
        <v>5464.35</v>
      </c>
      <c r="T220" s="307">
        <f>S220/O220</f>
        <v>0.11289979338842976</v>
      </c>
      <c r="U220" s="55" t="s">
        <v>668</v>
      </c>
    </row>
    <row r="221" spans="2:21" s="14" customFormat="1" ht="15.6" customHeight="1" x14ac:dyDescent="0.25">
      <c r="B221" s="12" t="s">
        <v>449</v>
      </c>
      <c r="C221" s="100" t="s">
        <v>1336</v>
      </c>
      <c r="D221" s="643" t="s">
        <v>598</v>
      </c>
      <c r="E221" s="767">
        <v>209617</v>
      </c>
      <c r="F221" s="767">
        <f>ROUND(E221,0)-1034</f>
        <v>208583</v>
      </c>
      <c r="G221" s="55">
        <f t="shared" si="91"/>
        <v>-1034</v>
      </c>
      <c r="H221" s="225" t="s">
        <v>615</v>
      </c>
      <c r="I221" s="55">
        <f t="shared" si="113"/>
        <v>208583</v>
      </c>
      <c r="J221" s="55">
        <f t="shared" si="105"/>
        <v>0</v>
      </c>
      <c r="K221" s="225"/>
      <c r="L221" s="55">
        <f t="shared" si="114"/>
        <v>208583</v>
      </c>
      <c r="M221" s="55">
        <f t="shared" si="106"/>
        <v>0</v>
      </c>
      <c r="N221" s="225"/>
      <c r="O221" s="55">
        <f t="shared" si="115"/>
        <v>208583</v>
      </c>
      <c r="P221" s="55">
        <f t="shared" si="107"/>
        <v>0</v>
      </c>
      <c r="Q221" s="225"/>
      <c r="R221" s="1015"/>
      <c r="S221" s="55">
        <v>210</v>
      </c>
      <c r="T221" s="307">
        <f>S221/O221</f>
        <v>1.0067934587190712E-3</v>
      </c>
      <c r="U221" s="815"/>
    </row>
    <row r="222" spans="2:21" s="14" customFormat="1" ht="16.2" customHeight="1" x14ac:dyDescent="0.25">
      <c r="C222" s="96" t="s">
        <v>189</v>
      </c>
      <c r="D222" s="623" t="s">
        <v>177</v>
      </c>
      <c r="E222" s="48">
        <v>139599.07449700119</v>
      </c>
      <c r="F222" s="48">
        <f>ROUND(E222,0)</f>
        <v>139599</v>
      </c>
      <c r="G222" s="28">
        <f t="shared" si="91"/>
        <v>-7.4497001187410206E-2</v>
      </c>
      <c r="H222" s="365"/>
      <c r="I222" s="28">
        <f>ROUND(F222,0)</f>
        <v>139599</v>
      </c>
      <c r="J222" s="28">
        <f t="shared" si="105"/>
        <v>0</v>
      </c>
      <c r="K222" s="242"/>
      <c r="L222" s="28">
        <f t="shared" si="114"/>
        <v>139599</v>
      </c>
      <c r="M222" s="28">
        <f t="shared" si="106"/>
        <v>0</v>
      </c>
      <c r="N222" s="242"/>
      <c r="O222" s="28">
        <f t="shared" si="115"/>
        <v>139599</v>
      </c>
      <c r="P222" s="28">
        <f t="shared" si="107"/>
        <v>0</v>
      </c>
      <c r="Q222" s="242"/>
      <c r="R222" s="974"/>
      <c r="S222" s="28">
        <v>58532</v>
      </c>
      <c r="T222" s="309">
        <f>S222/O222</f>
        <v>0.41928667110795925</v>
      </c>
      <c r="U222" s="369"/>
    </row>
    <row r="223" spans="2:21" s="14" customFormat="1" ht="18.75" customHeight="1" x14ac:dyDescent="0.25">
      <c r="B223" s="12">
        <v>1016</v>
      </c>
      <c r="C223" s="153" t="s">
        <v>192</v>
      </c>
      <c r="D223" s="638" t="s">
        <v>512</v>
      </c>
      <c r="E223" s="789">
        <v>50000</v>
      </c>
      <c r="F223" s="789">
        <f>ROUND(E223,0)</f>
        <v>50000</v>
      </c>
      <c r="G223" s="111">
        <f t="shared" si="91"/>
        <v>0</v>
      </c>
      <c r="H223" s="850"/>
      <c r="I223" s="111">
        <f>ROUND(F223,0)</f>
        <v>50000</v>
      </c>
      <c r="J223" s="111">
        <f t="shared" si="105"/>
        <v>0</v>
      </c>
      <c r="K223" s="262"/>
      <c r="L223" s="111">
        <f t="shared" si="114"/>
        <v>50000</v>
      </c>
      <c r="M223" s="111">
        <f t="shared" si="106"/>
        <v>0</v>
      </c>
      <c r="N223" s="262"/>
      <c r="O223" s="111">
        <f>ROUND(L223,0)</f>
        <v>50000</v>
      </c>
      <c r="P223" s="111">
        <f t="shared" si="107"/>
        <v>0</v>
      </c>
      <c r="Q223" s="262"/>
      <c r="R223" s="971"/>
      <c r="S223" s="111">
        <v>25388</v>
      </c>
      <c r="T223" s="327">
        <f>S223/O223</f>
        <v>0.50775999999999999</v>
      </c>
      <c r="U223" s="370"/>
    </row>
    <row r="224" spans="2:21" s="14" customFormat="1" ht="18.75" customHeight="1" x14ac:dyDescent="0.25">
      <c r="B224" s="12">
        <v>1017</v>
      </c>
      <c r="C224" s="96" t="s">
        <v>194</v>
      </c>
      <c r="D224" s="639" t="s">
        <v>573</v>
      </c>
      <c r="E224" s="789">
        <v>200000</v>
      </c>
      <c r="F224" s="789">
        <f>ROUND(E224,0)</f>
        <v>200000</v>
      </c>
      <c r="G224" s="111">
        <f t="shared" si="91"/>
        <v>0</v>
      </c>
      <c r="H224" s="850"/>
      <c r="I224" s="111">
        <f t="shared" si="113"/>
        <v>200000</v>
      </c>
      <c r="J224" s="111">
        <f t="shared" si="105"/>
        <v>0</v>
      </c>
      <c r="K224" s="266"/>
      <c r="L224" s="111">
        <f t="shared" si="114"/>
        <v>200000</v>
      </c>
      <c r="M224" s="111">
        <f t="shared" si="106"/>
        <v>0</v>
      </c>
      <c r="N224" s="266"/>
      <c r="O224" s="111">
        <f t="shared" si="115"/>
        <v>200000</v>
      </c>
      <c r="P224" s="111">
        <f t="shared" si="107"/>
        <v>0</v>
      </c>
      <c r="Q224" s="266"/>
      <c r="R224" s="971"/>
      <c r="S224" s="111">
        <v>0</v>
      </c>
      <c r="T224" s="327">
        <f>S224/O224</f>
        <v>0</v>
      </c>
      <c r="U224" s="370"/>
    </row>
    <row r="225" spans="2:21" s="14" customFormat="1" ht="40.200000000000003" customHeight="1" x14ac:dyDescent="0.25">
      <c r="B225" s="12">
        <v>1018</v>
      </c>
      <c r="C225" s="96" t="s">
        <v>195</v>
      </c>
      <c r="D225" s="623" t="s">
        <v>861</v>
      </c>
      <c r="E225" s="969"/>
      <c r="F225" s="969"/>
      <c r="G225" s="968"/>
      <c r="H225" s="970"/>
      <c r="I225" s="968"/>
      <c r="J225" s="968"/>
      <c r="K225" s="971"/>
      <c r="L225" s="968"/>
      <c r="M225" s="968"/>
      <c r="N225" s="971"/>
      <c r="O225" s="968">
        <v>44284</v>
      </c>
      <c r="P225" s="111">
        <f t="shared" si="107"/>
        <v>44284</v>
      </c>
      <c r="Q225" s="974" t="s">
        <v>1349</v>
      </c>
      <c r="R225" s="974"/>
      <c r="S225" s="968"/>
      <c r="T225" s="972"/>
      <c r="U225" s="973"/>
    </row>
    <row r="226" spans="2:21" ht="40.950000000000003" customHeight="1" x14ac:dyDescent="0.25">
      <c r="B226" s="12" t="s">
        <v>455</v>
      </c>
      <c r="C226" s="96" t="s">
        <v>197</v>
      </c>
      <c r="D226" s="639" t="s">
        <v>544</v>
      </c>
      <c r="E226" s="789">
        <v>10226</v>
      </c>
      <c r="F226" s="789">
        <f>ROUND(E226,0)</f>
        <v>10226</v>
      </c>
      <c r="G226" s="111">
        <f>F226-E226</f>
        <v>0</v>
      </c>
      <c r="H226" s="850"/>
      <c r="I226" s="21">
        <f t="shared" si="113"/>
        <v>10226</v>
      </c>
      <c r="J226" s="21">
        <f t="shared" si="105"/>
        <v>0</v>
      </c>
      <c r="K226" s="267"/>
      <c r="L226" s="21">
        <f t="shared" si="114"/>
        <v>10226</v>
      </c>
      <c r="M226" s="21">
        <f t="shared" si="106"/>
        <v>0</v>
      </c>
      <c r="N226" s="267"/>
      <c r="O226" s="21">
        <f t="shared" si="115"/>
        <v>10226</v>
      </c>
      <c r="P226" s="21">
        <f t="shared" si="107"/>
        <v>0</v>
      </c>
      <c r="Q226" s="267"/>
      <c r="R226" s="907"/>
      <c r="S226" s="21">
        <v>0</v>
      </c>
      <c r="T226" s="298">
        <f t="shared" ref="T226:T248" si="116">S226/O226</f>
        <v>0</v>
      </c>
      <c r="U226" s="911"/>
    </row>
    <row r="227" spans="2:21" ht="44.4" customHeight="1" x14ac:dyDescent="0.25">
      <c r="B227" s="12" t="s">
        <v>545</v>
      </c>
      <c r="C227" s="96" t="s">
        <v>1348</v>
      </c>
      <c r="D227" s="639" t="s">
        <v>546</v>
      </c>
      <c r="E227" s="789">
        <v>4086</v>
      </c>
      <c r="F227" s="789">
        <f>ROUND(E227,0)</f>
        <v>4086</v>
      </c>
      <c r="G227" s="111">
        <f>F227-E227</f>
        <v>0</v>
      </c>
      <c r="H227" s="850"/>
      <c r="I227" s="21">
        <f t="shared" si="113"/>
        <v>4086</v>
      </c>
      <c r="J227" s="21">
        <f t="shared" si="105"/>
        <v>0</v>
      </c>
      <c r="K227" s="272"/>
      <c r="L227" s="21">
        <f t="shared" si="114"/>
        <v>4086</v>
      </c>
      <c r="M227" s="21">
        <f t="shared" si="106"/>
        <v>0</v>
      </c>
      <c r="N227" s="272"/>
      <c r="O227" s="21">
        <f t="shared" si="115"/>
        <v>4086</v>
      </c>
      <c r="P227" s="21">
        <f t="shared" si="107"/>
        <v>0</v>
      </c>
      <c r="Q227" s="272"/>
      <c r="R227" s="907"/>
      <c r="S227" s="21">
        <v>0</v>
      </c>
      <c r="T227" s="298">
        <f t="shared" si="116"/>
        <v>0</v>
      </c>
      <c r="U227" s="911"/>
    </row>
    <row r="228" spans="2:21" x14ac:dyDescent="0.25">
      <c r="C228" s="97" t="s">
        <v>81</v>
      </c>
      <c r="D228" s="644" t="s">
        <v>178</v>
      </c>
      <c r="E228" s="761">
        <v>24609695.260866992</v>
      </c>
      <c r="F228" s="761">
        <f t="shared" ref="F228" si="117">F229+F230+F234+F238+F242+F246+F250+F261+F262+F280+F283+F286+F287+F288+F289+F290+F291+F292</f>
        <v>25093873</v>
      </c>
      <c r="G228" s="23">
        <f>F228-E228</f>
        <v>484177.73913300782</v>
      </c>
      <c r="H228" s="368"/>
      <c r="I228" s="23">
        <f>I229+I230+I234+I238+I242+I246+I250+I261+I262+I280+I283+I286+I287+I288+I289+I290+I291+I292</f>
        <v>25311613</v>
      </c>
      <c r="J228" s="23">
        <f t="shared" si="105"/>
        <v>217740</v>
      </c>
      <c r="K228" s="23"/>
      <c r="L228" s="23">
        <f>L229+L230+L234+L238+L242+L246+L250+L261+L262+L280+L283+L286+L287+L288+L289+L290+L291+L292</f>
        <v>25298401</v>
      </c>
      <c r="M228" s="23">
        <f t="shared" si="106"/>
        <v>-13212</v>
      </c>
      <c r="N228" s="23"/>
      <c r="O228" s="23">
        <f>O229+O230+O234+O238+O242+O246+O250+O261+O262+O280+O283+O286+O287+O288+O289+O290+O291+O292</f>
        <v>25291772</v>
      </c>
      <c r="P228" s="23">
        <f t="shared" si="107"/>
        <v>-6629</v>
      </c>
      <c r="Q228" s="23"/>
      <c r="R228" s="1021"/>
      <c r="S228" s="23">
        <f>S229+S230+S234+S238+S242+S246+S250+S261+S262+S280+S283+S286+S287+S288+S289+S290+S291+S292</f>
        <v>10619414</v>
      </c>
      <c r="T228" s="297">
        <f t="shared" si="116"/>
        <v>0.41987623484823444</v>
      </c>
      <c r="U228" s="368"/>
    </row>
    <row r="229" spans="2:21" ht="27.6" customHeight="1" x14ac:dyDescent="0.25">
      <c r="B229" s="36" t="s">
        <v>179</v>
      </c>
      <c r="C229" s="96" t="s">
        <v>83</v>
      </c>
      <c r="D229" s="660" t="s">
        <v>180</v>
      </c>
      <c r="E229" s="48">
        <v>750000</v>
      </c>
      <c r="F229" s="48">
        <f>ROUND(E229,0)</f>
        <v>750000</v>
      </c>
      <c r="G229" s="28">
        <f t="shared" si="91"/>
        <v>0</v>
      </c>
      <c r="H229" s="818"/>
      <c r="I229" s="28">
        <f>ROUND(F229,0)</f>
        <v>750000</v>
      </c>
      <c r="J229" s="28">
        <f t="shared" si="105"/>
        <v>0</v>
      </c>
      <c r="K229" s="242"/>
      <c r="L229" s="28">
        <f>ROUND(I229,0)</f>
        <v>750000</v>
      </c>
      <c r="M229" s="28">
        <f t="shared" si="106"/>
        <v>0</v>
      </c>
      <c r="N229" s="242"/>
      <c r="O229" s="28">
        <f>ROUND(L229,0)</f>
        <v>750000</v>
      </c>
      <c r="P229" s="28">
        <f t="shared" si="107"/>
        <v>0</v>
      </c>
      <c r="Q229" s="242"/>
      <c r="R229" s="974"/>
      <c r="S229" s="28">
        <v>602761</v>
      </c>
      <c r="T229" s="309">
        <f t="shared" si="116"/>
        <v>0.80368133333333336</v>
      </c>
      <c r="U229" s="28" t="s">
        <v>1366</v>
      </c>
    </row>
    <row r="230" spans="2:21" ht="18" customHeight="1" x14ac:dyDescent="0.25">
      <c r="C230" s="96" t="s">
        <v>84</v>
      </c>
      <c r="D230" s="660" t="s">
        <v>181</v>
      </c>
      <c r="E230" s="48">
        <v>2321467.5649073655</v>
      </c>
      <c r="F230" s="48">
        <f t="shared" ref="F230" si="118">SUM(F231:F233)</f>
        <v>2327886</v>
      </c>
      <c r="G230" s="28">
        <f t="shared" si="91"/>
        <v>6418.4350926345214</v>
      </c>
      <c r="H230" s="365"/>
      <c r="I230" s="28">
        <f>SUM(I231:I233)</f>
        <v>2335378</v>
      </c>
      <c r="J230" s="28">
        <f t="shared" si="105"/>
        <v>7492</v>
      </c>
      <c r="K230" s="262"/>
      <c r="L230" s="28">
        <f>SUM(L231:L233)</f>
        <v>2312869</v>
      </c>
      <c r="M230" s="28">
        <f t="shared" si="106"/>
        <v>-22509</v>
      </c>
      <c r="N230" s="262"/>
      <c r="O230" s="28">
        <f>SUM(O231:O233)</f>
        <v>2312869</v>
      </c>
      <c r="P230" s="28">
        <f t="shared" si="107"/>
        <v>0</v>
      </c>
      <c r="Q230" s="262"/>
      <c r="R230" s="971"/>
      <c r="S230" s="28">
        <f>SUM(S231:S233)</f>
        <v>839811</v>
      </c>
      <c r="T230" s="309">
        <f t="shared" si="116"/>
        <v>0.36310357395944171</v>
      </c>
      <c r="U230" s="369"/>
    </row>
    <row r="231" spans="2:21" ht="16.2" customHeight="1" x14ac:dyDescent="0.25">
      <c r="B231" s="74" t="s">
        <v>279</v>
      </c>
      <c r="C231" s="98" t="s">
        <v>403</v>
      </c>
      <c r="D231" s="619" t="s">
        <v>245</v>
      </c>
      <c r="E231" s="65">
        <v>413462</v>
      </c>
      <c r="F231" s="65">
        <f>ROUND(E231,0)+399+324</f>
        <v>414185</v>
      </c>
      <c r="G231" s="24">
        <f t="shared" si="91"/>
        <v>723</v>
      </c>
      <c r="H231" s="232" t="s">
        <v>1173</v>
      </c>
      <c r="I231" s="24">
        <f>ROUND(F231,0)+7380+112</f>
        <v>421677</v>
      </c>
      <c r="J231" s="24">
        <f t="shared" si="105"/>
        <v>7492</v>
      </c>
      <c r="K231" s="232" t="s">
        <v>1248</v>
      </c>
      <c r="L231" s="24">
        <f>ROUND(I231,0)</f>
        <v>421677</v>
      </c>
      <c r="M231" s="24">
        <f t="shared" si="106"/>
        <v>0</v>
      </c>
      <c r="N231" s="232"/>
      <c r="O231" s="24">
        <f>ROUND(L231,0)</f>
        <v>421677</v>
      </c>
      <c r="P231" s="24">
        <f t="shared" si="107"/>
        <v>0</v>
      </c>
      <c r="Q231" s="232"/>
      <c r="R231" s="1020"/>
      <c r="S231" s="24">
        <v>169082</v>
      </c>
      <c r="T231" s="328">
        <f t="shared" si="116"/>
        <v>0.40097515396855887</v>
      </c>
      <c r="U231" s="851"/>
    </row>
    <row r="232" spans="2:21" ht="15" customHeight="1" x14ac:dyDescent="0.25">
      <c r="B232" s="74" t="s">
        <v>225</v>
      </c>
      <c r="C232" s="98" t="s">
        <v>404</v>
      </c>
      <c r="D232" s="619" t="s">
        <v>185</v>
      </c>
      <c r="E232" s="65">
        <v>1908005.5649073652</v>
      </c>
      <c r="F232" s="65">
        <f>ROUND(E232,0)-160317+5695</f>
        <v>1753384</v>
      </c>
      <c r="G232" s="24">
        <f t="shared" si="91"/>
        <v>-154621.56490736525</v>
      </c>
      <c r="H232" s="232" t="s">
        <v>1195</v>
      </c>
      <c r="I232" s="24">
        <f>ROUND(F232,0)-145959</f>
        <v>1607425</v>
      </c>
      <c r="J232" s="24">
        <f t="shared" si="105"/>
        <v>-145959</v>
      </c>
      <c r="K232" s="232" t="s">
        <v>1258</v>
      </c>
      <c r="L232" s="24">
        <f>ROUND(I232,0)-22509</f>
        <v>1584916</v>
      </c>
      <c r="M232" s="24">
        <f t="shared" si="106"/>
        <v>-22509</v>
      </c>
      <c r="N232" s="232" t="s">
        <v>1289</v>
      </c>
      <c r="O232" s="24">
        <f>ROUND(L232,0)-7811</f>
        <v>1577105</v>
      </c>
      <c r="P232" s="24">
        <f t="shared" si="107"/>
        <v>-7811</v>
      </c>
      <c r="Q232" s="652" t="s">
        <v>1354</v>
      </c>
      <c r="R232" s="1020"/>
      <c r="S232" s="24">
        <f>670729-S233</f>
        <v>561908</v>
      </c>
      <c r="T232" s="328">
        <f t="shared" si="116"/>
        <v>0.35629079864688779</v>
      </c>
      <c r="U232" s="24" t="s">
        <v>672</v>
      </c>
    </row>
    <row r="233" spans="2:21" ht="16.2" customHeight="1" x14ac:dyDescent="0.25">
      <c r="B233" s="74"/>
      <c r="C233" s="98" t="s">
        <v>1184</v>
      </c>
      <c r="D233" s="619" t="s">
        <v>618</v>
      </c>
      <c r="E233" s="860"/>
      <c r="F233" s="860">
        <v>160317</v>
      </c>
      <c r="G233" s="24">
        <f t="shared" si="91"/>
        <v>160317</v>
      </c>
      <c r="H233" s="880"/>
      <c r="I233" s="24">
        <f>ROUND(F233,0)+145959</f>
        <v>306276</v>
      </c>
      <c r="J233" s="24">
        <f>I233-F233</f>
        <v>145959</v>
      </c>
      <c r="K233" s="652" t="s">
        <v>1258</v>
      </c>
      <c r="L233" s="24">
        <f>ROUND(I233,0)</f>
        <v>306276</v>
      </c>
      <c r="M233" s="24">
        <f t="shared" si="106"/>
        <v>0</v>
      </c>
      <c r="N233" s="652"/>
      <c r="O233" s="24">
        <f>ROUND(L233,0)+7811</f>
        <v>314087</v>
      </c>
      <c r="P233" s="24">
        <f t="shared" si="107"/>
        <v>7811</v>
      </c>
      <c r="Q233" s="652" t="s">
        <v>1354</v>
      </c>
      <c r="R233" s="1020"/>
      <c r="S233" s="1004">
        <v>108821</v>
      </c>
      <c r="T233" s="328">
        <f t="shared" si="116"/>
        <v>0.34646769844024106</v>
      </c>
      <c r="U233" s="861"/>
    </row>
    <row r="234" spans="2:21" ht="18" customHeight="1" x14ac:dyDescent="0.25">
      <c r="C234" s="96" t="s">
        <v>405</v>
      </c>
      <c r="D234" s="660" t="s">
        <v>186</v>
      </c>
      <c r="E234" s="48">
        <v>1447835.9786112006</v>
      </c>
      <c r="F234" s="48">
        <f t="shared" ref="F234" si="119">F235+F236+F237</f>
        <v>1429177</v>
      </c>
      <c r="G234" s="28">
        <f t="shared" si="91"/>
        <v>-18658.978611200582</v>
      </c>
      <c r="H234" s="365"/>
      <c r="I234" s="28">
        <f>I235+I236+I237</f>
        <v>1432166</v>
      </c>
      <c r="J234" s="28">
        <f t="shared" si="105"/>
        <v>2989</v>
      </c>
      <c r="K234" s="262"/>
      <c r="L234" s="28">
        <f>L235+L236+L237</f>
        <v>1426182</v>
      </c>
      <c r="M234" s="28">
        <f t="shared" si="106"/>
        <v>-5984</v>
      </c>
      <c r="N234" s="262"/>
      <c r="O234" s="28">
        <f>O235+O236+O237</f>
        <v>1426182</v>
      </c>
      <c r="P234" s="28">
        <f t="shared" si="107"/>
        <v>0</v>
      </c>
      <c r="Q234" s="262"/>
      <c r="R234" s="971"/>
      <c r="S234" s="28">
        <f>S235+S236+S237</f>
        <v>515646</v>
      </c>
      <c r="T234" s="309">
        <f t="shared" si="116"/>
        <v>0.36155694013807493</v>
      </c>
      <c r="U234" s="369"/>
    </row>
    <row r="235" spans="2:21" ht="16.5" customHeight="1" x14ac:dyDescent="0.25">
      <c r="B235" s="74" t="s">
        <v>280</v>
      </c>
      <c r="C235" s="98" t="s">
        <v>406</v>
      </c>
      <c r="D235" s="619" t="s">
        <v>245</v>
      </c>
      <c r="E235" s="762">
        <v>158733</v>
      </c>
      <c r="F235" s="762">
        <f>ROUND(E235,0)+525</f>
        <v>159258</v>
      </c>
      <c r="G235" s="21">
        <f t="shared" si="91"/>
        <v>525</v>
      </c>
      <c r="H235" s="232" t="s">
        <v>1173</v>
      </c>
      <c r="I235" s="21">
        <f>ROUND(F235,0)+2989</f>
        <v>162247</v>
      </c>
      <c r="J235" s="21">
        <f t="shared" si="105"/>
        <v>2989</v>
      </c>
      <c r="K235" s="232" t="s">
        <v>1248</v>
      </c>
      <c r="L235" s="21">
        <f>ROUND(I235,0)</f>
        <v>162247</v>
      </c>
      <c r="M235" s="21">
        <f t="shared" si="106"/>
        <v>0</v>
      </c>
      <c r="N235" s="232"/>
      <c r="O235" s="21">
        <f>ROUND(L235,0)</f>
        <v>162247</v>
      </c>
      <c r="P235" s="21">
        <f t="shared" si="107"/>
        <v>0</v>
      </c>
      <c r="Q235" s="232"/>
      <c r="R235" s="1020"/>
      <c r="S235" s="21">
        <v>73750</v>
      </c>
      <c r="T235" s="298">
        <f t="shared" si="116"/>
        <v>0.45455385923930797</v>
      </c>
      <c r="U235" s="22"/>
    </row>
    <row r="236" spans="2:21" ht="27" customHeight="1" x14ac:dyDescent="0.25">
      <c r="B236" s="74" t="s">
        <v>497</v>
      </c>
      <c r="C236" s="98" t="s">
        <v>407</v>
      </c>
      <c r="D236" s="619" t="s">
        <v>185</v>
      </c>
      <c r="E236" s="762">
        <v>1289102.9786112006</v>
      </c>
      <c r="F236" s="762">
        <f>ROUND(E236,0)-119772-19184</f>
        <v>1150147</v>
      </c>
      <c r="G236" s="21">
        <f t="shared" si="91"/>
        <v>-138955.97861120058</v>
      </c>
      <c r="H236" s="232" t="s">
        <v>1195</v>
      </c>
      <c r="I236" s="21">
        <f>ROUND(F236,0)-64977</f>
        <v>1085170</v>
      </c>
      <c r="J236" s="21">
        <f t="shared" si="105"/>
        <v>-64977</v>
      </c>
      <c r="K236" s="232" t="s">
        <v>1259</v>
      </c>
      <c r="L236" s="21">
        <f>ROUND(I236,0)-3036</f>
        <v>1082134</v>
      </c>
      <c r="M236" s="21">
        <f t="shared" si="106"/>
        <v>-3036</v>
      </c>
      <c r="N236" s="232" t="s">
        <v>1289</v>
      </c>
      <c r="O236" s="21">
        <f>ROUND(L236,0)</f>
        <v>1082134</v>
      </c>
      <c r="P236" s="21">
        <f t="shared" si="107"/>
        <v>0</v>
      </c>
      <c r="Q236" s="232"/>
      <c r="R236" s="1020"/>
      <c r="S236" s="21">
        <f>441896-S237</f>
        <v>378543</v>
      </c>
      <c r="T236" s="298">
        <f t="shared" si="116"/>
        <v>0.34981157601553964</v>
      </c>
      <c r="U236" s="21" t="s">
        <v>672</v>
      </c>
    </row>
    <row r="237" spans="2:21" ht="13.2" customHeight="1" x14ac:dyDescent="0.25">
      <c r="B237" s="74"/>
      <c r="C237" s="98" t="s">
        <v>1183</v>
      </c>
      <c r="D237" s="619" t="s">
        <v>618</v>
      </c>
      <c r="E237" s="766"/>
      <c r="F237" s="766">
        <v>119772</v>
      </c>
      <c r="G237" s="21">
        <f t="shared" si="91"/>
        <v>119772</v>
      </c>
      <c r="H237" s="839"/>
      <c r="I237" s="21">
        <f>ROUND(F237,0)+64977</f>
        <v>184749</v>
      </c>
      <c r="J237" s="21">
        <f>I237-F237</f>
        <v>64977</v>
      </c>
      <c r="K237" s="232" t="s">
        <v>1259</v>
      </c>
      <c r="L237" s="21">
        <f>ROUND(I237,0)-2948</f>
        <v>181801</v>
      </c>
      <c r="M237" s="21">
        <f t="shared" si="106"/>
        <v>-2948</v>
      </c>
      <c r="N237" s="652" t="s">
        <v>1289</v>
      </c>
      <c r="O237" s="21">
        <f>ROUND(L237,0)</f>
        <v>181801</v>
      </c>
      <c r="P237" s="21">
        <f t="shared" ref="P237" si="120">O237-L237</f>
        <v>0</v>
      </c>
      <c r="Q237" s="652"/>
      <c r="R237" s="1020"/>
      <c r="S237" s="977">
        <v>63353</v>
      </c>
      <c r="T237" s="298">
        <f t="shared" si="116"/>
        <v>0.34847443083371377</v>
      </c>
      <c r="U237" s="219"/>
    </row>
    <row r="238" spans="2:21" ht="18" customHeight="1" x14ac:dyDescent="0.25">
      <c r="C238" s="101" t="s">
        <v>408</v>
      </c>
      <c r="D238" s="660" t="s">
        <v>306</v>
      </c>
      <c r="E238" s="48">
        <v>1594129.4529886562</v>
      </c>
      <c r="F238" s="48">
        <f>F239+F240+F241</f>
        <v>1595142</v>
      </c>
      <c r="G238" s="28">
        <f t="shared" si="91"/>
        <v>1012.5470113437623</v>
      </c>
      <c r="H238" s="365"/>
      <c r="I238" s="28">
        <f>I239+I240+I241</f>
        <v>1599680</v>
      </c>
      <c r="J238" s="28">
        <f t="shared" si="105"/>
        <v>4538</v>
      </c>
      <c r="K238" s="262"/>
      <c r="L238" s="28">
        <f>L239+L240+L241</f>
        <v>1599680</v>
      </c>
      <c r="M238" s="28">
        <f t="shared" si="106"/>
        <v>0</v>
      </c>
      <c r="N238" s="262"/>
      <c r="O238" s="28">
        <f>O239+O240+O241</f>
        <v>1602830</v>
      </c>
      <c r="P238" s="28">
        <f t="shared" si="107"/>
        <v>3150</v>
      </c>
      <c r="Q238" s="262"/>
      <c r="R238" s="971"/>
      <c r="S238" s="28">
        <f>S239+S240+S241</f>
        <v>666503</v>
      </c>
      <c r="T238" s="309">
        <f t="shared" si="116"/>
        <v>0.41582887767261656</v>
      </c>
      <c r="U238" s="28"/>
    </row>
    <row r="239" spans="2:21" ht="13.5" customHeight="1" x14ac:dyDescent="0.25">
      <c r="B239" s="12" t="s">
        <v>345</v>
      </c>
      <c r="C239" s="98" t="s">
        <v>409</v>
      </c>
      <c r="D239" s="619" t="s">
        <v>245</v>
      </c>
      <c r="E239" s="762">
        <v>238164</v>
      </c>
      <c r="F239" s="762">
        <f>ROUND(E239,0)+1013</f>
        <v>239177</v>
      </c>
      <c r="G239" s="21">
        <f t="shared" si="91"/>
        <v>1013</v>
      </c>
      <c r="H239" s="232" t="s">
        <v>1173</v>
      </c>
      <c r="I239" s="21">
        <f>ROUND(F239,0)+4538</f>
        <v>243715</v>
      </c>
      <c r="J239" s="21">
        <f t="shared" si="105"/>
        <v>4538</v>
      </c>
      <c r="K239" s="224" t="s">
        <v>1227</v>
      </c>
      <c r="L239" s="21">
        <f>ROUND(I239,0)</f>
        <v>243715</v>
      </c>
      <c r="M239" s="21">
        <f t="shared" si="106"/>
        <v>0</v>
      </c>
      <c r="N239" s="232"/>
      <c r="O239" s="21">
        <f>ROUND(L239,0)</f>
        <v>243715</v>
      </c>
      <c r="P239" s="21">
        <f t="shared" si="107"/>
        <v>0</v>
      </c>
      <c r="Q239" s="232"/>
      <c r="R239" s="1020"/>
      <c r="S239" s="21">
        <v>112592</v>
      </c>
      <c r="T239" s="298">
        <f t="shared" si="116"/>
        <v>0.46198223334632665</v>
      </c>
      <c r="U239" s="21"/>
    </row>
    <row r="240" spans="2:21" ht="55.2" customHeight="1" x14ac:dyDescent="0.25">
      <c r="B240" s="12" t="s">
        <v>346</v>
      </c>
      <c r="C240" s="98" t="s">
        <v>410</v>
      </c>
      <c r="D240" s="619" t="s">
        <v>185</v>
      </c>
      <c r="E240" s="762">
        <v>1201933.4529886562</v>
      </c>
      <c r="F240" s="762">
        <f>ROUND(E240,0)-10900</f>
        <v>1191033</v>
      </c>
      <c r="G240" s="21">
        <f t="shared" si="91"/>
        <v>-10900.452988656238</v>
      </c>
      <c r="H240" s="1071" t="s">
        <v>1215</v>
      </c>
      <c r="I240" s="21">
        <f>ROUND(F240,0)</f>
        <v>1191033</v>
      </c>
      <c r="J240" s="21">
        <f t="shared" si="105"/>
        <v>0</v>
      </c>
      <c r="K240" s="232"/>
      <c r="L240" s="21">
        <f>ROUND(I240,0)</f>
        <v>1191033</v>
      </c>
      <c r="M240" s="21">
        <f t="shared" si="106"/>
        <v>0</v>
      </c>
      <c r="N240" s="232"/>
      <c r="O240" s="21">
        <f>ROUND(L240,0)+3150</f>
        <v>1194183</v>
      </c>
      <c r="P240" s="21">
        <f t="shared" si="107"/>
        <v>3150</v>
      </c>
      <c r="Q240" s="232" t="s">
        <v>1361</v>
      </c>
      <c r="R240" s="1020"/>
      <c r="S240" s="21">
        <f>553911-S241</f>
        <v>489837</v>
      </c>
      <c r="T240" s="298">
        <f t="shared" si="116"/>
        <v>0.41018587603407519</v>
      </c>
      <c r="U240" s="21" t="s">
        <v>672</v>
      </c>
    </row>
    <row r="241" spans="2:21" ht="17.399999999999999" customHeight="1" x14ac:dyDescent="0.25">
      <c r="C241" s="98" t="s">
        <v>617</v>
      </c>
      <c r="D241" s="619" t="s">
        <v>618</v>
      </c>
      <c r="E241" s="768">
        <v>154032</v>
      </c>
      <c r="F241" s="762">
        <f>ROUND(E241,0)+10900</f>
        <v>164932</v>
      </c>
      <c r="G241" s="21">
        <f>F241-E241</f>
        <v>10900</v>
      </c>
      <c r="H241" s="1072"/>
      <c r="I241" s="21">
        <f>ROUND(F241,0)</f>
        <v>164932</v>
      </c>
      <c r="J241" s="21">
        <f t="shared" si="105"/>
        <v>0</v>
      </c>
      <c r="K241" s="234"/>
      <c r="L241" s="21">
        <f>ROUND(I241,0)</f>
        <v>164932</v>
      </c>
      <c r="M241" s="21">
        <f t="shared" si="106"/>
        <v>0</v>
      </c>
      <c r="N241" s="234"/>
      <c r="O241" s="21">
        <f>ROUND(L241,0)</f>
        <v>164932</v>
      </c>
      <c r="P241" s="21">
        <f t="shared" si="107"/>
        <v>0</v>
      </c>
      <c r="Q241" s="234"/>
      <c r="R241" s="1020"/>
      <c r="S241" s="978">
        <f>5778+58296</f>
        <v>64074</v>
      </c>
      <c r="T241" s="310">
        <f t="shared" si="116"/>
        <v>0.38848737661581745</v>
      </c>
      <c r="U241" s="371"/>
    </row>
    <row r="242" spans="2:21" x14ac:dyDescent="0.25">
      <c r="B242" s="12" t="s">
        <v>347</v>
      </c>
      <c r="C242" s="101" t="s">
        <v>411</v>
      </c>
      <c r="D242" s="660" t="s">
        <v>312</v>
      </c>
      <c r="E242" s="48">
        <v>1451440.1020564402</v>
      </c>
      <c r="F242" s="48">
        <f t="shared" ref="F242" si="121">SUM(F243:F245)</f>
        <v>1453093</v>
      </c>
      <c r="G242" s="28">
        <f t="shared" si="91"/>
        <v>1652.8979435598012</v>
      </c>
      <c r="H242" s="365"/>
      <c r="I242" s="28">
        <f>SUM(I243:I245)</f>
        <v>1456118</v>
      </c>
      <c r="J242" s="28">
        <f t="shared" si="105"/>
        <v>3025</v>
      </c>
      <c r="K242" s="262"/>
      <c r="L242" s="28">
        <f>SUM(L243:L245)</f>
        <v>1451590</v>
      </c>
      <c r="M242" s="28">
        <f t="shared" si="106"/>
        <v>-4528</v>
      </c>
      <c r="N242" s="262"/>
      <c r="O242" s="28">
        <f>SUM(O243:O245)</f>
        <v>1451590</v>
      </c>
      <c r="P242" s="28">
        <f t="shared" si="107"/>
        <v>0</v>
      </c>
      <c r="Q242" s="262"/>
      <c r="R242" s="971"/>
      <c r="S242" s="28">
        <f>SUM(S243:S245)</f>
        <v>578583</v>
      </c>
      <c r="T242" s="309">
        <f t="shared" si="116"/>
        <v>0.39858568879642325</v>
      </c>
      <c r="U242" s="369"/>
    </row>
    <row r="243" spans="2:21" s="37" customFormat="1" ht="17.25" customHeight="1" x14ac:dyDescent="0.25">
      <c r="B243" s="78" t="s">
        <v>348</v>
      </c>
      <c r="C243" s="98" t="s">
        <v>412</v>
      </c>
      <c r="D243" s="619" t="s">
        <v>245</v>
      </c>
      <c r="E243" s="762">
        <v>152284</v>
      </c>
      <c r="F243" s="762">
        <f>ROUND(E243,0)+1917-264</f>
        <v>153937</v>
      </c>
      <c r="G243" s="24">
        <f t="shared" ref="G243:G301" si="122">F243-E243</f>
        <v>1653</v>
      </c>
      <c r="H243" s="232" t="s">
        <v>1173</v>
      </c>
      <c r="I243" s="21">
        <f>ROUND(F243,0)+3025</f>
        <v>156962</v>
      </c>
      <c r="J243" s="24">
        <f t="shared" si="105"/>
        <v>3025</v>
      </c>
      <c r="K243" s="224" t="s">
        <v>1227</v>
      </c>
      <c r="L243" s="21">
        <f>ROUND(I243,0)</f>
        <v>156962</v>
      </c>
      <c r="M243" s="24">
        <f t="shared" si="106"/>
        <v>0</v>
      </c>
      <c r="N243" s="224"/>
      <c r="O243" s="21">
        <f>ROUND(L243,0)</f>
        <v>156962</v>
      </c>
      <c r="P243" s="24">
        <f t="shared" si="107"/>
        <v>0</v>
      </c>
      <c r="Q243" s="224"/>
      <c r="R243" s="1015"/>
      <c r="S243" s="21">
        <v>67056</v>
      </c>
      <c r="T243" s="298">
        <f t="shared" si="116"/>
        <v>0.4272116818083358</v>
      </c>
      <c r="U243" s="22"/>
    </row>
    <row r="244" spans="2:21" s="37" customFormat="1" ht="15.6" customHeight="1" x14ac:dyDescent="0.25">
      <c r="C244" s="98" t="s">
        <v>413</v>
      </c>
      <c r="D244" s="619" t="s">
        <v>185</v>
      </c>
      <c r="E244" s="762">
        <v>1154321.1020564402</v>
      </c>
      <c r="F244" s="762">
        <f>ROUND(E244,0)</f>
        <v>1154321</v>
      </c>
      <c r="G244" s="278">
        <f t="shared" si="122"/>
        <v>-0.10205644019879401</v>
      </c>
      <c r="H244" s="808"/>
      <c r="I244" s="21">
        <f>ROUND(F244,0)</f>
        <v>1154321</v>
      </c>
      <c r="J244" s="278">
        <f t="shared" si="105"/>
        <v>0</v>
      </c>
      <c r="K244" s="224"/>
      <c r="L244" s="21">
        <f>ROUND(I244,0)-4528</f>
        <v>1149793</v>
      </c>
      <c r="M244" s="278">
        <f t="shared" si="106"/>
        <v>-4528</v>
      </c>
      <c r="N244" s="224" t="s">
        <v>1289</v>
      </c>
      <c r="O244" s="21">
        <f>ROUND(L244,0)</f>
        <v>1149793</v>
      </c>
      <c r="P244" s="278">
        <f t="shared" si="107"/>
        <v>0</v>
      </c>
      <c r="Q244" s="224"/>
      <c r="R244" s="1015"/>
      <c r="S244" s="21">
        <f>511527-S245</f>
        <v>451202</v>
      </c>
      <c r="T244" s="298">
        <f t="shared" si="116"/>
        <v>0.39242020085354495</v>
      </c>
      <c r="U244" s="21" t="s">
        <v>672</v>
      </c>
    </row>
    <row r="245" spans="2:21" s="37" customFormat="1" ht="13.95" customHeight="1" x14ac:dyDescent="0.25">
      <c r="C245" s="98" t="s">
        <v>619</v>
      </c>
      <c r="D245" s="619" t="s">
        <v>618</v>
      </c>
      <c r="E245" s="768">
        <v>144835</v>
      </c>
      <c r="F245" s="762">
        <f>ROUND(E245,0)</f>
        <v>144835</v>
      </c>
      <c r="G245" s="278">
        <f>F245-E245</f>
        <v>0</v>
      </c>
      <c r="H245" s="364"/>
      <c r="I245" s="21">
        <f>ROUND(F245,0)</f>
        <v>144835</v>
      </c>
      <c r="J245" s="278">
        <f t="shared" si="105"/>
        <v>0</v>
      </c>
      <c r="K245" s="234"/>
      <c r="L245" s="21">
        <f>ROUND(I245,0)</f>
        <v>144835</v>
      </c>
      <c r="M245" s="278">
        <f t="shared" si="106"/>
        <v>0</v>
      </c>
      <c r="N245" s="234"/>
      <c r="O245" s="21">
        <f>ROUND(L245,0)</f>
        <v>144835</v>
      </c>
      <c r="P245" s="278">
        <f t="shared" si="107"/>
        <v>0</v>
      </c>
      <c r="Q245" s="234"/>
      <c r="R245" s="1020"/>
      <c r="S245" s="978">
        <v>60325</v>
      </c>
      <c r="T245" s="310">
        <f t="shared" si="116"/>
        <v>0.41650844063934822</v>
      </c>
      <c r="U245" s="371"/>
    </row>
    <row r="246" spans="2:21" x14ac:dyDescent="0.25">
      <c r="C246" s="101" t="s">
        <v>414</v>
      </c>
      <c r="D246" s="660" t="s">
        <v>190</v>
      </c>
      <c r="E246" s="48">
        <v>2861690</v>
      </c>
      <c r="F246" s="48">
        <f>F247+F248+F249</f>
        <v>2818998</v>
      </c>
      <c r="G246" s="28">
        <f t="shared" si="122"/>
        <v>-42692</v>
      </c>
      <c r="H246" s="365"/>
      <c r="I246" s="28">
        <f>I247+I248+I249</f>
        <v>2827823</v>
      </c>
      <c r="J246" s="28">
        <f t="shared" si="105"/>
        <v>8825</v>
      </c>
      <c r="K246" s="262"/>
      <c r="L246" s="28">
        <f>L247+L248+L249</f>
        <v>2827823</v>
      </c>
      <c r="M246" s="28">
        <f t="shared" si="106"/>
        <v>0</v>
      </c>
      <c r="N246" s="262"/>
      <c r="O246" s="28">
        <f>O247+O248+O249</f>
        <v>2827823</v>
      </c>
      <c r="P246" s="28">
        <f t="shared" si="107"/>
        <v>0</v>
      </c>
      <c r="Q246" s="262"/>
      <c r="R246" s="971"/>
      <c r="S246" s="28">
        <f>S247+S248+S249</f>
        <v>1420580</v>
      </c>
      <c r="T246" s="309">
        <f t="shared" si="116"/>
        <v>0.50235817446848685</v>
      </c>
      <c r="U246" s="369"/>
    </row>
    <row r="247" spans="2:21" s="37" customFormat="1" ht="16.95" customHeight="1" x14ac:dyDescent="0.25">
      <c r="B247" s="78" t="s">
        <v>230</v>
      </c>
      <c r="C247" s="102" t="s">
        <v>415</v>
      </c>
      <c r="D247" s="730" t="s">
        <v>191</v>
      </c>
      <c r="E247" s="762">
        <v>833320</v>
      </c>
      <c r="F247" s="762">
        <f>ROUND(E247,0)-44403+1711</f>
        <v>790628</v>
      </c>
      <c r="G247" s="24">
        <f t="shared" si="122"/>
        <v>-42692</v>
      </c>
      <c r="H247" s="870" t="s">
        <v>1216</v>
      </c>
      <c r="I247" s="21">
        <f>ROUND(F247,0)+8825</f>
        <v>799453</v>
      </c>
      <c r="J247" s="24">
        <f t="shared" si="105"/>
        <v>8825</v>
      </c>
      <c r="K247" s="888" t="s">
        <v>1237</v>
      </c>
      <c r="L247" s="21">
        <f>ROUND(I247,0)</f>
        <v>799453</v>
      </c>
      <c r="M247" s="24">
        <f t="shared" si="106"/>
        <v>0</v>
      </c>
      <c r="N247" s="224"/>
      <c r="O247" s="21">
        <f>ROUND(L247,0)</f>
        <v>799453</v>
      </c>
      <c r="P247" s="24">
        <f t="shared" si="107"/>
        <v>0</v>
      </c>
      <c r="Q247" s="224"/>
      <c r="R247" s="1015"/>
      <c r="S247" s="21">
        <v>266194</v>
      </c>
      <c r="T247" s="298">
        <f t="shared" si="116"/>
        <v>0.33297016835261112</v>
      </c>
      <c r="U247" s="980" t="s">
        <v>1365</v>
      </c>
    </row>
    <row r="248" spans="2:21" s="37" customFormat="1" ht="16.2" customHeight="1" x14ac:dyDescent="0.25">
      <c r="B248" s="78" t="s">
        <v>226</v>
      </c>
      <c r="C248" s="102" t="s">
        <v>416</v>
      </c>
      <c r="D248" s="730" t="s">
        <v>1014</v>
      </c>
      <c r="E248" s="762">
        <v>1865620</v>
      </c>
      <c r="F248" s="762">
        <f>ROUND(E248,0)</f>
        <v>1865620</v>
      </c>
      <c r="G248" s="24">
        <f t="shared" si="122"/>
        <v>0</v>
      </c>
      <c r="H248" s="852"/>
      <c r="I248" s="21">
        <f>ROUND(F248,0)</f>
        <v>1865620</v>
      </c>
      <c r="J248" s="24">
        <f t="shared" si="105"/>
        <v>0</v>
      </c>
      <c r="K248" s="279"/>
      <c r="L248" s="21">
        <f>ROUND(I248,0)</f>
        <v>1865620</v>
      </c>
      <c r="M248" s="24">
        <f t="shared" si="106"/>
        <v>0</v>
      </c>
      <c r="N248" s="279"/>
      <c r="O248" s="21">
        <f>ROUND(L248,0)</f>
        <v>1865620</v>
      </c>
      <c r="P248" s="24">
        <f t="shared" si="107"/>
        <v>0</v>
      </c>
      <c r="Q248" s="279"/>
      <c r="R248" s="1015"/>
      <c r="S248" s="21">
        <v>1050429</v>
      </c>
      <c r="T248" s="298">
        <f t="shared" si="116"/>
        <v>0.56304552910024552</v>
      </c>
      <c r="U248" s="980" t="s">
        <v>1368</v>
      </c>
    </row>
    <row r="249" spans="2:21" x14ac:dyDescent="0.25">
      <c r="B249" s="74" t="s">
        <v>226</v>
      </c>
      <c r="C249" s="98" t="s">
        <v>417</v>
      </c>
      <c r="D249" s="619" t="s">
        <v>275</v>
      </c>
      <c r="E249" s="762">
        <v>162750</v>
      </c>
      <c r="F249" s="762">
        <f>ROUND(E249,0)</f>
        <v>162750</v>
      </c>
      <c r="G249" s="24">
        <f t="shared" si="122"/>
        <v>0</v>
      </c>
      <c r="H249" s="800"/>
      <c r="I249" s="21">
        <f>ROUND(F249,0)</f>
        <v>162750</v>
      </c>
      <c r="J249" s="24">
        <f t="shared" si="105"/>
        <v>0</v>
      </c>
      <c r="K249" s="224"/>
      <c r="L249" s="21">
        <f>ROUND(I249,0)</f>
        <v>162750</v>
      </c>
      <c r="M249" s="24">
        <f t="shared" si="106"/>
        <v>0</v>
      </c>
      <c r="N249" s="224"/>
      <c r="O249" s="21">
        <f>ROUND(L249,0)</f>
        <v>162750</v>
      </c>
      <c r="P249" s="24">
        <f t="shared" si="107"/>
        <v>0</v>
      </c>
      <c r="Q249" s="224"/>
      <c r="R249" s="1015"/>
      <c r="S249" s="21">
        <v>103957</v>
      </c>
      <c r="T249" s="929">
        <f>S249/F249</f>
        <v>0.638752688172043</v>
      </c>
      <c r="U249" s="980" t="s">
        <v>1367</v>
      </c>
    </row>
    <row r="250" spans="2:21" s="14" customFormat="1" ht="15.75" customHeight="1" x14ac:dyDescent="0.25">
      <c r="C250" s="101" t="s">
        <v>418</v>
      </c>
      <c r="D250" s="660" t="s">
        <v>307</v>
      </c>
      <c r="E250" s="777">
        <v>2139500.4741500001</v>
      </c>
      <c r="F250" s="777">
        <f>F251+F255+F256+F257+F258+F259+F260</f>
        <v>2133236</v>
      </c>
      <c r="G250" s="34">
        <f t="shared" si="122"/>
        <v>-6264.4741500001401</v>
      </c>
      <c r="H250" s="841"/>
      <c r="I250" s="34">
        <f>I251+I255+I256+I257+I258+I259+I260</f>
        <v>2205896</v>
      </c>
      <c r="J250" s="34">
        <f t="shared" si="105"/>
        <v>72660</v>
      </c>
      <c r="K250" s="270"/>
      <c r="L250" s="34">
        <f>L251+L255+L256+L257+L258+L259+L260</f>
        <v>2200705</v>
      </c>
      <c r="M250" s="34">
        <f t="shared" si="106"/>
        <v>-5191</v>
      </c>
      <c r="N250" s="270"/>
      <c r="O250" s="34">
        <f>O251+O255+O256+O257+O258+O259+O260</f>
        <v>2200705</v>
      </c>
      <c r="P250" s="34">
        <f t="shared" si="107"/>
        <v>0</v>
      </c>
      <c r="Q250" s="270"/>
      <c r="R250" s="1036"/>
      <c r="S250" s="34">
        <f>S251+S255+S256+S257+S258+S259+S260</f>
        <v>1052328</v>
      </c>
      <c r="T250" s="321">
        <f t="shared" ref="T250:T259" si="123">S250/O250</f>
        <v>0.47817767488145846</v>
      </c>
      <c r="U250" s="611"/>
    </row>
    <row r="251" spans="2:21" s="20" customFormat="1" ht="17.25" customHeight="1" x14ac:dyDescent="0.25">
      <c r="B251" s="76" t="s">
        <v>350</v>
      </c>
      <c r="C251" s="98" t="s">
        <v>419</v>
      </c>
      <c r="D251" s="619" t="s">
        <v>245</v>
      </c>
      <c r="E251" s="762">
        <v>1127101</v>
      </c>
      <c r="F251" s="762">
        <f>F252+F253+F254</f>
        <v>1201531</v>
      </c>
      <c r="G251" s="21">
        <f t="shared" si="122"/>
        <v>74430</v>
      </c>
      <c r="H251" s="870" t="s">
        <v>1216</v>
      </c>
      <c r="I251" s="21">
        <f>I252+I253+I254</f>
        <v>1239539</v>
      </c>
      <c r="J251" s="21">
        <f t="shared" si="105"/>
        <v>38008</v>
      </c>
      <c r="K251" s="232"/>
      <c r="L251" s="21">
        <f>L252+L253+L254</f>
        <v>1239539</v>
      </c>
      <c r="M251" s="21">
        <f t="shared" si="106"/>
        <v>0</v>
      </c>
      <c r="N251" s="232"/>
      <c r="O251" s="21">
        <f>O252+O253+O254</f>
        <v>1239539</v>
      </c>
      <c r="P251" s="21">
        <f t="shared" si="107"/>
        <v>0</v>
      </c>
      <c r="Q251" s="232"/>
      <c r="R251" s="1020"/>
      <c r="S251" s="21">
        <f>S252+S253+S254</f>
        <v>553056.14</v>
      </c>
      <c r="T251" s="298">
        <f t="shared" si="123"/>
        <v>0.44617889392750049</v>
      </c>
      <c r="U251" s="22"/>
    </row>
    <row r="252" spans="2:21" s="883" customFormat="1" ht="17.25" customHeight="1" x14ac:dyDescent="0.25">
      <c r="B252" s="884"/>
      <c r="C252" s="217" t="s">
        <v>1220</v>
      </c>
      <c r="D252" s="712" t="s">
        <v>1221</v>
      </c>
      <c r="E252" s="886">
        <v>1070901</v>
      </c>
      <c r="F252" s="886">
        <f>1070901+22307</f>
        <v>1093208</v>
      </c>
      <c r="G252" s="885">
        <f t="shared" si="122"/>
        <v>22307</v>
      </c>
      <c r="H252" s="889" t="s">
        <v>1216</v>
      </c>
      <c r="I252" s="885">
        <f t="shared" ref="I252:I261" si="124">ROUND(F252,0)</f>
        <v>1093208</v>
      </c>
      <c r="J252" s="885">
        <f t="shared" si="105"/>
        <v>0</v>
      </c>
      <c r="K252" s="888"/>
      <c r="L252" s="885">
        <f t="shared" ref="L252:L254" si="125">ROUND(I252,0)</f>
        <v>1093208</v>
      </c>
      <c r="M252" s="21">
        <f t="shared" si="106"/>
        <v>0</v>
      </c>
      <c r="N252" s="888"/>
      <c r="O252" s="885">
        <f t="shared" ref="O252:O254" si="126">ROUND(L252,0)</f>
        <v>1093208</v>
      </c>
      <c r="P252" s="885">
        <f t="shared" ref="P252:P254" si="127">O252-L252</f>
        <v>0</v>
      </c>
      <c r="Q252" s="888"/>
      <c r="R252" s="888"/>
      <c r="S252" s="885">
        <f>540923-S254-S255</f>
        <v>479475.14</v>
      </c>
      <c r="T252" s="298">
        <f t="shared" si="123"/>
        <v>0.43859461328493754</v>
      </c>
      <c r="U252" s="887"/>
    </row>
    <row r="253" spans="2:21" s="883" customFormat="1" ht="19.95" customHeight="1" x14ac:dyDescent="0.25">
      <c r="B253" s="884"/>
      <c r="C253" s="217" t="s">
        <v>1218</v>
      </c>
      <c r="D253" s="712" t="s">
        <v>1222</v>
      </c>
      <c r="E253" s="886">
        <v>56200</v>
      </c>
      <c r="F253" s="886">
        <f>56200+52004-31</f>
        <v>108173</v>
      </c>
      <c r="G253" s="885">
        <f t="shared" si="122"/>
        <v>51973</v>
      </c>
      <c r="H253" s="889" t="s">
        <v>1216</v>
      </c>
      <c r="I253" s="885">
        <f>ROUND(F253,0)+18425</f>
        <v>126598</v>
      </c>
      <c r="J253" s="885">
        <f t="shared" si="105"/>
        <v>18425</v>
      </c>
      <c r="K253" s="888" t="s">
        <v>1237</v>
      </c>
      <c r="L253" s="885">
        <f t="shared" si="125"/>
        <v>126598</v>
      </c>
      <c r="M253" s="21">
        <f t="shared" si="106"/>
        <v>0</v>
      </c>
      <c r="N253" s="888"/>
      <c r="O253" s="885">
        <f t="shared" si="126"/>
        <v>126598</v>
      </c>
      <c r="P253" s="885">
        <f t="shared" si="127"/>
        <v>0</v>
      </c>
      <c r="Q253" s="888"/>
      <c r="R253" s="888"/>
      <c r="S253" s="885">
        <v>53998</v>
      </c>
      <c r="T253" s="298">
        <f t="shared" si="123"/>
        <v>0.42653122482187711</v>
      </c>
      <c r="U253" s="887"/>
    </row>
    <row r="254" spans="2:21" s="883" customFormat="1" ht="17.25" customHeight="1" x14ac:dyDescent="0.25">
      <c r="B254" s="884"/>
      <c r="C254" s="217" t="s">
        <v>1219</v>
      </c>
      <c r="D254" s="712" t="s">
        <v>1223</v>
      </c>
      <c r="E254" s="886"/>
      <c r="F254" s="886">
        <v>150</v>
      </c>
      <c r="G254" s="885">
        <f t="shared" si="122"/>
        <v>150</v>
      </c>
      <c r="H254" s="889" t="s">
        <v>1216</v>
      </c>
      <c r="I254" s="885">
        <f>ROUND(F254,0)+19583</f>
        <v>19733</v>
      </c>
      <c r="J254" s="885">
        <f t="shared" si="105"/>
        <v>19583</v>
      </c>
      <c r="K254" s="888" t="s">
        <v>1248</v>
      </c>
      <c r="L254" s="885">
        <f t="shared" si="125"/>
        <v>19733</v>
      </c>
      <c r="M254" s="21">
        <f t="shared" si="106"/>
        <v>0</v>
      </c>
      <c r="N254" s="888"/>
      <c r="O254" s="885">
        <f t="shared" si="126"/>
        <v>19733</v>
      </c>
      <c r="P254" s="885">
        <f t="shared" si="127"/>
        <v>0</v>
      </c>
      <c r="Q254" s="888"/>
      <c r="R254" s="888"/>
      <c r="S254" s="885">
        <v>19583</v>
      </c>
      <c r="T254" s="298">
        <f t="shared" si="123"/>
        <v>0.99239852024527442</v>
      </c>
      <c r="U254" s="887"/>
    </row>
    <row r="255" spans="2:21" s="20" customFormat="1" x14ac:dyDescent="0.25">
      <c r="B255" s="20" t="s">
        <v>350</v>
      </c>
      <c r="C255" s="98" t="s">
        <v>420</v>
      </c>
      <c r="D255" s="619" t="s">
        <v>276</v>
      </c>
      <c r="E255" s="786">
        <v>49493</v>
      </c>
      <c r="F255" s="786">
        <f>ROUND(E255,0)+4754</f>
        <v>54247</v>
      </c>
      <c r="G255" s="21">
        <f t="shared" ref="G255:G260" si="128">F255-E255</f>
        <v>4754</v>
      </c>
      <c r="H255" s="232" t="s">
        <v>1173</v>
      </c>
      <c r="I255" s="21">
        <f t="shared" si="124"/>
        <v>54247</v>
      </c>
      <c r="J255" s="21">
        <f t="shared" si="105"/>
        <v>0</v>
      </c>
      <c r="K255" s="232"/>
      <c r="L255" s="21">
        <f t="shared" ref="L255:L261" si="129">ROUND(I255,0)</f>
        <v>54247</v>
      </c>
      <c r="M255" s="21">
        <f t="shared" si="106"/>
        <v>0</v>
      </c>
      <c r="N255" s="232"/>
      <c r="O255" s="21">
        <f t="shared" ref="O255:O260" si="130">ROUND(L255,0)</f>
        <v>54247</v>
      </c>
      <c r="P255" s="21">
        <f t="shared" si="107"/>
        <v>0</v>
      </c>
      <c r="Q255" s="232"/>
      <c r="R255" s="1020"/>
      <c r="S255" s="21">
        <v>41864.86</v>
      </c>
      <c r="T255" s="298">
        <f t="shared" si="123"/>
        <v>0.77174516563127915</v>
      </c>
      <c r="U255" s="22"/>
    </row>
    <row r="256" spans="2:21" s="20" customFormat="1" ht="18" customHeight="1" x14ac:dyDescent="0.25">
      <c r="B256" s="76" t="s">
        <v>352</v>
      </c>
      <c r="C256" s="98" t="s">
        <v>421</v>
      </c>
      <c r="D256" s="619" t="s">
        <v>185</v>
      </c>
      <c r="E256" s="762">
        <v>659972.47414999991</v>
      </c>
      <c r="F256" s="762">
        <f>ROUND(E256,0)-42018-43430</f>
        <v>574524</v>
      </c>
      <c r="G256" s="21">
        <f t="shared" si="128"/>
        <v>-85448.474149999907</v>
      </c>
      <c r="H256" s="870" t="s">
        <v>1192</v>
      </c>
      <c r="I256" s="21">
        <f t="shared" si="124"/>
        <v>574524</v>
      </c>
      <c r="J256" s="21">
        <f t="shared" si="105"/>
        <v>0</v>
      </c>
      <c r="K256" s="232" t="s">
        <v>1233</v>
      </c>
      <c r="L256" s="21">
        <f>ROUND(I256,0)-5191</f>
        <v>569333</v>
      </c>
      <c r="M256" s="21">
        <f t="shared" si="106"/>
        <v>-5191</v>
      </c>
      <c r="N256" s="232" t="s">
        <v>1289</v>
      </c>
      <c r="O256" s="21">
        <f t="shared" si="130"/>
        <v>569333</v>
      </c>
      <c r="P256" s="21">
        <f t="shared" si="107"/>
        <v>0</v>
      </c>
      <c r="Q256" s="232"/>
      <c r="R256" s="1020"/>
      <c r="S256" s="21">
        <f>415354-S257</f>
        <v>286569</v>
      </c>
      <c r="T256" s="298">
        <f t="shared" si="123"/>
        <v>0.50334162959111806</v>
      </c>
      <c r="U256" s="21" t="s">
        <v>672</v>
      </c>
    </row>
    <row r="257" spans="2:21" s="20" customFormat="1" ht="16.95" customHeight="1" x14ac:dyDescent="0.25">
      <c r="B257" s="76"/>
      <c r="C257" s="179" t="s">
        <v>422</v>
      </c>
      <c r="D257" s="619" t="s">
        <v>618</v>
      </c>
      <c r="E257" s="768">
        <v>283797</v>
      </c>
      <c r="F257" s="762">
        <f>ROUND(E257,0)</f>
        <v>283797</v>
      </c>
      <c r="G257" s="21">
        <f t="shared" si="128"/>
        <v>0</v>
      </c>
      <c r="H257" s="364"/>
      <c r="I257" s="21">
        <f t="shared" si="124"/>
        <v>283797</v>
      </c>
      <c r="J257" s="21">
        <f t="shared" si="105"/>
        <v>0</v>
      </c>
      <c r="K257" s="234"/>
      <c r="L257" s="21">
        <f t="shared" si="129"/>
        <v>283797</v>
      </c>
      <c r="M257" s="21">
        <f t="shared" si="106"/>
        <v>0</v>
      </c>
      <c r="N257" s="234"/>
      <c r="O257" s="21">
        <f>ROUND(L257,0)</f>
        <v>283797</v>
      </c>
      <c r="P257" s="21">
        <f t="shared" si="107"/>
        <v>0</v>
      </c>
      <c r="Q257" s="234"/>
      <c r="R257" s="1020"/>
      <c r="S257" s="978">
        <v>128785</v>
      </c>
      <c r="T257" s="310">
        <f t="shared" si="123"/>
        <v>0.45379267575062454</v>
      </c>
      <c r="U257" s="371"/>
    </row>
    <row r="258" spans="2:21" s="20" customFormat="1" ht="16.95" customHeight="1" x14ac:dyDescent="0.25">
      <c r="B258" s="76" t="s">
        <v>351</v>
      </c>
      <c r="C258" s="98" t="s">
        <v>423</v>
      </c>
      <c r="D258" s="619" t="s">
        <v>271</v>
      </c>
      <c r="E258" s="762">
        <v>3668</v>
      </c>
      <c r="F258" s="762">
        <f>ROUND(E258,0)</f>
        <v>3668</v>
      </c>
      <c r="G258" s="21">
        <f t="shared" si="128"/>
        <v>0</v>
      </c>
      <c r="H258" s="800"/>
      <c r="I258" s="21">
        <f>ROUND(F258,0)+7552</f>
        <v>11220</v>
      </c>
      <c r="J258" s="21">
        <f t="shared" si="105"/>
        <v>7552</v>
      </c>
      <c r="K258" s="224" t="s">
        <v>1235</v>
      </c>
      <c r="L258" s="21">
        <f t="shared" si="129"/>
        <v>11220</v>
      </c>
      <c r="M258" s="21">
        <f t="shared" si="106"/>
        <v>0</v>
      </c>
      <c r="N258" s="224"/>
      <c r="O258" s="21">
        <f t="shared" si="130"/>
        <v>11220</v>
      </c>
      <c r="P258" s="21">
        <f t="shared" si="107"/>
        <v>0</v>
      </c>
      <c r="Q258" s="224"/>
      <c r="R258" s="1015"/>
      <c r="S258" s="21">
        <v>4337</v>
      </c>
      <c r="T258" s="298">
        <f t="shared" si="123"/>
        <v>0.38654188948306595</v>
      </c>
      <c r="U258" s="22"/>
    </row>
    <row r="259" spans="2:21" s="14" customFormat="1" ht="31.2" customHeight="1" x14ac:dyDescent="0.25">
      <c r="B259" s="74" t="s">
        <v>498</v>
      </c>
      <c r="C259" s="98" t="s">
        <v>424</v>
      </c>
      <c r="D259" s="619" t="s">
        <v>1157</v>
      </c>
      <c r="E259" s="762">
        <v>15469</v>
      </c>
      <c r="F259" s="762">
        <f>ROUND(E259,0)</f>
        <v>15469</v>
      </c>
      <c r="G259" s="21">
        <f t="shared" si="128"/>
        <v>0</v>
      </c>
      <c r="H259" s="881"/>
      <c r="I259" s="21">
        <f>ROUND(F259,0)+27100</f>
        <v>42569</v>
      </c>
      <c r="J259" s="21">
        <f t="shared" si="105"/>
        <v>27100</v>
      </c>
      <c r="K259" s="909" t="s">
        <v>1260</v>
      </c>
      <c r="L259" s="21">
        <f t="shared" si="129"/>
        <v>42569</v>
      </c>
      <c r="M259" s="21">
        <f t="shared" si="106"/>
        <v>0</v>
      </c>
      <c r="N259" s="248"/>
      <c r="O259" s="21">
        <f t="shared" si="130"/>
        <v>42569</v>
      </c>
      <c r="P259" s="21">
        <f t="shared" si="107"/>
        <v>0</v>
      </c>
      <c r="Q259" s="248"/>
      <c r="R259" s="250"/>
      <c r="S259" s="21">
        <f>9302+28414</f>
        <v>37716</v>
      </c>
      <c r="T259" s="298">
        <f t="shared" si="123"/>
        <v>0.88599685216941904</v>
      </c>
      <c r="U259" s="22"/>
    </row>
    <row r="260" spans="2:21" s="14" customFormat="1" ht="15" customHeight="1" x14ac:dyDescent="0.25">
      <c r="B260" s="74" t="s">
        <v>349</v>
      </c>
      <c r="C260" s="98" t="s">
        <v>509</v>
      </c>
      <c r="D260" s="738" t="s">
        <v>383</v>
      </c>
      <c r="E260" s="762">
        <v>0</v>
      </c>
      <c r="F260" s="762">
        <f>ROUND(E260,0)</f>
        <v>0</v>
      </c>
      <c r="G260" s="21">
        <f t="shared" si="128"/>
        <v>0</v>
      </c>
      <c r="H260" s="835"/>
      <c r="I260" s="21">
        <f t="shared" si="124"/>
        <v>0</v>
      </c>
      <c r="J260" s="21">
        <f t="shared" si="105"/>
        <v>0</v>
      </c>
      <c r="K260" s="239"/>
      <c r="L260" s="21">
        <f t="shared" si="129"/>
        <v>0</v>
      </c>
      <c r="M260" s="21">
        <f t="shared" si="106"/>
        <v>0</v>
      </c>
      <c r="N260" s="239"/>
      <c r="O260" s="21">
        <f t="shared" si="130"/>
        <v>0</v>
      </c>
      <c r="P260" s="21">
        <f t="shared" si="107"/>
        <v>0</v>
      </c>
      <c r="Q260" s="239"/>
      <c r="R260" s="1015"/>
      <c r="S260" s="21"/>
      <c r="T260" s="298"/>
      <c r="U260" s="22"/>
    </row>
    <row r="261" spans="2:21" ht="28.95" customHeight="1" x14ac:dyDescent="0.25">
      <c r="B261" s="74" t="s">
        <v>511</v>
      </c>
      <c r="C261" s="101" t="s">
        <v>638</v>
      </c>
      <c r="D261" s="660" t="s">
        <v>510</v>
      </c>
      <c r="E261" s="777">
        <v>0</v>
      </c>
      <c r="F261" s="777">
        <f>ROUND(E261,0)+19357+102058</f>
        <v>121415</v>
      </c>
      <c r="G261" s="34">
        <f>F261-E261</f>
        <v>121415</v>
      </c>
      <c r="H261" s="242" t="s">
        <v>1228</v>
      </c>
      <c r="I261" s="34">
        <f t="shared" si="124"/>
        <v>121415</v>
      </c>
      <c r="J261" s="34">
        <f t="shared" si="105"/>
        <v>0</v>
      </c>
      <c r="K261" s="242"/>
      <c r="L261" s="34">
        <f t="shared" si="129"/>
        <v>121415</v>
      </c>
      <c r="M261" s="34">
        <f t="shared" si="106"/>
        <v>0</v>
      </c>
      <c r="N261" s="242"/>
      <c r="O261" s="34">
        <f>ROUND(L261,0)-6629</f>
        <v>114786</v>
      </c>
      <c r="P261" s="34">
        <f t="shared" si="107"/>
        <v>-6629</v>
      </c>
      <c r="Q261" s="242" t="s">
        <v>1347</v>
      </c>
      <c r="R261" s="974"/>
      <c r="S261" s="34">
        <v>114786</v>
      </c>
      <c r="T261" s="321">
        <f t="shared" ref="T261:T266" si="131">S261/O261</f>
        <v>1</v>
      </c>
      <c r="U261" s="28" t="s">
        <v>1271</v>
      </c>
    </row>
    <row r="262" spans="2:21" s="20" customFormat="1" ht="15.75" customHeight="1" x14ac:dyDescent="0.25">
      <c r="B262" s="76"/>
      <c r="C262" s="101" t="s">
        <v>425</v>
      </c>
      <c r="D262" s="660" t="s">
        <v>193</v>
      </c>
      <c r="E262" s="34">
        <v>8531591.7446570527</v>
      </c>
      <c r="F262" s="777">
        <f>F263+F267+F268+F269+F270+F271+F272+F273+F274+F275+F276</f>
        <v>8748498</v>
      </c>
      <c r="G262" s="777">
        <f t="shared" ref="G262:H262" si="132">G263+G267+G268+G269+G270+G271+G272+G273+G274+G275+G276</f>
        <v>216906.25534294697</v>
      </c>
      <c r="H262" s="777" t="e">
        <f t="shared" si="132"/>
        <v>#VALUE!</v>
      </c>
      <c r="I262" s="777">
        <f>I263+I267+I268+I269+I270+I271+I272+I273+I274+I275+I276</f>
        <v>8832612</v>
      </c>
      <c r="J262" s="34">
        <f t="shared" si="105"/>
        <v>84114</v>
      </c>
      <c r="K262" s="242"/>
      <c r="L262" s="777">
        <f>L263+L267+L268+L269+L270+L271+L272+L273+L274+L275+L276</f>
        <v>8853612</v>
      </c>
      <c r="M262" s="34">
        <f t="shared" si="106"/>
        <v>21000</v>
      </c>
      <c r="N262" s="242"/>
      <c r="O262" s="34">
        <f>O263+O267+O268+O269+O270+O271+O272+O273+O274+O275+O276</f>
        <v>8850462</v>
      </c>
      <c r="P262" s="34">
        <f t="shared" si="107"/>
        <v>-3150</v>
      </c>
      <c r="Q262" s="242"/>
      <c r="R262" s="974"/>
      <c r="S262" s="34">
        <f>S263+S267+S268+S269+S270+S271+S272+S273+S274+S275+S276</f>
        <v>3434259.9999999995</v>
      </c>
      <c r="T262" s="321">
        <f t="shared" si="131"/>
        <v>0.38803172082994081</v>
      </c>
      <c r="U262" s="611"/>
    </row>
    <row r="263" spans="2:21" s="20" customFormat="1" ht="17.25" customHeight="1" x14ac:dyDescent="0.25">
      <c r="B263" s="76" t="s">
        <v>340</v>
      </c>
      <c r="C263" s="98" t="s">
        <v>426</v>
      </c>
      <c r="D263" s="619" t="s">
        <v>245</v>
      </c>
      <c r="E263" s="762">
        <v>4238288</v>
      </c>
      <c r="F263" s="762">
        <f>SUM(F264:F266)</f>
        <v>4362146</v>
      </c>
      <c r="G263" s="21">
        <f t="shared" si="122"/>
        <v>123858</v>
      </c>
      <c r="H263" s="870" t="s">
        <v>1216</v>
      </c>
      <c r="I263" s="21">
        <f>SUM(I264:I266)</f>
        <v>4407640</v>
      </c>
      <c r="J263" s="21">
        <f t="shared" si="105"/>
        <v>45494</v>
      </c>
      <c r="K263" s="232"/>
      <c r="L263" s="21">
        <f>SUM(L264:L266)</f>
        <v>4407640</v>
      </c>
      <c r="M263" s="21">
        <f t="shared" si="106"/>
        <v>0</v>
      </c>
      <c r="N263" s="232"/>
      <c r="O263" s="21">
        <f>SUM(O264:O266)</f>
        <v>4407640</v>
      </c>
      <c r="P263" s="21">
        <f t="shared" si="107"/>
        <v>0</v>
      </c>
      <c r="Q263" s="232"/>
      <c r="R263" s="1020"/>
      <c r="S263" s="21">
        <f>SUM(S264:S266)</f>
        <v>1944331.45</v>
      </c>
      <c r="T263" s="298">
        <f t="shared" si="131"/>
        <v>0.44112755352070493</v>
      </c>
      <c r="U263" s="22"/>
    </row>
    <row r="264" spans="2:21" s="883" customFormat="1" ht="17.25" customHeight="1" x14ac:dyDescent="0.25">
      <c r="B264" s="884"/>
      <c r="C264" s="217" t="s">
        <v>1224</v>
      </c>
      <c r="D264" s="712" t="s">
        <v>1221</v>
      </c>
      <c r="E264" s="886">
        <v>4021527</v>
      </c>
      <c r="F264" s="886">
        <f>4021527+17418-6716</f>
        <v>4032229</v>
      </c>
      <c r="G264" s="885">
        <f t="shared" si="122"/>
        <v>10702</v>
      </c>
      <c r="H264" s="889" t="s">
        <v>1216</v>
      </c>
      <c r="I264" s="885">
        <f>ROUND(F264,0)</f>
        <v>4032229</v>
      </c>
      <c r="J264" s="885">
        <f>I264-F264</f>
        <v>0</v>
      </c>
      <c r="K264" s="888"/>
      <c r="L264" s="885">
        <f t="shared" ref="L264:L268" si="133">ROUND(I264,0)</f>
        <v>4032229</v>
      </c>
      <c r="M264" s="21">
        <f t="shared" si="106"/>
        <v>0</v>
      </c>
      <c r="N264" s="888"/>
      <c r="O264" s="21">
        <f t="shared" ref="O264:O266" si="134">ROUND(L264,0)</f>
        <v>4032229</v>
      </c>
      <c r="P264" s="21">
        <f t="shared" ref="P264:P266" si="135">O264-L264</f>
        <v>0</v>
      </c>
      <c r="Q264" s="888"/>
      <c r="R264" s="888"/>
      <c r="S264" s="885">
        <f>1934389-S266-S275</f>
        <v>1799387.45</v>
      </c>
      <c r="T264" s="298">
        <f t="shared" si="131"/>
        <v>0.44625130417940051</v>
      </c>
      <c r="U264" s="887"/>
    </row>
    <row r="265" spans="2:21" s="883" customFormat="1" ht="16.95" customHeight="1" x14ac:dyDescent="0.25">
      <c r="B265" s="884"/>
      <c r="C265" s="217" t="s">
        <v>1225</v>
      </c>
      <c r="D265" s="712" t="s">
        <v>1222</v>
      </c>
      <c r="E265" s="886">
        <v>216761</v>
      </c>
      <c r="F265" s="886">
        <f>216761+110614+3572+30+4-1482</f>
        <v>329499</v>
      </c>
      <c r="G265" s="885">
        <f t="shared" si="122"/>
        <v>112738</v>
      </c>
      <c r="H265" s="889" t="s">
        <v>1216</v>
      </c>
      <c r="I265" s="885">
        <f>ROUND(F265,0)-49310+22060+264</f>
        <v>302513</v>
      </c>
      <c r="J265" s="885">
        <f>I265-F265</f>
        <v>-26986</v>
      </c>
      <c r="K265" s="888" t="s">
        <v>1237</v>
      </c>
      <c r="L265" s="885">
        <f t="shared" si="133"/>
        <v>302513</v>
      </c>
      <c r="M265" s="21">
        <f t="shared" si="106"/>
        <v>0</v>
      </c>
      <c r="N265" s="888"/>
      <c r="O265" s="21">
        <f t="shared" si="134"/>
        <v>302513</v>
      </c>
      <c r="P265" s="21">
        <f t="shared" si="135"/>
        <v>0</v>
      </c>
      <c r="Q265" s="888"/>
      <c r="R265" s="888"/>
      <c r="S265" s="885">
        <v>108513</v>
      </c>
      <c r="T265" s="298">
        <f t="shared" si="131"/>
        <v>0.35870524572497708</v>
      </c>
      <c r="U265" s="887"/>
    </row>
    <row r="266" spans="2:21" s="883" customFormat="1" ht="17.25" customHeight="1" x14ac:dyDescent="0.25">
      <c r="B266" s="884"/>
      <c r="C266" s="217" t="s">
        <v>1226</v>
      </c>
      <c r="D266" s="712" t="s">
        <v>1223</v>
      </c>
      <c r="E266" s="886"/>
      <c r="F266" s="886">
        <f>418</f>
        <v>418</v>
      </c>
      <c r="G266" s="885">
        <f t="shared" si="122"/>
        <v>418</v>
      </c>
      <c r="H266" s="889" t="s">
        <v>1216</v>
      </c>
      <c r="I266" s="885">
        <f>ROUND(F266,0)-264+71355+538+851</f>
        <v>72898</v>
      </c>
      <c r="J266" s="885">
        <f>I266-F266</f>
        <v>72480</v>
      </c>
      <c r="K266" s="888" t="s">
        <v>1227</v>
      </c>
      <c r="L266" s="885">
        <f t="shared" si="133"/>
        <v>72898</v>
      </c>
      <c r="M266" s="21">
        <f t="shared" si="106"/>
        <v>0</v>
      </c>
      <c r="N266" s="888"/>
      <c r="O266" s="21">
        <f t="shared" si="134"/>
        <v>72898</v>
      </c>
      <c r="P266" s="21">
        <f t="shared" si="135"/>
        <v>0</v>
      </c>
      <c r="Q266" s="888"/>
      <c r="R266" s="888"/>
      <c r="S266" s="885">
        <v>36431</v>
      </c>
      <c r="T266" s="298">
        <f t="shared" si="131"/>
        <v>0.49975307964553212</v>
      </c>
      <c r="U266" s="887"/>
    </row>
    <row r="267" spans="2:21" s="20" customFormat="1" ht="14.4" customHeight="1" x14ac:dyDescent="0.25">
      <c r="B267" s="76" t="s">
        <v>227</v>
      </c>
      <c r="C267" s="98" t="s">
        <v>427</v>
      </c>
      <c r="D267" s="619" t="s">
        <v>185</v>
      </c>
      <c r="E267" s="762">
        <v>1427218.8621271863</v>
      </c>
      <c r="F267" s="762">
        <f>ROUND(E267,0)-337847+35517</f>
        <v>1124889</v>
      </c>
      <c r="G267" s="21">
        <f t="shared" si="122"/>
        <v>-302329.86212718626</v>
      </c>
      <c r="H267" s="652" t="s">
        <v>1201</v>
      </c>
      <c r="I267" s="21">
        <f>ROUND(F267,0)-146203</f>
        <v>978686</v>
      </c>
      <c r="J267" s="21">
        <f t="shared" si="105"/>
        <v>-146203</v>
      </c>
      <c r="K267" s="232" t="s">
        <v>1251</v>
      </c>
      <c r="L267" s="21">
        <f>ROUND(I267,0)+5000+16000</f>
        <v>999686</v>
      </c>
      <c r="M267" s="21">
        <f t="shared" si="106"/>
        <v>21000</v>
      </c>
      <c r="N267" s="955" t="s">
        <v>1321</v>
      </c>
      <c r="O267" s="21">
        <f>ROUND(L267,0)-6000</f>
        <v>993686</v>
      </c>
      <c r="P267" s="21">
        <f t="shared" si="107"/>
        <v>-6000</v>
      </c>
      <c r="Q267" s="279" t="s">
        <v>1253</v>
      </c>
      <c r="R267" s="1015"/>
      <c r="S267" s="21">
        <f>743389-S268-S271-S272</f>
        <v>471598.35</v>
      </c>
      <c r="T267" s="298">
        <f t="shared" ref="T267:T293" si="136">S267/O267</f>
        <v>0.47459494246673495</v>
      </c>
      <c r="U267" s="22"/>
    </row>
    <row r="268" spans="2:21" s="20" customFormat="1" ht="18.600000000000001" customHeight="1" x14ac:dyDescent="0.25">
      <c r="B268" s="76"/>
      <c r="C268" s="98" t="s">
        <v>428</v>
      </c>
      <c r="D268" s="675" t="s">
        <v>618</v>
      </c>
      <c r="E268" s="766"/>
      <c r="F268" s="766">
        <v>337847</v>
      </c>
      <c r="G268" s="21">
        <f t="shared" si="122"/>
        <v>337847</v>
      </c>
      <c r="H268" s="652"/>
      <c r="I268" s="219">
        <f>ROUND(F268,0)+10919+146203</f>
        <v>494969</v>
      </c>
      <c r="J268" s="219">
        <f>I268-F268</f>
        <v>157122</v>
      </c>
      <c r="K268" s="652" t="s">
        <v>1250</v>
      </c>
      <c r="L268" s="219">
        <f t="shared" si="133"/>
        <v>494969</v>
      </c>
      <c r="M268" s="21">
        <f t="shared" si="106"/>
        <v>0</v>
      </c>
      <c r="N268" s="652"/>
      <c r="O268" s="21">
        <f>ROUND(L268,0)+6000</f>
        <v>500969</v>
      </c>
      <c r="P268" s="21">
        <f t="shared" ref="P268" si="137">O268-L268</f>
        <v>6000</v>
      </c>
      <c r="Q268" s="279" t="s">
        <v>1253</v>
      </c>
      <c r="R268" s="1015"/>
      <c r="S268" s="978">
        <v>193667</v>
      </c>
      <c r="T268" s="298">
        <f t="shared" si="136"/>
        <v>0.38658479866019652</v>
      </c>
      <c r="U268" s="609"/>
    </row>
    <row r="269" spans="2:21" s="20" customFormat="1" ht="15" customHeight="1" x14ac:dyDescent="0.25">
      <c r="B269" s="20" t="s">
        <v>341</v>
      </c>
      <c r="C269" s="98" t="s">
        <v>429</v>
      </c>
      <c r="D269" s="619" t="s">
        <v>244</v>
      </c>
      <c r="E269" s="762">
        <v>266093</v>
      </c>
      <c r="F269" s="762">
        <f>ROUND(E269,0)</f>
        <v>266093</v>
      </c>
      <c r="G269" s="21">
        <f t="shared" si="122"/>
        <v>0</v>
      </c>
      <c r="H269" s="279"/>
      <c r="I269" s="21">
        <f>ROUND(F269,0)-27100</f>
        <v>238993</v>
      </c>
      <c r="J269" s="21">
        <f t="shared" si="105"/>
        <v>-27100</v>
      </c>
      <c r="K269" s="909" t="s">
        <v>1260</v>
      </c>
      <c r="L269" s="21">
        <f t="shared" ref="L269:L275" si="138">ROUND(I269,0)</f>
        <v>238993</v>
      </c>
      <c r="M269" s="21">
        <f t="shared" si="106"/>
        <v>0</v>
      </c>
      <c r="N269" s="279"/>
      <c r="O269" s="21">
        <f t="shared" ref="O269:O275" si="139">ROUND(L269,0)</f>
        <v>238993</v>
      </c>
      <c r="P269" s="21">
        <f t="shared" si="107"/>
        <v>0</v>
      </c>
      <c r="Q269" s="279"/>
      <c r="R269" s="1015"/>
      <c r="S269" s="21">
        <v>62192</v>
      </c>
      <c r="T269" s="298">
        <f t="shared" si="136"/>
        <v>0.26022519488018475</v>
      </c>
      <c r="U269" s="22"/>
    </row>
    <row r="270" spans="2:21" s="20" customFormat="1" ht="16.2" customHeight="1" x14ac:dyDescent="0.25">
      <c r="B270" s="76" t="s">
        <v>283</v>
      </c>
      <c r="C270" s="98" t="s">
        <v>430</v>
      </c>
      <c r="D270" s="619" t="s">
        <v>271</v>
      </c>
      <c r="E270" s="762">
        <v>14485</v>
      </c>
      <c r="F270" s="762">
        <f>ROUND(E270,0)</f>
        <v>14485</v>
      </c>
      <c r="G270" s="55">
        <f t="shared" si="122"/>
        <v>0</v>
      </c>
      <c r="H270" s="224"/>
      <c r="I270" s="21">
        <f>ROUND(F270,0)+26175</f>
        <v>40660</v>
      </c>
      <c r="J270" s="55">
        <f t="shared" si="105"/>
        <v>26175</v>
      </c>
      <c r="K270" s="224" t="s">
        <v>1235</v>
      </c>
      <c r="L270" s="21">
        <f t="shared" si="138"/>
        <v>40660</v>
      </c>
      <c r="M270" s="55">
        <f t="shared" si="106"/>
        <v>0</v>
      </c>
      <c r="N270" s="224"/>
      <c r="O270" s="21">
        <f t="shared" si="139"/>
        <v>40660</v>
      </c>
      <c r="P270" s="55">
        <f t="shared" si="107"/>
        <v>0</v>
      </c>
      <c r="Q270" s="224"/>
      <c r="R270" s="1015"/>
      <c r="S270" s="21">
        <v>19029</v>
      </c>
      <c r="T270" s="298">
        <f t="shared" si="136"/>
        <v>0.4680029513034924</v>
      </c>
      <c r="U270" s="22"/>
    </row>
    <row r="271" spans="2:21" s="15" customFormat="1" ht="42.6" customHeight="1" x14ac:dyDescent="0.25">
      <c r="B271" s="76" t="s">
        <v>227</v>
      </c>
      <c r="C271" s="674" t="s">
        <v>431</v>
      </c>
      <c r="D271" s="619" t="s">
        <v>551</v>
      </c>
      <c r="E271" s="762">
        <v>34497</v>
      </c>
      <c r="F271" s="762">
        <f>ROUND(E271,0)+53231</f>
        <v>87728</v>
      </c>
      <c r="G271" s="68">
        <f t="shared" si="122"/>
        <v>53231</v>
      </c>
      <c r="H271" s="241" t="s">
        <v>1188</v>
      </c>
      <c r="I271" s="21">
        <f>ROUND(F271,0)</f>
        <v>87728</v>
      </c>
      <c r="J271" s="68">
        <f t="shared" si="105"/>
        <v>0</v>
      </c>
      <c r="K271" s="241"/>
      <c r="L271" s="21">
        <f t="shared" si="138"/>
        <v>87728</v>
      </c>
      <c r="M271" s="68">
        <f t="shared" si="106"/>
        <v>0</v>
      </c>
      <c r="N271" s="241"/>
      <c r="O271" s="21">
        <f t="shared" si="139"/>
        <v>87728</v>
      </c>
      <c r="P271" s="68">
        <f t="shared" si="107"/>
        <v>0</v>
      </c>
      <c r="Q271" s="241"/>
      <c r="R271" s="1020"/>
      <c r="S271" s="21">
        <v>78123.649999999994</v>
      </c>
      <c r="T271" s="298">
        <f t="shared" si="136"/>
        <v>0.89052127028998718</v>
      </c>
      <c r="U271" s="980"/>
    </row>
    <row r="272" spans="2:21" s="15" customFormat="1" ht="56.4" customHeight="1" x14ac:dyDescent="0.25">
      <c r="B272" s="76" t="s">
        <v>227</v>
      </c>
      <c r="C272" s="98" t="s">
        <v>432</v>
      </c>
      <c r="D272" s="675" t="s">
        <v>877</v>
      </c>
      <c r="E272" s="766">
        <v>870000</v>
      </c>
      <c r="F272" s="762">
        <f>ROUND(E272,0)</f>
        <v>870000</v>
      </c>
      <c r="G272" s="68">
        <f>F272-E272</f>
        <v>0</v>
      </c>
      <c r="H272" s="839"/>
      <c r="I272" s="219">
        <f>ROUND(F272,0)</f>
        <v>870000</v>
      </c>
      <c r="J272" s="219">
        <f>I272-F272</f>
        <v>0</v>
      </c>
      <c r="K272" s="652"/>
      <c r="L272" s="21">
        <f t="shared" si="138"/>
        <v>870000</v>
      </c>
      <c r="M272" s="68">
        <f t="shared" si="106"/>
        <v>0</v>
      </c>
      <c r="N272" s="652"/>
      <c r="O272" s="21">
        <f t="shared" ref="O272" si="140">ROUND(L272,0)</f>
        <v>870000</v>
      </c>
      <c r="P272" s="68">
        <f t="shared" ref="P272" si="141">O272-L272</f>
        <v>0</v>
      </c>
      <c r="Q272" s="652"/>
      <c r="R272" s="1020"/>
      <c r="S272" s="219">
        <v>0</v>
      </c>
      <c r="T272" s="306">
        <f t="shared" si="136"/>
        <v>0</v>
      </c>
      <c r="U272" s="609"/>
    </row>
    <row r="273" spans="2:21" s="15" customFormat="1" ht="18" customHeight="1" x14ac:dyDescent="0.25">
      <c r="B273" s="75" t="s">
        <v>249</v>
      </c>
      <c r="C273" s="98" t="s">
        <v>433</v>
      </c>
      <c r="D273" s="619" t="s">
        <v>269</v>
      </c>
      <c r="E273" s="762">
        <v>1006133.6654766668</v>
      </c>
      <c r="F273" s="762">
        <f>ROUND(E273,0)-197877-65904</f>
        <v>742353</v>
      </c>
      <c r="G273" s="21">
        <f t="shared" si="122"/>
        <v>-263780.66547666676</v>
      </c>
      <c r="H273" s="652" t="s">
        <v>1196</v>
      </c>
      <c r="I273" s="21">
        <f>ROUND(F273,0)-58159</f>
        <v>684194</v>
      </c>
      <c r="J273" s="21">
        <f t="shared" si="105"/>
        <v>-58159</v>
      </c>
      <c r="K273" s="232" t="s">
        <v>1256</v>
      </c>
      <c r="L273" s="21">
        <f t="shared" si="138"/>
        <v>684194</v>
      </c>
      <c r="M273" s="21">
        <f t="shared" si="106"/>
        <v>0</v>
      </c>
      <c r="N273" s="232"/>
      <c r="O273" s="21">
        <f t="shared" si="139"/>
        <v>684194</v>
      </c>
      <c r="P273" s="21">
        <f t="shared" si="107"/>
        <v>0</v>
      </c>
      <c r="Q273" s="232"/>
      <c r="R273" s="1020"/>
      <c r="S273" s="21">
        <f>393612-S274</f>
        <v>262253</v>
      </c>
      <c r="T273" s="298">
        <f t="shared" si="136"/>
        <v>0.38330210437390566</v>
      </c>
      <c r="U273" s="22"/>
    </row>
    <row r="274" spans="2:21" s="15" customFormat="1" ht="18" customHeight="1" x14ac:dyDescent="0.25">
      <c r="B274" s="75"/>
      <c r="C274" s="674" t="s">
        <v>1152</v>
      </c>
      <c r="D274" s="675" t="s">
        <v>1182</v>
      </c>
      <c r="E274" s="766"/>
      <c r="F274" s="766">
        <v>197877</v>
      </c>
      <c r="G274" s="21">
        <f t="shared" si="122"/>
        <v>197877</v>
      </c>
      <c r="H274" s="652"/>
      <c r="I274" s="21">
        <f>ROUND(F274,0)+19453+58159</f>
        <v>275489</v>
      </c>
      <c r="J274" s="21">
        <f>I274-F274</f>
        <v>77612</v>
      </c>
      <c r="K274" s="652" t="s">
        <v>1255</v>
      </c>
      <c r="L274" s="21">
        <f t="shared" ref="L274" si="142">ROUND(I274,0)</f>
        <v>275489</v>
      </c>
      <c r="M274" s="21">
        <f t="shared" ref="M274" si="143">L274-I274</f>
        <v>0</v>
      </c>
      <c r="N274" s="652"/>
      <c r="O274" s="21">
        <f t="shared" ref="O274" si="144">ROUND(L274,0)</f>
        <v>275489</v>
      </c>
      <c r="P274" s="21">
        <f t="shared" ref="P274" si="145">O274-L274</f>
        <v>0</v>
      </c>
      <c r="Q274" s="652"/>
      <c r="R274" s="1020"/>
      <c r="S274" s="1004">
        <v>131359</v>
      </c>
      <c r="T274" s="298">
        <f t="shared" si="136"/>
        <v>0.47682121609211259</v>
      </c>
      <c r="U274" s="609"/>
    </row>
    <row r="275" spans="2:21" s="15" customFormat="1" ht="15" customHeight="1" x14ac:dyDescent="0.25">
      <c r="B275" s="76" t="s">
        <v>340</v>
      </c>
      <c r="C275" s="98" t="s">
        <v>1177</v>
      </c>
      <c r="D275" s="619" t="s">
        <v>277</v>
      </c>
      <c r="E275" s="762">
        <v>166307</v>
      </c>
      <c r="F275" s="762">
        <f>ROUND(E275,0)+69974</f>
        <v>236281</v>
      </c>
      <c r="G275" s="55">
        <f t="shared" si="122"/>
        <v>69974</v>
      </c>
      <c r="H275" s="232" t="s">
        <v>1173</v>
      </c>
      <c r="I275" s="21">
        <f t="shared" ref="I275" si="146">ROUND(F275,0)</f>
        <v>236281</v>
      </c>
      <c r="J275" s="55">
        <f t="shared" si="105"/>
        <v>0</v>
      </c>
      <c r="K275" s="225"/>
      <c r="L275" s="21">
        <f t="shared" si="138"/>
        <v>236281</v>
      </c>
      <c r="M275" s="55">
        <f t="shared" si="106"/>
        <v>0</v>
      </c>
      <c r="N275" s="225"/>
      <c r="O275" s="21">
        <f t="shared" si="139"/>
        <v>236281</v>
      </c>
      <c r="P275" s="55">
        <f t="shared" si="107"/>
        <v>0</v>
      </c>
      <c r="Q275" s="225"/>
      <c r="R275" s="1015"/>
      <c r="S275" s="21">
        <v>98570.55</v>
      </c>
      <c r="T275" s="298">
        <f t="shared" si="136"/>
        <v>0.41717510083332981</v>
      </c>
      <c r="U275" s="22"/>
    </row>
    <row r="276" spans="2:21" s="105" customFormat="1" ht="13.95" customHeight="1" x14ac:dyDescent="0.25">
      <c r="B276" s="75"/>
      <c r="C276" s="106" t="s">
        <v>1178</v>
      </c>
      <c r="D276" s="736" t="s">
        <v>285</v>
      </c>
      <c r="E276" s="790">
        <v>508569.2170532</v>
      </c>
      <c r="F276" s="790">
        <f t="shared" ref="F276" si="147">F277+F278+F279</f>
        <v>508799</v>
      </c>
      <c r="G276" s="156">
        <f t="shared" si="122"/>
        <v>229.78294679999817</v>
      </c>
      <c r="H276" s="853"/>
      <c r="I276" s="156">
        <f>I277+I278+I279</f>
        <v>517972</v>
      </c>
      <c r="J276" s="156">
        <f t="shared" si="105"/>
        <v>9173</v>
      </c>
      <c r="K276" s="156"/>
      <c r="L276" s="156">
        <f>L277+L278+L279</f>
        <v>517972</v>
      </c>
      <c r="M276" s="156">
        <f t="shared" si="106"/>
        <v>0</v>
      </c>
      <c r="N276" s="156"/>
      <c r="O276" s="156">
        <f>O277+O278+O279</f>
        <v>514822</v>
      </c>
      <c r="P276" s="156">
        <f t="shared" si="107"/>
        <v>-3150</v>
      </c>
      <c r="Q276" s="156"/>
      <c r="R276" s="1040"/>
      <c r="S276" s="156">
        <f>S277+S278+S279</f>
        <v>173136</v>
      </c>
      <c r="T276" s="329">
        <f t="shared" si="136"/>
        <v>0.3363026444091356</v>
      </c>
      <c r="U276" s="853"/>
    </row>
    <row r="277" spans="2:21" s="15" customFormat="1" ht="12" customHeight="1" x14ac:dyDescent="0.25">
      <c r="B277" s="74" t="s">
        <v>339</v>
      </c>
      <c r="C277" s="103" t="s">
        <v>1179</v>
      </c>
      <c r="D277" s="619" t="s">
        <v>1249</v>
      </c>
      <c r="E277" s="762">
        <v>138119</v>
      </c>
      <c r="F277" s="762">
        <f>ROUND(E277,0)-46+276</f>
        <v>138349</v>
      </c>
      <c r="G277" s="68">
        <f t="shared" si="122"/>
        <v>230</v>
      </c>
      <c r="H277" s="232" t="s">
        <v>1173</v>
      </c>
      <c r="I277" s="21">
        <f>ROUND(F277,0)+2468</f>
        <v>140817</v>
      </c>
      <c r="J277" s="68">
        <f t="shared" si="105"/>
        <v>2468</v>
      </c>
      <c r="K277" s="241" t="s">
        <v>1227</v>
      </c>
      <c r="L277" s="21">
        <f>ROUND(I277,0)</f>
        <v>140817</v>
      </c>
      <c r="M277" s="68">
        <f t="shared" si="106"/>
        <v>0</v>
      </c>
      <c r="N277" s="241"/>
      <c r="O277" s="21">
        <f>ROUND(L277,0)</f>
        <v>140817</v>
      </c>
      <c r="P277" s="68">
        <f t="shared" si="107"/>
        <v>0</v>
      </c>
      <c r="Q277" s="241"/>
      <c r="R277" s="1020"/>
      <c r="S277" s="21">
        <v>59611</v>
      </c>
      <c r="T277" s="298">
        <f t="shared" si="136"/>
        <v>0.42332246816790586</v>
      </c>
      <c r="U277" s="21" t="s">
        <v>672</v>
      </c>
    </row>
    <row r="278" spans="2:21" s="14" customFormat="1" ht="60" customHeight="1" x14ac:dyDescent="0.25">
      <c r="B278" s="75" t="s">
        <v>284</v>
      </c>
      <c r="C278" s="103" t="s">
        <v>1180</v>
      </c>
      <c r="D278" s="619" t="s">
        <v>286</v>
      </c>
      <c r="E278" s="762">
        <v>370450.2170532</v>
      </c>
      <c r="F278" s="762">
        <f>ROUND(E278,0)-14058</f>
        <v>356392</v>
      </c>
      <c r="G278" s="68">
        <f t="shared" si="122"/>
        <v>-14058.217053200002</v>
      </c>
      <c r="H278" s="233"/>
      <c r="I278" s="21">
        <f>ROUND(F278,0)-6000</f>
        <v>350392</v>
      </c>
      <c r="J278" s="68">
        <f t="shared" si="105"/>
        <v>-6000</v>
      </c>
      <c r="K278" s="233" t="s">
        <v>1253</v>
      </c>
      <c r="L278" s="21">
        <f>ROUND(I278,0)</f>
        <v>350392</v>
      </c>
      <c r="M278" s="68">
        <f t="shared" si="106"/>
        <v>0</v>
      </c>
      <c r="N278" s="233"/>
      <c r="O278" s="21">
        <f>ROUND(L278,0)-3150</f>
        <v>347242</v>
      </c>
      <c r="P278" s="68">
        <f t="shared" si="107"/>
        <v>-3150</v>
      </c>
      <c r="Q278" s="232" t="s">
        <v>1361</v>
      </c>
      <c r="R278" s="1020"/>
      <c r="S278" s="21">
        <f>113525-S279</f>
        <v>105798</v>
      </c>
      <c r="T278" s="298">
        <f t="shared" si="136"/>
        <v>0.30468088537676896</v>
      </c>
      <c r="U278" s="21"/>
    </row>
    <row r="279" spans="2:21" s="14" customFormat="1" ht="19.2" customHeight="1" x14ac:dyDescent="0.25">
      <c r="B279" s="75"/>
      <c r="C279" s="103" t="s">
        <v>1181</v>
      </c>
      <c r="D279" s="675" t="s">
        <v>1175</v>
      </c>
      <c r="E279" s="766"/>
      <c r="F279" s="766">
        <v>14058</v>
      </c>
      <c r="G279" s="68">
        <f t="shared" si="122"/>
        <v>14058</v>
      </c>
      <c r="H279" s="240" t="s">
        <v>1176</v>
      </c>
      <c r="I279" s="219">
        <f>ROUND(F279,0)+6705+6000</f>
        <v>26763</v>
      </c>
      <c r="J279" s="219">
        <f>I279-F279</f>
        <v>12705</v>
      </c>
      <c r="K279" s="652" t="s">
        <v>1252</v>
      </c>
      <c r="L279" s="21">
        <f>ROUND(I279,0)</f>
        <v>26763</v>
      </c>
      <c r="M279" s="68">
        <f t="shared" si="106"/>
        <v>0</v>
      </c>
      <c r="N279" s="240"/>
      <c r="O279" s="21">
        <f>ROUND(L279,0)</f>
        <v>26763</v>
      </c>
      <c r="P279" s="68">
        <f t="shared" ref="P279" si="148">O279-L279</f>
        <v>0</v>
      </c>
      <c r="Q279" s="240"/>
      <c r="R279" s="1015"/>
      <c r="S279" s="1004">
        <v>7727</v>
      </c>
      <c r="T279" s="298">
        <f t="shared" si="136"/>
        <v>0.28871950080334791</v>
      </c>
      <c r="U279" s="219"/>
    </row>
    <row r="280" spans="2:21" ht="18" customHeight="1" x14ac:dyDescent="0.25">
      <c r="C280" s="101" t="s">
        <v>434</v>
      </c>
      <c r="D280" s="660" t="s">
        <v>599</v>
      </c>
      <c r="E280" s="777">
        <v>1647206</v>
      </c>
      <c r="F280" s="777">
        <f t="shared" ref="F280" si="149">F281+F282</f>
        <v>1852644</v>
      </c>
      <c r="G280" s="34">
        <f t="shared" si="122"/>
        <v>205438</v>
      </c>
      <c r="H280" s="611"/>
      <c r="I280" s="34">
        <f>I281+I282</f>
        <v>1852644</v>
      </c>
      <c r="J280" s="34">
        <f t="shared" si="105"/>
        <v>0</v>
      </c>
      <c r="K280" s="34"/>
      <c r="L280" s="34">
        <f>L281+L282</f>
        <v>1856644</v>
      </c>
      <c r="M280" s="34">
        <f t="shared" si="106"/>
        <v>4000</v>
      </c>
      <c r="N280" s="34"/>
      <c r="O280" s="34">
        <f>O281+O282</f>
        <v>1856644</v>
      </c>
      <c r="P280" s="34">
        <f t="shared" si="107"/>
        <v>0</v>
      </c>
      <c r="Q280" s="34"/>
      <c r="R280" s="1034"/>
      <c r="S280" s="34">
        <f>S281+S282</f>
        <v>878155</v>
      </c>
      <c r="T280" s="321">
        <f t="shared" si="136"/>
        <v>0.47297974194298958</v>
      </c>
      <c r="U280" s="34"/>
    </row>
    <row r="281" spans="2:21" ht="13.5" customHeight="1" x14ac:dyDescent="0.25">
      <c r="C281" s="98" t="s">
        <v>435</v>
      </c>
      <c r="D281" s="619" t="s">
        <v>183</v>
      </c>
      <c r="E281" s="762">
        <v>651116</v>
      </c>
      <c r="F281" s="762">
        <f>ROUND(E281,0)+1832+142597</f>
        <v>795545</v>
      </c>
      <c r="G281" s="21">
        <f t="shared" si="122"/>
        <v>144429</v>
      </c>
      <c r="H281" s="232" t="s">
        <v>1199</v>
      </c>
      <c r="I281" s="21">
        <f>ROUND(F281,0)</f>
        <v>795545</v>
      </c>
      <c r="J281" s="21">
        <f t="shared" si="105"/>
        <v>0</v>
      </c>
      <c r="K281" s="232"/>
      <c r="L281" s="21">
        <f>ROUND(I281,0)</f>
        <v>795545</v>
      </c>
      <c r="M281" s="21">
        <f t="shared" si="106"/>
        <v>0</v>
      </c>
      <c r="N281" s="232"/>
      <c r="O281" s="21">
        <f>ROUND(L281,0)</f>
        <v>795545</v>
      </c>
      <c r="P281" s="21">
        <f t="shared" si="107"/>
        <v>0</v>
      </c>
      <c r="Q281" s="232"/>
      <c r="R281" s="1020"/>
      <c r="S281" s="21">
        <v>384152</v>
      </c>
      <c r="T281" s="298">
        <f t="shared" si="136"/>
        <v>0.48287903261286286</v>
      </c>
      <c r="U281" s="21"/>
    </row>
    <row r="282" spans="2:21" ht="25.95" customHeight="1" x14ac:dyDescent="0.25">
      <c r="C282" s="98" t="s">
        <v>436</v>
      </c>
      <c r="D282" s="619" t="s">
        <v>185</v>
      </c>
      <c r="E282" s="762">
        <v>996090</v>
      </c>
      <c r="F282" s="762">
        <f>ROUND(E282,0)+61009</f>
        <v>1057099</v>
      </c>
      <c r="G282" s="21">
        <f t="shared" si="122"/>
        <v>61009</v>
      </c>
      <c r="H282" s="280" t="s">
        <v>1198</v>
      </c>
      <c r="I282" s="21">
        <f>ROUND(F282,0)</f>
        <v>1057099</v>
      </c>
      <c r="J282" s="21">
        <f t="shared" ref="J282:J301" si="150">I282-F282</f>
        <v>0</v>
      </c>
      <c r="K282" s="280"/>
      <c r="L282" s="21">
        <f>ROUND(I282,0)+4000</f>
        <v>1061099</v>
      </c>
      <c r="M282" s="21">
        <f t="shared" ref="M282:M301" si="151">L282-I282</f>
        <v>4000</v>
      </c>
      <c r="N282" s="292" t="s">
        <v>1331</v>
      </c>
      <c r="O282" s="21">
        <f>ROUND(L282,0)</f>
        <v>1061099</v>
      </c>
      <c r="P282" s="21">
        <f t="shared" ref="P282:P301" si="152">O282-L282</f>
        <v>0</v>
      </c>
      <c r="Q282" s="280"/>
      <c r="R282" s="1041"/>
      <c r="S282" s="21">
        <v>494003</v>
      </c>
      <c r="T282" s="298">
        <f t="shared" si="136"/>
        <v>0.46555787914228552</v>
      </c>
      <c r="U282" s="924" t="s">
        <v>672</v>
      </c>
    </row>
    <row r="283" spans="2:21" ht="16.2" customHeight="1" x14ac:dyDescent="0.25">
      <c r="C283" s="104" t="s">
        <v>437</v>
      </c>
      <c r="D283" s="660" t="s">
        <v>196</v>
      </c>
      <c r="E283" s="777">
        <v>706577.70189168002</v>
      </c>
      <c r="F283" s="777">
        <f>F284+F285</f>
        <v>706619</v>
      </c>
      <c r="G283" s="34">
        <f t="shared" si="122"/>
        <v>41.298108319984749</v>
      </c>
      <c r="H283" s="841"/>
      <c r="I283" s="34">
        <f>I284+I285</f>
        <v>740716</v>
      </c>
      <c r="J283" s="34">
        <f t="shared" si="150"/>
        <v>34097</v>
      </c>
      <c r="K283" s="270" t="s">
        <v>1231</v>
      </c>
      <c r="L283" s="34">
        <f>L284+L285</f>
        <v>740716</v>
      </c>
      <c r="M283" s="34">
        <f t="shared" si="151"/>
        <v>0</v>
      </c>
      <c r="N283" s="270"/>
      <c r="O283" s="34">
        <f>O284+O285</f>
        <v>740716</v>
      </c>
      <c r="P283" s="34">
        <f t="shared" si="152"/>
        <v>0</v>
      </c>
      <c r="Q283" s="270"/>
      <c r="R283" s="1036"/>
      <c r="S283" s="34">
        <f>S284+S285</f>
        <v>293092</v>
      </c>
      <c r="T283" s="321">
        <f t="shared" si="136"/>
        <v>0.39568741595969303</v>
      </c>
      <c r="U283" s="611"/>
    </row>
    <row r="284" spans="2:21" ht="16.5" customHeight="1" x14ac:dyDescent="0.25">
      <c r="B284" s="74" t="s">
        <v>496</v>
      </c>
      <c r="C284" s="98" t="s">
        <v>438</v>
      </c>
      <c r="D284" s="619" t="s">
        <v>183</v>
      </c>
      <c r="E284" s="762">
        <v>314605.76040000003</v>
      </c>
      <c r="F284" s="762">
        <f>ROUND(E284,0)+41</f>
        <v>314647</v>
      </c>
      <c r="G284" s="21">
        <f t="shared" si="122"/>
        <v>41.239599999971688</v>
      </c>
      <c r="H284" s="224" t="s">
        <v>615</v>
      </c>
      <c r="I284" s="21">
        <f>ROUND(F284,0)-22981</f>
        <v>291666</v>
      </c>
      <c r="J284" s="21">
        <f t="shared" si="150"/>
        <v>-22981</v>
      </c>
      <c r="K284" s="224"/>
      <c r="L284" s="21">
        <f t="shared" ref="L284:L291" si="153">ROUND(I284,0)</f>
        <v>291666</v>
      </c>
      <c r="M284" s="21">
        <f t="shared" si="151"/>
        <v>0</v>
      </c>
      <c r="N284" s="224"/>
      <c r="O284" s="21">
        <f t="shared" ref="O284:O290" si="154">ROUND(L284,0)</f>
        <v>291666</v>
      </c>
      <c r="P284" s="21">
        <f t="shared" si="152"/>
        <v>0</v>
      </c>
      <c r="Q284" s="224"/>
      <c r="R284" s="1015"/>
      <c r="S284" s="21">
        <v>137155</v>
      </c>
      <c r="T284" s="298">
        <f t="shared" si="136"/>
        <v>0.47024678913551804</v>
      </c>
      <c r="U284" s="22"/>
    </row>
    <row r="285" spans="2:21" ht="16.5" customHeight="1" x14ac:dyDescent="0.25">
      <c r="B285" s="74" t="s">
        <v>229</v>
      </c>
      <c r="C285" s="98" t="s">
        <v>439</v>
      </c>
      <c r="D285" s="619" t="s">
        <v>233</v>
      </c>
      <c r="E285" s="762">
        <v>391971.94149168005</v>
      </c>
      <c r="F285" s="762">
        <f t="shared" ref="F285:F290" si="155">ROUND(E285,0)</f>
        <v>391972</v>
      </c>
      <c r="G285" s="21">
        <f t="shared" si="122"/>
        <v>5.8508319954853505E-2</v>
      </c>
      <c r="H285" s="808"/>
      <c r="I285" s="21">
        <f>ROUND(F285,0)+57078</f>
        <v>449050</v>
      </c>
      <c r="J285" s="21">
        <f t="shared" si="150"/>
        <v>57078</v>
      </c>
      <c r="K285" s="232"/>
      <c r="L285" s="21">
        <f t="shared" si="153"/>
        <v>449050</v>
      </c>
      <c r="M285" s="21">
        <f t="shared" si="151"/>
        <v>0</v>
      </c>
      <c r="N285" s="232"/>
      <c r="O285" s="21">
        <f t="shared" si="154"/>
        <v>449050</v>
      </c>
      <c r="P285" s="21">
        <f t="shared" si="152"/>
        <v>0</v>
      </c>
      <c r="Q285" s="232"/>
      <c r="R285" s="1020"/>
      <c r="S285" s="21">
        <v>155937</v>
      </c>
      <c r="T285" s="298">
        <f t="shared" si="136"/>
        <v>0.34725977062687896</v>
      </c>
      <c r="U285" s="924" t="s">
        <v>672</v>
      </c>
    </row>
    <row r="286" spans="2:21" ht="19.95" customHeight="1" x14ac:dyDescent="0.25">
      <c r="B286" s="74" t="s">
        <v>240</v>
      </c>
      <c r="C286" s="104" t="s">
        <v>440</v>
      </c>
      <c r="D286" s="660" t="s">
        <v>770</v>
      </c>
      <c r="E286" s="48">
        <v>482391.24160460004</v>
      </c>
      <c r="F286" s="48">
        <f t="shared" si="155"/>
        <v>482391</v>
      </c>
      <c r="G286" s="28">
        <f t="shared" si="122"/>
        <v>-0.2416046000435017</v>
      </c>
      <c r="H286" s="818"/>
      <c r="I286" s="28">
        <f t="shared" ref="I286:I291" si="156">ROUND(F286,0)</f>
        <v>482391</v>
      </c>
      <c r="J286" s="28">
        <f t="shared" si="150"/>
        <v>0</v>
      </c>
      <c r="K286" s="242"/>
      <c r="L286" s="28">
        <f t="shared" si="153"/>
        <v>482391</v>
      </c>
      <c r="M286" s="28">
        <f t="shared" si="151"/>
        <v>0</v>
      </c>
      <c r="N286" s="242"/>
      <c r="O286" s="28">
        <f>ROUND(L286,0)</f>
        <v>482391</v>
      </c>
      <c r="P286" s="28">
        <f t="shared" si="152"/>
        <v>0</v>
      </c>
      <c r="Q286" s="242"/>
      <c r="R286" s="974"/>
      <c r="S286" s="28">
        <f>162325+12668</f>
        <v>174993</v>
      </c>
      <c r="T286" s="309">
        <f t="shared" si="136"/>
        <v>0.36276174306734577</v>
      </c>
      <c r="U286" s="28" t="s">
        <v>726</v>
      </c>
    </row>
    <row r="287" spans="2:21" ht="18" customHeight="1" x14ac:dyDescent="0.25">
      <c r="B287" s="74"/>
      <c r="C287" s="104" t="s">
        <v>441</v>
      </c>
      <c r="D287" s="660" t="s">
        <v>769</v>
      </c>
      <c r="E287" s="789">
        <v>3000</v>
      </c>
      <c r="F287" s="48">
        <f t="shared" si="155"/>
        <v>3000</v>
      </c>
      <c r="G287" s="28">
        <f t="shared" si="122"/>
        <v>0</v>
      </c>
      <c r="H287" s="854"/>
      <c r="I287" s="28">
        <f t="shared" si="156"/>
        <v>3000</v>
      </c>
      <c r="J287" s="111">
        <f t="shared" si="150"/>
        <v>0</v>
      </c>
      <c r="K287" s="281"/>
      <c r="L287" s="28">
        <f t="shared" si="153"/>
        <v>3000</v>
      </c>
      <c r="M287" s="111">
        <f t="shared" si="151"/>
        <v>0</v>
      </c>
      <c r="N287" s="281"/>
      <c r="O287" s="28">
        <f t="shared" si="154"/>
        <v>3000</v>
      </c>
      <c r="P287" s="111">
        <f t="shared" si="152"/>
        <v>0</v>
      </c>
      <c r="Q287" s="281"/>
      <c r="R287" s="974"/>
      <c r="S287" s="28">
        <v>0</v>
      </c>
      <c r="T287" s="327">
        <f t="shared" si="136"/>
        <v>0</v>
      </c>
      <c r="U287" s="370"/>
    </row>
    <row r="288" spans="2:21" ht="31.95" customHeight="1" x14ac:dyDescent="0.25">
      <c r="B288" s="74" t="s">
        <v>355</v>
      </c>
      <c r="C288" s="104" t="s">
        <v>442</v>
      </c>
      <c r="D288" s="660" t="s">
        <v>1153</v>
      </c>
      <c r="E288" s="48">
        <v>17962</v>
      </c>
      <c r="F288" s="48">
        <f>ROUND(E288,0)-1841</f>
        <v>16121</v>
      </c>
      <c r="G288" s="264">
        <f t="shared" si="122"/>
        <v>-1841</v>
      </c>
      <c r="H288" s="265" t="s">
        <v>615</v>
      </c>
      <c r="I288" s="28">
        <f t="shared" si="156"/>
        <v>16121</v>
      </c>
      <c r="J288" s="264">
        <f t="shared" si="150"/>
        <v>0</v>
      </c>
      <c r="K288" s="265"/>
      <c r="L288" s="28">
        <f t="shared" si="153"/>
        <v>16121</v>
      </c>
      <c r="M288" s="264">
        <f t="shared" si="151"/>
        <v>0</v>
      </c>
      <c r="N288" s="265"/>
      <c r="O288" s="28">
        <f t="shared" si="154"/>
        <v>16121</v>
      </c>
      <c r="P288" s="264">
        <f t="shared" si="152"/>
        <v>0</v>
      </c>
      <c r="Q288" s="265"/>
      <c r="R288" s="974"/>
      <c r="S288" s="28">
        <v>0</v>
      </c>
      <c r="T288" s="309">
        <f t="shared" si="136"/>
        <v>0</v>
      </c>
      <c r="U288" s="28" t="s">
        <v>1270</v>
      </c>
    </row>
    <row r="289" spans="2:23" ht="27" customHeight="1" x14ac:dyDescent="0.25">
      <c r="B289" s="74" t="s">
        <v>354</v>
      </c>
      <c r="C289" s="104" t="s">
        <v>443</v>
      </c>
      <c r="D289" s="660" t="s">
        <v>317</v>
      </c>
      <c r="E289" s="48">
        <v>1049</v>
      </c>
      <c r="F289" s="48">
        <f t="shared" si="155"/>
        <v>1049</v>
      </c>
      <c r="G289" s="264">
        <f t="shared" si="122"/>
        <v>0</v>
      </c>
      <c r="H289" s="834"/>
      <c r="I289" s="28">
        <f t="shared" si="156"/>
        <v>1049</v>
      </c>
      <c r="J289" s="264">
        <f t="shared" si="150"/>
        <v>0</v>
      </c>
      <c r="K289" s="265"/>
      <c r="L289" s="28">
        <f t="shared" si="153"/>
        <v>1049</v>
      </c>
      <c r="M289" s="264">
        <f t="shared" si="151"/>
        <v>0</v>
      </c>
      <c r="N289" s="265"/>
      <c r="O289" s="28">
        <f t="shared" si="154"/>
        <v>1049</v>
      </c>
      <c r="P289" s="264">
        <f t="shared" si="152"/>
        <v>0</v>
      </c>
      <c r="Q289" s="265"/>
      <c r="R289" s="974"/>
      <c r="S289" s="28">
        <v>0</v>
      </c>
      <c r="T289" s="309">
        <f t="shared" si="136"/>
        <v>0</v>
      </c>
      <c r="U289" s="28" t="s">
        <v>1270</v>
      </c>
    </row>
    <row r="290" spans="2:23" ht="57.6" customHeight="1" x14ac:dyDescent="0.25">
      <c r="B290" s="74" t="s">
        <v>495</v>
      </c>
      <c r="C290" s="104" t="s">
        <v>444</v>
      </c>
      <c r="D290" s="677" t="s">
        <v>575</v>
      </c>
      <c r="E290" s="48">
        <v>765</v>
      </c>
      <c r="F290" s="48">
        <f t="shared" si="155"/>
        <v>765</v>
      </c>
      <c r="G290" s="111">
        <f t="shared" si="122"/>
        <v>0</v>
      </c>
      <c r="H290" s="854"/>
      <c r="I290" s="28">
        <f t="shared" si="156"/>
        <v>765</v>
      </c>
      <c r="J290" s="111">
        <f t="shared" si="150"/>
        <v>0</v>
      </c>
      <c r="K290" s="281"/>
      <c r="L290" s="28">
        <f t="shared" si="153"/>
        <v>765</v>
      </c>
      <c r="M290" s="111">
        <f t="shared" si="151"/>
        <v>0</v>
      </c>
      <c r="N290" s="281"/>
      <c r="O290" s="28">
        <f t="shared" si="154"/>
        <v>765</v>
      </c>
      <c r="P290" s="111">
        <f t="shared" si="152"/>
        <v>0</v>
      </c>
      <c r="Q290" s="281"/>
      <c r="R290" s="974"/>
      <c r="S290" s="28">
        <v>0</v>
      </c>
      <c r="T290" s="309">
        <f t="shared" si="136"/>
        <v>0</v>
      </c>
      <c r="U290" s="28" t="s">
        <v>1270</v>
      </c>
    </row>
    <row r="291" spans="2:23" ht="30.6" customHeight="1" x14ac:dyDescent="0.25">
      <c r="B291" s="74" t="s">
        <v>1211</v>
      </c>
      <c r="C291" s="101" t="s">
        <v>445</v>
      </c>
      <c r="D291" s="660" t="s">
        <v>1210</v>
      </c>
      <c r="E291" s="791">
        <v>637343</v>
      </c>
      <c r="F291" s="48">
        <f>ROUND(E291,0)</f>
        <v>637343</v>
      </c>
      <c r="G291" s="111">
        <f>F291-E291</f>
        <v>0</v>
      </c>
      <c r="H291" s="855"/>
      <c r="I291" s="28">
        <f t="shared" si="156"/>
        <v>637343</v>
      </c>
      <c r="J291" s="111">
        <f>I291-F291</f>
        <v>0</v>
      </c>
      <c r="K291" s="658"/>
      <c r="L291" s="28">
        <f t="shared" si="153"/>
        <v>637343</v>
      </c>
      <c r="M291" s="111">
        <f t="shared" si="151"/>
        <v>0</v>
      </c>
      <c r="N291" s="658"/>
      <c r="O291" s="28">
        <f t="shared" ref="O291" si="157">ROUND(L291,0)</f>
        <v>637343</v>
      </c>
      <c r="P291" s="111">
        <f t="shared" ref="P291" si="158">O291-L291</f>
        <v>0</v>
      </c>
      <c r="Q291" s="658"/>
      <c r="R291" s="974"/>
      <c r="S291" s="979">
        <v>47916</v>
      </c>
      <c r="T291" s="659">
        <f t="shared" si="136"/>
        <v>7.5180868072607682E-2</v>
      </c>
      <c r="U291" s="979" t="s">
        <v>1364</v>
      </c>
    </row>
    <row r="292" spans="2:23" ht="27" customHeight="1" x14ac:dyDescent="0.25">
      <c r="C292" s="101" t="s">
        <v>1148</v>
      </c>
      <c r="D292" s="660" t="s">
        <v>256</v>
      </c>
      <c r="E292" s="770">
        <v>15746</v>
      </c>
      <c r="F292" s="770">
        <f>F293+F294</f>
        <v>16496</v>
      </c>
      <c r="G292" s="28">
        <f t="shared" si="122"/>
        <v>750</v>
      </c>
      <c r="H292" s="856"/>
      <c r="I292" s="64">
        <f>I293+I294</f>
        <v>16496</v>
      </c>
      <c r="J292" s="28">
        <f t="shared" si="150"/>
        <v>0</v>
      </c>
      <c r="K292" s="282"/>
      <c r="L292" s="64">
        <f>L293+L294</f>
        <v>16496</v>
      </c>
      <c r="M292" s="28">
        <f t="shared" si="151"/>
        <v>0</v>
      </c>
      <c r="N292" s="282"/>
      <c r="O292" s="64">
        <f>O293+O294</f>
        <v>16496</v>
      </c>
      <c r="P292" s="28">
        <f t="shared" si="152"/>
        <v>0</v>
      </c>
      <c r="Q292" s="282"/>
      <c r="R292" s="974"/>
      <c r="S292" s="64">
        <f>S293+S294</f>
        <v>0</v>
      </c>
      <c r="T292" s="326">
        <f t="shared" si="136"/>
        <v>0</v>
      </c>
      <c r="U292" s="613"/>
    </row>
    <row r="293" spans="2:23" ht="14.4" customHeight="1" x14ac:dyDescent="0.25">
      <c r="B293" s="74" t="s">
        <v>260</v>
      </c>
      <c r="C293" s="35" t="s">
        <v>1149</v>
      </c>
      <c r="D293" s="32" t="s">
        <v>337</v>
      </c>
      <c r="E293" s="769">
        <v>15746</v>
      </c>
      <c r="F293" s="769">
        <f>ROUND(E293,0)+750</f>
        <v>16496</v>
      </c>
      <c r="G293" s="68">
        <f t="shared" si="122"/>
        <v>750</v>
      </c>
      <c r="H293" s="241" t="s">
        <v>615</v>
      </c>
      <c r="I293" s="68">
        <f>ROUND(F293,0)</f>
        <v>16496</v>
      </c>
      <c r="J293" s="68">
        <f t="shared" si="150"/>
        <v>0</v>
      </c>
      <c r="K293" s="241"/>
      <c r="L293" s="68">
        <f>ROUND(I293,0)</f>
        <v>16496</v>
      </c>
      <c r="M293" s="68">
        <f t="shared" si="151"/>
        <v>0</v>
      </c>
      <c r="N293" s="241"/>
      <c r="O293" s="68">
        <f>ROUND(L293,0)</f>
        <v>16496</v>
      </c>
      <c r="P293" s="68">
        <f t="shared" si="152"/>
        <v>0</v>
      </c>
      <c r="Q293" s="241"/>
      <c r="R293" s="1020"/>
      <c r="S293" s="68">
        <v>0</v>
      </c>
      <c r="T293" s="303">
        <f t="shared" si="136"/>
        <v>0</v>
      </c>
      <c r="U293" s="608"/>
    </row>
    <row r="294" spans="2:23" s="14" customFormat="1" ht="15" customHeight="1" x14ac:dyDescent="0.25">
      <c r="B294" s="74" t="s">
        <v>342</v>
      </c>
      <c r="C294" s="35" t="s">
        <v>1150</v>
      </c>
      <c r="D294" s="32" t="s">
        <v>309</v>
      </c>
      <c r="E294" s="769">
        <v>0</v>
      </c>
      <c r="F294" s="769">
        <f>ROUND(E294,0)</f>
        <v>0</v>
      </c>
      <c r="G294" s="68">
        <f t="shared" si="122"/>
        <v>0</v>
      </c>
      <c r="H294" s="817"/>
      <c r="I294" s="68">
        <f>ROUND(F294,0)</f>
        <v>0</v>
      </c>
      <c r="J294" s="68">
        <f t="shared" si="150"/>
        <v>0</v>
      </c>
      <c r="K294" s="241"/>
      <c r="L294" s="68">
        <f>ROUND(I294,0)</f>
        <v>0</v>
      </c>
      <c r="M294" s="68">
        <f t="shared" si="151"/>
        <v>0</v>
      </c>
      <c r="N294" s="241"/>
      <c r="O294" s="68">
        <f>ROUND(L294,0)</f>
        <v>0</v>
      </c>
      <c r="P294" s="68">
        <f t="shared" si="152"/>
        <v>0</v>
      </c>
      <c r="Q294" s="241"/>
      <c r="R294" s="1020"/>
      <c r="S294" s="68">
        <v>0</v>
      </c>
      <c r="T294" s="303"/>
      <c r="U294" s="608"/>
    </row>
    <row r="295" spans="2:23" s="14" customFormat="1" ht="17.399999999999999" customHeight="1" outlineLevel="1" x14ac:dyDescent="0.25">
      <c r="C295" s="97" t="s">
        <v>574</v>
      </c>
      <c r="D295" s="644" t="s">
        <v>198</v>
      </c>
      <c r="E295" s="761">
        <v>0</v>
      </c>
      <c r="F295" s="761">
        <f>SUM(F296:F297)</f>
        <v>0</v>
      </c>
      <c r="G295" s="23">
        <f t="shared" si="122"/>
        <v>0</v>
      </c>
      <c r="H295" s="802"/>
      <c r="I295" s="23">
        <f>SUM(I296:I297)</f>
        <v>0</v>
      </c>
      <c r="J295" s="23">
        <f t="shared" si="150"/>
        <v>0</v>
      </c>
      <c r="K295" s="226"/>
      <c r="L295" s="23">
        <f>SUM(L296:L297)</f>
        <v>0</v>
      </c>
      <c r="M295" s="23">
        <f t="shared" si="151"/>
        <v>0</v>
      </c>
      <c r="N295" s="226"/>
      <c r="O295" s="23">
        <f>SUM(O296:O297)</f>
        <v>0</v>
      </c>
      <c r="P295" s="23">
        <f t="shared" si="152"/>
        <v>0</v>
      </c>
      <c r="Q295" s="226"/>
      <c r="R295" s="1016"/>
      <c r="S295" s="23">
        <f>SUM(S296:S297)</f>
        <v>0</v>
      </c>
      <c r="T295" s="297"/>
      <c r="U295" s="368"/>
    </row>
    <row r="296" spans="2:23" ht="17.25" customHeight="1" outlineLevel="1" x14ac:dyDescent="0.25">
      <c r="C296" s="96" t="s">
        <v>89</v>
      </c>
      <c r="D296" s="623" t="s">
        <v>199</v>
      </c>
      <c r="E296" s="48"/>
      <c r="F296" s="48"/>
      <c r="G296" s="28">
        <f t="shared" si="122"/>
        <v>0</v>
      </c>
      <c r="H296" s="818"/>
      <c r="I296" s="28"/>
      <c r="J296" s="28">
        <f t="shared" si="150"/>
        <v>0</v>
      </c>
      <c r="K296" s="242"/>
      <c r="L296" s="28"/>
      <c r="M296" s="28">
        <f t="shared" si="151"/>
        <v>0</v>
      </c>
      <c r="N296" s="242"/>
      <c r="O296" s="28">
        <f t="shared" ref="O296:O297" si="159">ROUND(L296,0)</f>
        <v>0</v>
      </c>
      <c r="P296" s="28">
        <f t="shared" si="152"/>
        <v>0</v>
      </c>
      <c r="Q296" s="242"/>
      <c r="R296" s="974"/>
      <c r="S296" s="28"/>
      <c r="T296" s="309"/>
      <c r="U296" s="369"/>
    </row>
    <row r="297" spans="2:23" ht="14.4" outlineLevel="1" thickBot="1" x14ac:dyDescent="0.3">
      <c r="C297" s="96" t="s">
        <v>92</v>
      </c>
      <c r="D297" s="623" t="s">
        <v>200</v>
      </c>
      <c r="E297" s="48"/>
      <c r="F297" s="48"/>
      <c r="G297" s="28">
        <f t="shared" si="122"/>
        <v>0</v>
      </c>
      <c r="H297" s="818"/>
      <c r="I297" s="28"/>
      <c r="J297" s="28">
        <f t="shared" si="150"/>
        <v>0</v>
      </c>
      <c r="K297" s="242"/>
      <c r="L297" s="28"/>
      <c r="M297" s="28">
        <f t="shared" si="151"/>
        <v>0</v>
      </c>
      <c r="N297" s="242"/>
      <c r="O297" s="28">
        <f t="shared" si="159"/>
        <v>0</v>
      </c>
      <c r="P297" s="28">
        <f t="shared" si="152"/>
        <v>0</v>
      </c>
      <c r="Q297" s="242"/>
      <c r="R297" s="974"/>
      <c r="S297" s="28"/>
      <c r="T297" s="309"/>
      <c r="U297" s="369"/>
    </row>
    <row r="298" spans="2:23" s="14" customFormat="1" ht="30" customHeight="1" thickBot="1" x14ac:dyDescent="0.3">
      <c r="C298" s="38"/>
      <c r="D298" s="746" t="s">
        <v>201</v>
      </c>
      <c r="E298" s="792">
        <v>58317822.384578399</v>
      </c>
      <c r="F298" s="792">
        <f t="shared" ref="F298:I298" si="160">F130+F140+F142+F143+F148+F150+F191+F206+F228+F295</f>
        <v>59128575</v>
      </c>
      <c r="G298" s="792">
        <f t="shared" si="160"/>
        <v>810752.62895110343</v>
      </c>
      <c r="H298" s="792" t="e">
        <f t="shared" si="160"/>
        <v>#VALUE!</v>
      </c>
      <c r="I298" s="792">
        <f t="shared" si="160"/>
        <v>59750919</v>
      </c>
      <c r="J298" s="39">
        <f t="shared" si="150"/>
        <v>622344</v>
      </c>
      <c r="K298" s="283"/>
      <c r="L298" s="39">
        <f>L130+L140+L142+L143+L148+L150+L191+L206+L228+L295</f>
        <v>59826407</v>
      </c>
      <c r="M298" s="39">
        <f t="shared" si="151"/>
        <v>75488</v>
      </c>
      <c r="N298" s="283"/>
      <c r="O298" s="39">
        <f>O130+O140+O142+O143+O148+O150+O191+O206+O228+O295</f>
        <v>60556119</v>
      </c>
      <c r="P298" s="39">
        <f t="shared" si="152"/>
        <v>729712</v>
      </c>
      <c r="Q298" s="283"/>
      <c r="R298" s="283"/>
      <c r="S298" s="39">
        <f>S130+S140+S142+S143+S148+S150+S191+S206+S228+S295+0.5</f>
        <v>25010551.5</v>
      </c>
      <c r="T298" s="930">
        <f>S298/O298</f>
        <v>0.4130144387225344</v>
      </c>
      <c r="U298" s="857"/>
      <c r="V298" s="43"/>
      <c r="W298" s="43"/>
    </row>
    <row r="299" spans="2:23" s="20" customFormat="1" ht="76.2" customHeight="1" thickBot="1" x14ac:dyDescent="0.3">
      <c r="C299" s="97" t="s">
        <v>107</v>
      </c>
      <c r="D299" s="644" t="s">
        <v>202</v>
      </c>
      <c r="E299" s="761">
        <v>3486155</v>
      </c>
      <c r="F299" s="761">
        <f>ROUND(E299,0)+37335+(133641+67)</f>
        <v>3657198</v>
      </c>
      <c r="G299" s="23">
        <f t="shared" si="122"/>
        <v>171043</v>
      </c>
      <c r="H299" s="882" t="s">
        <v>1208</v>
      </c>
      <c r="I299" s="23">
        <f>ROUND(F299,0)</f>
        <v>3657198</v>
      </c>
      <c r="J299" s="23">
        <f t="shared" si="150"/>
        <v>0</v>
      </c>
      <c r="K299" s="231"/>
      <c r="L299" s="23">
        <f>ROUND(I299,0)</f>
        <v>3657198</v>
      </c>
      <c r="M299" s="23">
        <f t="shared" si="151"/>
        <v>0</v>
      </c>
      <c r="N299" s="231"/>
      <c r="O299" s="23">
        <f>ROUND(L299,0)</f>
        <v>3657198</v>
      </c>
      <c r="P299" s="23">
        <f t="shared" si="152"/>
        <v>0</v>
      </c>
      <c r="Q299" s="231"/>
      <c r="R299" s="1019"/>
      <c r="S299" s="23">
        <v>1870639.92</v>
      </c>
      <c r="T299" s="297">
        <f>S299/O299</f>
        <v>0.51149539073356154</v>
      </c>
      <c r="U299" s="368"/>
      <c r="V299" s="981"/>
    </row>
    <row r="300" spans="2:23" ht="14.4" thickBot="1" x14ac:dyDescent="0.3">
      <c r="C300" s="38"/>
      <c r="D300" s="746" t="s">
        <v>203</v>
      </c>
      <c r="E300" s="893">
        <v>61803977.384578399</v>
      </c>
      <c r="F300" s="893">
        <f>F298+F299</f>
        <v>62785773</v>
      </c>
      <c r="G300" s="40">
        <f t="shared" si="122"/>
        <v>981795.61542160064</v>
      </c>
      <c r="H300" s="284"/>
      <c r="I300" s="40">
        <f>I298+I299</f>
        <v>63408117</v>
      </c>
      <c r="J300" s="40">
        <f t="shared" si="150"/>
        <v>622344</v>
      </c>
      <c r="K300" s="284"/>
      <c r="L300" s="40">
        <f>L298+L299</f>
        <v>63483605</v>
      </c>
      <c r="M300" s="40">
        <f t="shared" si="151"/>
        <v>75488</v>
      </c>
      <c r="N300" s="284"/>
      <c r="O300" s="40">
        <f>O298+O299</f>
        <v>64213317</v>
      </c>
      <c r="P300" s="40">
        <f t="shared" si="152"/>
        <v>729712</v>
      </c>
      <c r="Q300" s="284"/>
      <c r="R300" s="284"/>
      <c r="S300" s="40">
        <f>S298+S299</f>
        <v>26881191.420000002</v>
      </c>
      <c r="T300" s="330">
        <f>S300/O300</f>
        <v>0.41862331173454259</v>
      </c>
      <c r="U300" s="858"/>
    </row>
    <row r="301" spans="2:23" ht="15" thickTop="1" thickBot="1" x14ac:dyDescent="0.3">
      <c r="C301" s="41" t="s">
        <v>204</v>
      </c>
      <c r="D301" s="747" t="s">
        <v>205</v>
      </c>
      <c r="E301" s="793">
        <v>0.25542160123586655</v>
      </c>
      <c r="F301" s="793">
        <f>F124-F300-0.2</f>
        <v>80542.8</v>
      </c>
      <c r="G301" s="42">
        <f t="shared" si="122"/>
        <v>80542.544578398767</v>
      </c>
      <c r="H301" s="285"/>
      <c r="I301" s="42">
        <f>I124-I300-0.2</f>
        <v>50316.800000000003</v>
      </c>
      <c r="J301" s="42">
        <f t="shared" si="150"/>
        <v>-30226</v>
      </c>
      <c r="K301" s="285"/>
      <c r="L301" s="42">
        <f>L124-L300-0.2</f>
        <v>58013.8</v>
      </c>
      <c r="M301" s="42">
        <f t="shared" si="151"/>
        <v>7697</v>
      </c>
      <c r="N301" s="285"/>
      <c r="O301" s="42">
        <f>O124-O300-0.2</f>
        <v>58013.8</v>
      </c>
      <c r="P301" s="42">
        <f t="shared" si="152"/>
        <v>0</v>
      </c>
      <c r="Q301" s="285"/>
      <c r="R301" s="285"/>
      <c r="S301" s="42">
        <f>S124-S300-0.2</f>
        <v>10677567.98</v>
      </c>
      <c r="T301" s="331">
        <f>S301/O301</f>
        <v>184.05220792294247</v>
      </c>
      <c r="U301" s="859"/>
    </row>
  </sheetData>
  <mergeCells count="10">
    <mergeCell ref="C127:D127"/>
    <mergeCell ref="C128:D128"/>
    <mergeCell ref="C2:D2"/>
    <mergeCell ref="C3:D3"/>
    <mergeCell ref="T55:T56"/>
    <mergeCell ref="S52:S53"/>
    <mergeCell ref="T52:T53"/>
    <mergeCell ref="S55:S56"/>
    <mergeCell ref="H240:H241"/>
    <mergeCell ref="K145:K146"/>
  </mergeCells>
  <phoneticPr fontId="63" type="noConversion"/>
  <conditionalFormatting sqref="E301:G301">
    <cfRule type="cellIs" dxfId="6" priority="15" operator="lessThan">
      <formula>0</formula>
    </cfRule>
  </conditionalFormatting>
  <conditionalFormatting sqref="I301:J301">
    <cfRule type="cellIs" dxfId="5" priority="3" operator="lessThan">
      <formula>0</formula>
    </cfRule>
  </conditionalFormatting>
  <conditionalFormatting sqref="L301:M301">
    <cfRule type="cellIs" dxfId="4" priority="2" operator="lessThan">
      <formula>0</formula>
    </cfRule>
  </conditionalFormatting>
  <conditionalFormatting sqref="O301:P301">
    <cfRule type="cellIs" dxfId="3" priority="1" operator="lessThan">
      <formula>0</formula>
    </cfRule>
  </conditionalFormatting>
  <conditionalFormatting sqref="S301:U301">
    <cfRule type="cellIs" dxfId="2" priority="4" operator="lessThan">
      <formula>0</formula>
    </cfRule>
  </conditionalFormatting>
  <pageMargins left="0.47244094488188981" right="0.47244094488188981" top="0.47244094488188981" bottom="0.47244094488188981" header="0.27559055118110237" footer="0.27559055118110237"/>
  <pageSetup paperSize="9" scale="56"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12EA7-5A2B-4644-8D40-B5EFC535D84E}">
  <sheetPr codeName="Lapa26">
    <tabColor rgb="FFC4EB35"/>
    <pageSetUpPr fitToPage="1"/>
  </sheetPr>
  <dimension ref="A1:R182"/>
  <sheetViews>
    <sheetView tabSelected="1" zoomScaleNormal="100" workbookViewId="0">
      <selection activeCell="A47" sqref="A47"/>
    </sheetView>
  </sheetViews>
  <sheetFormatPr defaultColWidth="9" defaultRowHeight="13.2" outlineLevelRow="1" x14ac:dyDescent="0.25"/>
  <cols>
    <col min="1" max="1" width="56.375" style="333" customWidth="1"/>
    <col min="2" max="3" width="14.375" style="333" customWidth="1"/>
    <col min="4" max="4" width="14.875" style="333" customWidth="1"/>
    <col min="5" max="5" width="16.125" style="333" customWidth="1"/>
    <col min="6" max="6" width="9" style="333"/>
    <col min="7" max="7" width="15.25" style="333" customWidth="1"/>
    <col min="8" max="17" width="9" style="333"/>
    <col min="18" max="18" width="12" style="333" customWidth="1"/>
    <col min="19" max="19" width="54.625" style="333" customWidth="1"/>
    <col min="20" max="16384" width="9" style="333"/>
  </cols>
  <sheetData>
    <row r="1" spans="1:4" s="334" customFormat="1" x14ac:dyDescent="0.25"/>
    <row r="2" spans="1:4" s="334" customFormat="1" ht="13.8" thickBot="1" x14ac:dyDescent="0.3">
      <c r="B2" s="335" t="s">
        <v>678</v>
      </c>
      <c r="C2" s="336" t="s">
        <v>1369</v>
      </c>
      <c r="D2" s="336"/>
    </row>
    <row r="3" spans="1:4" s="334" customFormat="1" x14ac:dyDescent="0.25"/>
    <row r="5" spans="1:4" ht="57.6" customHeight="1" x14ac:dyDescent="0.25">
      <c r="A5" s="337" t="s">
        <v>679</v>
      </c>
      <c r="B5" s="338" t="s">
        <v>1332</v>
      </c>
      <c r="C5" s="338" t="str">
        <f>"Izpilde"&amp;" "&amp;$C$2</f>
        <v>Izpilde 2024.g. 1.pusgads</v>
      </c>
      <c r="D5" s="338" t="str">
        <f>"Ieņēmumu izpilde, %,"&amp;" "&amp;$C$2</f>
        <v>Ieņēmumu izpilde, %, 2024.g. 1.pusgads</v>
      </c>
    </row>
    <row r="6" spans="1:4" x14ac:dyDescent="0.25">
      <c r="A6" s="332" t="s">
        <v>680</v>
      </c>
      <c r="B6" s="339">
        <f>SUM(B7,B11:B15,B18:B19)</f>
        <v>52574335</v>
      </c>
      <c r="C6" s="339">
        <f>SUM(C7,C11:C15,C18:C19)</f>
        <v>27733381.640000001</v>
      </c>
      <c r="D6" s="340">
        <f t="shared" ref="D6:D19" si="0">C6/B6</f>
        <v>0.52750798730977766</v>
      </c>
    </row>
    <row r="7" spans="1:4" x14ac:dyDescent="0.25">
      <c r="A7" s="333" t="s">
        <v>681</v>
      </c>
      <c r="B7" s="341">
        <f>'2024.gada budzeta plans_apvieno'!O6</f>
        <v>38519847</v>
      </c>
      <c r="C7" s="341">
        <f>'2024.gada budzeta plans_apvieno'!S6</f>
        <v>18991639</v>
      </c>
      <c r="D7" s="342">
        <f t="shared" si="0"/>
        <v>0.49303516184786506</v>
      </c>
    </row>
    <row r="8" spans="1:4" outlineLevel="1" x14ac:dyDescent="0.25">
      <c r="A8" s="343" t="s">
        <v>682</v>
      </c>
      <c r="B8" s="344">
        <f>'2024.gada budzeta plans_apvieno'!O7</f>
        <v>35276996</v>
      </c>
      <c r="C8" s="344">
        <f>'2024.gada budzeta plans_apvieno'!S7</f>
        <v>16459589.710000001</v>
      </c>
      <c r="D8" s="345">
        <f t="shared" si="0"/>
        <v>0.4665813866350752</v>
      </c>
    </row>
    <row r="9" spans="1:4" outlineLevel="1" x14ac:dyDescent="0.25">
      <c r="A9" s="343" t="s">
        <v>683</v>
      </c>
      <c r="B9" s="344">
        <f>'2024.gada budzeta plans_apvieno'!O9</f>
        <v>3172851</v>
      </c>
      <c r="C9" s="344">
        <f>'2024.gada budzeta plans_apvieno'!S9</f>
        <v>2491487.7200000002</v>
      </c>
      <c r="D9" s="345">
        <f t="shared" si="0"/>
        <v>0.78525203988463377</v>
      </c>
    </row>
    <row r="10" spans="1:4" outlineLevel="1" x14ac:dyDescent="0.25">
      <c r="A10" s="343" t="s">
        <v>684</v>
      </c>
      <c r="B10" s="344">
        <f>'2024.gada budzeta plans_apvieno'!O19</f>
        <v>70000</v>
      </c>
      <c r="C10" s="344">
        <f>'2024.gada budzeta plans_apvieno'!S19</f>
        <v>40561.97</v>
      </c>
      <c r="D10" s="345">
        <f t="shared" si="0"/>
        <v>0.57945671428571432</v>
      </c>
    </row>
    <row r="11" spans="1:4" x14ac:dyDescent="0.25">
      <c r="A11" s="346" t="s">
        <v>685</v>
      </c>
      <c r="B11" s="341">
        <f>'2024.gada budzeta plans_apvieno'!O22</f>
        <v>167000</v>
      </c>
      <c r="C11" s="341">
        <f>'2024.gada budzeta plans_apvieno'!S22</f>
        <v>81725.98</v>
      </c>
      <c r="D11" s="342">
        <f t="shared" si="0"/>
        <v>0.48937712574850295</v>
      </c>
    </row>
    <row r="12" spans="1:4" x14ac:dyDescent="0.25">
      <c r="A12" s="346" t="s">
        <v>686</v>
      </c>
      <c r="B12" s="341">
        <f>'2024.gada budzeta plans_apvieno'!O34</f>
        <v>65000</v>
      </c>
      <c r="C12" s="341">
        <f>'2024.gada budzeta plans_apvieno'!S34</f>
        <v>93853.48</v>
      </c>
      <c r="D12" s="342">
        <f t="shared" si="0"/>
        <v>1.4438996923076923</v>
      </c>
    </row>
    <row r="13" spans="1:4" x14ac:dyDescent="0.25">
      <c r="A13" s="346" t="s">
        <v>687</v>
      </c>
      <c r="B13" s="341">
        <f>'2024.gada budzeta plans_apvieno'!O37</f>
        <v>57106</v>
      </c>
      <c r="C13" s="341">
        <f>'2024.gada budzeta plans_apvieno'!S37</f>
        <v>113313.25</v>
      </c>
      <c r="D13" s="342">
        <f t="shared" si="0"/>
        <v>1.9842617238118587</v>
      </c>
    </row>
    <row r="14" spans="1:4" x14ac:dyDescent="0.25">
      <c r="A14" s="346" t="s">
        <v>688</v>
      </c>
      <c r="B14" s="341">
        <f>'2024.gada budzeta plans_apvieno'!O41</f>
        <v>28951</v>
      </c>
      <c r="C14" s="341">
        <f>'2024.gada budzeta plans_apvieno'!S41</f>
        <v>59156.160000000003</v>
      </c>
      <c r="D14" s="342">
        <f t="shared" si="0"/>
        <v>2.0433200925702049</v>
      </c>
    </row>
    <row r="15" spans="1:4" x14ac:dyDescent="0.25">
      <c r="A15" s="346" t="s">
        <v>689</v>
      </c>
      <c r="B15" s="341">
        <f>'2024.gada budzeta plans_apvieno'!O42</f>
        <v>10765964</v>
      </c>
      <c r="C15" s="341">
        <f>'2024.gada budzeta plans_apvieno'!S42</f>
        <v>6839037.7199999997</v>
      </c>
      <c r="D15" s="342">
        <f t="shared" si="0"/>
        <v>0.63524619996871623</v>
      </c>
    </row>
    <row r="16" spans="1:4" outlineLevel="1" x14ac:dyDescent="0.25">
      <c r="A16" s="347" t="s">
        <v>690</v>
      </c>
      <c r="B16" s="344">
        <f>'2024.gada budzeta plans_apvieno'!O43</f>
        <v>9519030</v>
      </c>
      <c r="C16" s="344">
        <f>'2024.gada budzeta plans_apvieno'!S43</f>
        <v>6089997.0899999999</v>
      </c>
      <c r="D16" s="345">
        <f t="shared" si="0"/>
        <v>0.63977076340761607</v>
      </c>
    </row>
    <row r="17" spans="1:4" outlineLevel="1" x14ac:dyDescent="0.25">
      <c r="A17" s="347" t="s">
        <v>746</v>
      </c>
      <c r="B17" s="344">
        <f>'2024.gada budzeta plans_apvieno'!O66</f>
        <v>1246934</v>
      </c>
      <c r="C17" s="344">
        <f>'2024.gada budzeta plans_apvieno'!S66</f>
        <v>749040.63000000012</v>
      </c>
      <c r="D17" s="345">
        <f t="shared" si="0"/>
        <v>0.60070591546946361</v>
      </c>
    </row>
    <row r="18" spans="1:4" x14ac:dyDescent="0.25">
      <c r="A18" s="346" t="s">
        <v>691</v>
      </c>
      <c r="B18" s="341">
        <f>'2024.gada budzeta plans_apvieno'!O88</f>
        <v>295000</v>
      </c>
      <c r="C18" s="341">
        <f>'2024.gada budzeta plans_apvieno'!S88</f>
        <v>128382.04</v>
      </c>
      <c r="D18" s="342">
        <f t="shared" si="0"/>
        <v>0.43519335593220337</v>
      </c>
    </row>
    <row r="19" spans="1:4" x14ac:dyDescent="0.25">
      <c r="A19" s="346" t="s">
        <v>692</v>
      </c>
      <c r="B19" s="341">
        <f>'2024.gada budzeta plans_apvieno'!O91</f>
        <v>2675467</v>
      </c>
      <c r="C19" s="341">
        <f>'2024.gada budzeta plans_apvieno'!S91</f>
        <v>1426274.01</v>
      </c>
      <c r="D19" s="342">
        <f t="shared" si="0"/>
        <v>0.5330934786338235</v>
      </c>
    </row>
    <row r="20" spans="1:4" outlineLevel="1" x14ac:dyDescent="0.25">
      <c r="A20" s="347" t="s">
        <v>1385</v>
      </c>
      <c r="B20" s="344">
        <f>B19-B21-B22</f>
        <v>394100</v>
      </c>
      <c r="C20" s="344">
        <f>C19-C21-C22</f>
        <v>235635.07000000007</v>
      </c>
      <c r="D20" s="345">
        <f>C20/B20</f>
        <v>0.59790680030449139</v>
      </c>
    </row>
    <row r="21" spans="1:4" outlineLevel="1" x14ac:dyDescent="0.25">
      <c r="A21" s="347" t="s">
        <v>750</v>
      </c>
      <c r="B21" s="344">
        <f>'2024.gada budzeta plans_apvieno'!O98</f>
        <v>195370</v>
      </c>
      <c r="C21" s="344">
        <f>'2024.gada budzeta plans_apvieno'!S98</f>
        <v>163244.94000000003</v>
      </c>
      <c r="D21" s="345">
        <f>C21/B21</f>
        <v>0.83556810155090355</v>
      </c>
    </row>
    <row r="22" spans="1:4" outlineLevel="1" x14ac:dyDescent="0.25">
      <c r="A22" s="347" t="s">
        <v>1386</v>
      </c>
      <c r="B22" s="344">
        <f>'2024.gada budzeta plans_apvieno'!O105</f>
        <v>2085997</v>
      </c>
      <c r="C22" s="344">
        <f>'2024.gada budzeta plans_apvieno'!S105</f>
        <v>1027394</v>
      </c>
      <c r="D22" s="345">
        <f>C22/B22</f>
        <v>0.49251940439032271</v>
      </c>
    </row>
    <row r="23" spans="1:4" x14ac:dyDescent="0.25">
      <c r="A23" s="346"/>
    </row>
    <row r="25" spans="1:4" x14ac:dyDescent="0.25">
      <c r="A25" s="348"/>
      <c r="B25" s="341"/>
      <c r="C25" s="341">
        <f>C6-'2024.gada budzeta plans_apvieno'!S107</f>
        <v>-0.39999999850988388</v>
      </c>
      <c r="D25" s="342"/>
    </row>
    <row r="26" spans="1:4" x14ac:dyDescent="0.25">
      <c r="A26" s="348"/>
      <c r="B26" s="341"/>
      <c r="C26" s="341"/>
      <c r="D26" s="342"/>
    </row>
    <row r="27" spans="1:4" x14ac:dyDescent="0.25">
      <c r="A27" s="348"/>
      <c r="B27" s="341"/>
      <c r="C27" s="341"/>
      <c r="D27" s="342"/>
    </row>
    <row r="28" spans="1:4" x14ac:dyDescent="0.25">
      <c r="A28" s="349"/>
      <c r="B28" s="341"/>
      <c r="C28" s="341"/>
      <c r="D28" s="342"/>
    </row>
    <row r="29" spans="1:4" s="359" customFormat="1" outlineLevel="1" x14ac:dyDescent="0.25">
      <c r="A29" s="935" t="s">
        <v>3</v>
      </c>
      <c r="B29" s="344"/>
      <c r="C29" s="344"/>
      <c r="D29" s="345"/>
    </row>
    <row r="30" spans="1:4" s="359" customFormat="1" outlineLevel="1" x14ac:dyDescent="0.25">
      <c r="A30" s="1006" t="s">
        <v>1375</v>
      </c>
      <c r="B30" s="344"/>
      <c r="C30" s="344"/>
      <c r="D30" s="345"/>
    </row>
    <row r="31" spans="1:4" s="359" customFormat="1" outlineLevel="1" x14ac:dyDescent="0.25">
      <c r="A31" s="1006" t="s">
        <v>749</v>
      </c>
      <c r="B31" s="344"/>
      <c r="C31" s="344"/>
      <c r="D31" s="345"/>
    </row>
    <row r="32" spans="1:4" s="359" customFormat="1" outlineLevel="1" x14ac:dyDescent="0.25">
      <c r="A32" s="347" t="s">
        <v>1274</v>
      </c>
      <c r="B32" s="344"/>
      <c r="C32" s="344"/>
      <c r="D32" s="345"/>
    </row>
    <row r="33" spans="1:4" s="359" customFormat="1" outlineLevel="1" x14ac:dyDescent="0.25">
      <c r="A33" s="347" t="s">
        <v>751</v>
      </c>
      <c r="B33" s="344"/>
      <c r="C33" s="344"/>
      <c r="D33" s="345"/>
    </row>
    <row r="34" spans="1:4" s="359" customFormat="1" outlineLevel="1" x14ac:dyDescent="0.25">
      <c r="A34" s="347" t="s">
        <v>1275</v>
      </c>
      <c r="B34" s="344"/>
      <c r="C34" s="344"/>
      <c r="D34" s="345"/>
    </row>
    <row r="35" spans="1:4" s="359" customFormat="1" outlineLevel="1" x14ac:dyDescent="0.25">
      <c r="A35" s="1006" t="s">
        <v>1376</v>
      </c>
      <c r="B35" s="344"/>
      <c r="C35" s="344"/>
      <c r="D35" s="345"/>
    </row>
    <row r="36" spans="1:4" s="359" customFormat="1" outlineLevel="1" x14ac:dyDescent="0.25">
      <c r="A36" s="1006" t="s">
        <v>1377</v>
      </c>
      <c r="B36" s="344"/>
      <c r="C36" s="344"/>
      <c r="D36" s="345"/>
    </row>
    <row r="37" spans="1:4" s="359" customFormat="1" outlineLevel="1" x14ac:dyDescent="0.25">
      <c r="A37" s="1006" t="s">
        <v>1379</v>
      </c>
      <c r="B37" s="344"/>
      <c r="C37" s="344"/>
      <c r="D37" s="345"/>
    </row>
    <row r="38" spans="1:4" s="359" customFormat="1" outlineLevel="1" x14ac:dyDescent="0.25">
      <c r="A38" s="1006" t="s">
        <v>1380</v>
      </c>
      <c r="B38" s="344"/>
      <c r="C38" s="344"/>
      <c r="D38" s="345"/>
    </row>
    <row r="39" spans="1:4" s="359" customFormat="1" outlineLevel="1" x14ac:dyDescent="0.25">
      <c r="A39" s="1006" t="s">
        <v>1381</v>
      </c>
      <c r="B39" s="344"/>
      <c r="C39" s="344"/>
      <c r="D39" s="345"/>
    </row>
    <row r="40" spans="1:4" s="359" customFormat="1" outlineLevel="1" x14ac:dyDescent="0.25">
      <c r="A40" s="347" t="s">
        <v>1382</v>
      </c>
      <c r="B40" s="344"/>
      <c r="C40" s="344"/>
      <c r="D40" s="345"/>
    </row>
    <row r="41" spans="1:4" s="359" customFormat="1" outlineLevel="1" x14ac:dyDescent="0.25">
      <c r="A41" s="347" t="s">
        <v>1383</v>
      </c>
      <c r="B41" s="344"/>
      <c r="C41" s="344"/>
      <c r="D41" s="345"/>
    </row>
    <row r="42" spans="1:4" s="359" customFormat="1" outlineLevel="1" x14ac:dyDescent="0.25">
      <c r="A42" s="1006" t="s">
        <v>1384</v>
      </c>
      <c r="B42" s="344"/>
      <c r="C42" s="344"/>
      <c r="D42" s="345"/>
    </row>
    <row r="43" spans="1:4" s="359" customFormat="1" outlineLevel="1" x14ac:dyDescent="0.25">
      <c r="A43" s="1006" t="s">
        <v>1276</v>
      </c>
      <c r="B43" s="344"/>
      <c r="C43" s="344"/>
      <c r="D43" s="345"/>
    </row>
    <row r="44" spans="1:4" s="343" customFormat="1" outlineLevel="1" x14ac:dyDescent="0.25">
      <c r="A44" s="347" t="s">
        <v>1387</v>
      </c>
      <c r="B44" s="360"/>
      <c r="C44" s="360"/>
      <c r="D44" s="361"/>
    </row>
    <row r="45" spans="1:4" s="343" customFormat="1" outlineLevel="1" x14ac:dyDescent="0.25">
      <c r="A45" s="347" t="s">
        <v>1388</v>
      </c>
      <c r="B45" s="360"/>
      <c r="C45" s="360"/>
      <c r="D45" s="361"/>
    </row>
    <row r="46" spans="1:4" s="343" customFormat="1" outlineLevel="1" x14ac:dyDescent="0.25">
      <c r="A46" s="347" t="s">
        <v>1407</v>
      </c>
      <c r="B46" s="360"/>
      <c r="C46" s="360"/>
      <c r="D46" s="361"/>
    </row>
    <row r="47" spans="1:4" x14ac:dyDescent="0.25">
      <c r="A47" s="348"/>
      <c r="B47" s="341"/>
      <c r="C47" s="341"/>
      <c r="D47" s="342"/>
    </row>
    <row r="50" spans="1:6" x14ac:dyDescent="0.25">
      <c r="C50" s="363"/>
    </row>
    <row r="52" spans="1:6" ht="57.6" customHeight="1" x14ac:dyDescent="0.25">
      <c r="A52" s="337" t="s">
        <v>708</v>
      </c>
      <c r="B52" s="338" t="str">
        <f>B5</f>
        <v>27.06.2024. grozījumi</v>
      </c>
      <c r="C52" s="338" t="str">
        <f>"Izpilde"&amp;" "&amp;$C$2</f>
        <v>Izpilde 2024.g. 1.pusgads</v>
      </c>
      <c r="D52" s="338" t="str">
        <f>"Izdevumu izpilde, %,"&amp;" "&amp;$C$2</f>
        <v>Izdevumu izpilde, %, 2024.g. 1.pusgads</v>
      </c>
    </row>
    <row r="53" spans="1:6" x14ac:dyDescent="0.25">
      <c r="A53" s="332" t="s">
        <v>709</v>
      </c>
      <c r="B53" s="353">
        <f>SUM(B54,B58:B62,B67:B69,B82)</f>
        <v>64213317</v>
      </c>
      <c r="C53" s="353">
        <f>SUM(C54,C58:C62,C67:C69,C82)</f>
        <v>26881191.420000002</v>
      </c>
      <c r="D53" s="342">
        <f>C53/B53</f>
        <v>0.41862331173454259</v>
      </c>
    </row>
    <row r="54" spans="1:6" x14ac:dyDescent="0.25">
      <c r="A54" s="333" t="s">
        <v>710</v>
      </c>
      <c r="B54" s="341">
        <f>'2024.gada budzeta plans_apvieno'!O130</f>
        <v>11668303</v>
      </c>
      <c r="C54" s="341">
        <f>'2024.gada budzeta plans_apvieno'!S130</f>
        <v>5259156</v>
      </c>
      <c r="D54" s="342">
        <f>C54/B54</f>
        <v>0.45072158307853338</v>
      </c>
      <c r="E54" s="342"/>
      <c r="F54" s="354"/>
    </row>
    <row r="55" spans="1:6" outlineLevel="1" x14ac:dyDescent="0.25">
      <c r="A55" s="343" t="s">
        <v>727</v>
      </c>
      <c r="B55" s="344">
        <f>'2024.gada budzeta plans_apvieno'!O131+'2024.gada budzeta plans_apvieno'!O132+'2024.gada budzeta plans_apvieno'!O133+'2024.gada budzeta plans_apvieno'!O134+'2024.gada budzeta plans_apvieno'!O135+'2024.gada budzeta plans_apvieno'!O136+'2024.gada budzeta plans_apvieno'!O139</f>
        <v>2991572</v>
      </c>
      <c r="C55" s="344">
        <f>'2024.gada budzeta plans_apvieno'!S131+'2024.gada budzeta plans_apvieno'!S132+'2024.gada budzeta plans_apvieno'!S133+'2024.gada budzeta plans_apvieno'!S134+'2024.gada budzeta plans_apvieno'!S135+'2024.gada budzeta plans_apvieno'!S136+'2024.gada budzeta plans_apvieno'!S139</f>
        <v>1152856.7399999998</v>
      </c>
      <c r="D55" s="345">
        <f>C55/B55</f>
        <v>0.38536820775164354</v>
      </c>
      <c r="E55" s="342"/>
      <c r="F55" s="354"/>
    </row>
    <row r="56" spans="1:6" outlineLevel="1" x14ac:dyDescent="0.25">
      <c r="A56" s="343" t="s">
        <v>728</v>
      </c>
      <c r="B56" s="344">
        <f>'2024.gada budzeta plans_apvieno'!O137</f>
        <v>2178615</v>
      </c>
      <c r="C56" s="344">
        <f>'2024.gada budzeta plans_apvieno'!S137</f>
        <v>1074399.57</v>
      </c>
      <c r="D56" s="345">
        <f>C56/B56</f>
        <v>0.49315715259465304</v>
      </c>
      <c r="E56" s="342"/>
      <c r="F56" s="354"/>
    </row>
    <row r="57" spans="1:6" outlineLevel="1" x14ac:dyDescent="0.25">
      <c r="A57" s="343" t="s">
        <v>729</v>
      </c>
      <c r="B57" s="344">
        <f>'2024.gada budzeta plans_apvieno'!O138</f>
        <v>6498116</v>
      </c>
      <c r="C57" s="344">
        <f>'2024.gada budzeta plans_apvieno'!S138</f>
        <v>3031899.69</v>
      </c>
      <c r="D57" s="345">
        <f>C57/B57</f>
        <v>0.46658134296155995</v>
      </c>
      <c r="E57" s="342"/>
      <c r="F57" s="354"/>
    </row>
    <row r="58" spans="1:6" x14ac:dyDescent="0.25">
      <c r="A58" s="333" t="s">
        <v>711</v>
      </c>
      <c r="B58" s="341">
        <f>'2024.gada budzeta plans_apvieno'!O142</f>
        <v>1046226</v>
      </c>
      <c r="C58" s="341">
        <f>'2024.gada budzeta plans_apvieno'!S142</f>
        <v>425406</v>
      </c>
      <c r="D58" s="342">
        <f t="shared" ref="D58:D82" si="1">C58/B58</f>
        <v>0.40661004410137008</v>
      </c>
      <c r="E58" s="342"/>
      <c r="F58" s="354"/>
    </row>
    <row r="59" spans="1:6" x14ac:dyDescent="0.25">
      <c r="A59" s="333" t="s">
        <v>712</v>
      </c>
      <c r="B59" s="341">
        <f>'2024.gada budzeta plans_apvieno'!O144</f>
        <v>179686</v>
      </c>
      <c r="C59" s="341">
        <f>'2024.gada budzeta plans_apvieno'!S144</f>
        <v>78521</v>
      </c>
      <c r="D59" s="342">
        <f t="shared" si="1"/>
        <v>0.43699008269982081</v>
      </c>
      <c r="E59" s="342"/>
      <c r="F59" s="354"/>
    </row>
    <row r="60" spans="1:6" x14ac:dyDescent="0.25">
      <c r="A60" s="333" t="s">
        <v>713</v>
      </c>
      <c r="B60" s="341">
        <f>'2024.gada budzeta plans_apvieno'!O147</f>
        <v>407862</v>
      </c>
      <c r="C60" s="341">
        <f>'2024.gada budzeta plans_apvieno'!S147</f>
        <v>205366</v>
      </c>
      <c r="D60" s="342">
        <f t="shared" si="1"/>
        <v>0.50351834689184083</v>
      </c>
      <c r="E60" s="342"/>
      <c r="F60" s="354"/>
    </row>
    <row r="61" spans="1:6" x14ac:dyDescent="0.25">
      <c r="A61" s="333" t="s">
        <v>714</v>
      </c>
      <c r="B61" s="341">
        <f>'2024.gada budzeta plans_apvieno'!O148</f>
        <v>174970</v>
      </c>
      <c r="C61" s="341">
        <f>'2024.gada budzeta plans_apvieno'!S148</f>
        <v>5438</v>
      </c>
      <c r="D61" s="342">
        <f t="shared" si="1"/>
        <v>3.1079613648053953E-2</v>
      </c>
      <c r="E61" s="342"/>
      <c r="F61" s="354"/>
    </row>
    <row r="62" spans="1:6" x14ac:dyDescent="0.25">
      <c r="A62" s="333" t="s">
        <v>715</v>
      </c>
      <c r="B62" s="341">
        <f>'2024.gada budzeta plans_apvieno'!O150</f>
        <v>15381807</v>
      </c>
      <c r="C62" s="341">
        <f>'2024.gada budzeta plans_apvieno'!S150</f>
        <v>5832356</v>
      </c>
      <c r="D62" s="342">
        <f t="shared" si="1"/>
        <v>0.37917235601772925</v>
      </c>
      <c r="E62" s="342"/>
      <c r="F62" s="354"/>
    </row>
    <row r="63" spans="1:6" outlineLevel="1" x14ac:dyDescent="0.25">
      <c r="A63" s="343" t="s">
        <v>752</v>
      </c>
      <c r="B63" s="344">
        <f>SUM('2024.gada budzeta plans_apvieno'!O173,'2024.gada budzeta plans_apvieno'!O155,'2024.gada budzeta plans_apvieno'!O153,'2024.gada budzeta plans_apvieno'!O152,'2024.gada budzeta plans_apvieno'!O151)</f>
        <v>2662504</v>
      </c>
      <c r="C63" s="344">
        <f>SUM('2024.gada budzeta plans_apvieno'!S173,'2024.gada budzeta plans_apvieno'!S155,'2024.gada budzeta plans_apvieno'!S153,'2024.gada budzeta plans_apvieno'!S152,'2024.gada budzeta plans_apvieno'!S151)</f>
        <v>1563371</v>
      </c>
      <c r="D63" s="345">
        <f t="shared" si="1"/>
        <v>0.58718071409470185</v>
      </c>
      <c r="E63" s="342"/>
      <c r="F63" s="354"/>
    </row>
    <row r="64" spans="1:6" outlineLevel="1" x14ac:dyDescent="0.25">
      <c r="A64" s="343" t="s">
        <v>730</v>
      </c>
      <c r="B64" s="344">
        <f>'2024.gada budzeta plans_apvieno'!O176</f>
        <v>2254379</v>
      </c>
      <c r="C64" s="344">
        <f>'2024.gada budzeta plans_apvieno'!S176</f>
        <v>879876</v>
      </c>
      <c r="D64" s="345">
        <f t="shared" si="1"/>
        <v>0.39029639647991754</v>
      </c>
      <c r="E64" s="342"/>
      <c r="F64" s="354"/>
    </row>
    <row r="65" spans="1:6" outlineLevel="1" x14ac:dyDescent="0.25">
      <c r="A65" s="343" t="s">
        <v>731</v>
      </c>
      <c r="B65" s="344">
        <f>'2024.gada budzeta plans_apvieno'!O177</f>
        <v>5380462</v>
      </c>
      <c r="C65" s="344">
        <f>'2024.gada budzeta plans_apvieno'!S177</f>
        <v>2297036.35</v>
      </c>
      <c r="D65" s="345">
        <f t="shared" si="1"/>
        <v>0.42692176805634907</v>
      </c>
      <c r="E65" s="342"/>
      <c r="F65" s="354"/>
    </row>
    <row r="66" spans="1:6" outlineLevel="1" x14ac:dyDescent="0.25">
      <c r="A66" s="343" t="s">
        <v>732</v>
      </c>
      <c r="B66" s="344">
        <f>B62-B63-B64-B65</f>
        <v>5084462</v>
      </c>
      <c r="C66" s="344">
        <f>C62-C63-C64-C65</f>
        <v>1092072.6499999999</v>
      </c>
      <c r="D66" s="345">
        <f>C66/B66</f>
        <v>0.21478627433934994</v>
      </c>
      <c r="E66" s="342"/>
      <c r="F66" s="354"/>
    </row>
    <row r="67" spans="1:6" x14ac:dyDescent="0.25">
      <c r="A67" s="333" t="s">
        <v>716</v>
      </c>
      <c r="B67" s="341">
        <f>'2024.gada budzeta plans_apvieno'!O191</f>
        <v>2554562</v>
      </c>
      <c r="C67" s="341">
        <f>'2024.gada budzeta plans_apvieno'!S191</f>
        <v>1199233</v>
      </c>
      <c r="D67" s="342">
        <f t="shared" si="1"/>
        <v>0.46944760001910307</v>
      </c>
      <c r="E67" s="342"/>
      <c r="F67" s="354"/>
    </row>
    <row r="68" spans="1:6" x14ac:dyDescent="0.25">
      <c r="A68" s="333" t="s">
        <v>717</v>
      </c>
      <c r="B68" s="341">
        <f>'2024.gada budzeta plans_apvieno'!O206</f>
        <v>3850931</v>
      </c>
      <c r="C68" s="341">
        <f>'2024.gada budzeta plans_apvieno'!S206</f>
        <v>1385661</v>
      </c>
      <c r="D68" s="342">
        <f t="shared" si="1"/>
        <v>0.35982493584019032</v>
      </c>
      <c r="E68" s="355"/>
      <c r="F68" s="354"/>
    </row>
    <row r="69" spans="1:6" x14ac:dyDescent="0.25">
      <c r="A69" s="333" t="s">
        <v>718</v>
      </c>
      <c r="B69" s="341">
        <f>'2024.gada budzeta plans_apvieno'!O228</f>
        <v>25291772</v>
      </c>
      <c r="C69" s="341">
        <f>'2024.gada budzeta plans_apvieno'!S228+0.5</f>
        <v>10619414.5</v>
      </c>
      <c r="D69" s="342">
        <f t="shared" si="1"/>
        <v>0.4198762546175096</v>
      </c>
      <c r="E69" s="355"/>
      <c r="F69" s="354"/>
    </row>
    <row r="70" spans="1:6" outlineLevel="1" x14ac:dyDescent="0.25">
      <c r="A70" s="347" t="s">
        <v>766</v>
      </c>
      <c r="B70" s="344">
        <f>'2024.gada budzeta plans_apvieno'!O229</f>
        <v>750000</v>
      </c>
      <c r="C70" s="344">
        <f>'2024.gada budzeta plans_apvieno'!S229</f>
        <v>602761</v>
      </c>
      <c r="D70" s="345">
        <f>C70/B70</f>
        <v>0.80368133333333336</v>
      </c>
      <c r="E70" s="342"/>
      <c r="F70" s="354"/>
    </row>
    <row r="71" spans="1:6" outlineLevel="1" x14ac:dyDescent="0.25">
      <c r="A71" s="347" t="s">
        <v>762</v>
      </c>
      <c r="B71" s="344">
        <f>'2024.gada budzeta plans_apvieno'!O230</f>
        <v>2312869</v>
      </c>
      <c r="C71" s="344">
        <f>'2024.gada budzeta plans_apvieno'!S230</f>
        <v>839811</v>
      </c>
      <c r="D71" s="345">
        <f>C71/B71</f>
        <v>0.36310357395944171</v>
      </c>
      <c r="E71" s="342"/>
      <c r="F71" s="354"/>
    </row>
    <row r="72" spans="1:6" outlineLevel="1" x14ac:dyDescent="0.25">
      <c r="A72" s="347" t="s">
        <v>763</v>
      </c>
      <c r="B72" s="344">
        <f>'2024.gada budzeta plans_apvieno'!O234</f>
        <v>1426182</v>
      </c>
      <c r="C72" s="344">
        <f>'2024.gada budzeta plans_apvieno'!S234</f>
        <v>515646</v>
      </c>
      <c r="D72" s="345">
        <f>C72/B72</f>
        <v>0.36155694013807493</v>
      </c>
      <c r="E72" s="342"/>
      <c r="F72" s="354"/>
    </row>
    <row r="73" spans="1:6" outlineLevel="1" x14ac:dyDescent="0.25">
      <c r="A73" s="347" t="s">
        <v>764</v>
      </c>
      <c r="B73" s="344">
        <f>'2024.gada budzeta plans_apvieno'!O238</f>
        <v>1602830</v>
      </c>
      <c r="C73" s="344">
        <f>'2024.gada budzeta plans_apvieno'!S238</f>
        <v>666503</v>
      </c>
      <c r="D73" s="345">
        <f>C73/B73</f>
        <v>0.41582887767261656</v>
      </c>
      <c r="E73" s="342"/>
      <c r="F73" s="354"/>
    </row>
    <row r="74" spans="1:6" outlineLevel="1" x14ac:dyDescent="0.25">
      <c r="A74" s="347" t="s">
        <v>765</v>
      </c>
      <c r="B74" s="344">
        <f>'2024.gada budzeta plans_apvieno'!O242</f>
        <v>1451590</v>
      </c>
      <c r="C74" s="344">
        <f>'2024.gada budzeta plans_apvieno'!S242</f>
        <v>578583</v>
      </c>
      <c r="D74" s="345">
        <f t="shared" ref="D74:D81" si="2">C74/B74</f>
        <v>0.39858568879642325</v>
      </c>
      <c r="E74" s="342"/>
      <c r="F74" s="354"/>
    </row>
    <row r="75" spans="1:6" outlineLevel="1" x14ac:dyDescent="0.25">
      <c r="A75" s="347" t="s">
        <v>755</v>
      </c>
      <c r="B75" s="344">
        <f>'2024.gada budzeta plans_apvieno'!O246</f>
        <v>2827823</v>
      </c>
      <c r="C75" s="344">
        <f>'2024.gada budzeta plans_apvieno'!S246</f>
        <v>1420580</v>
      </c>
      <c r="D75" s="345">
        <f t="shared" si="2"/>
        <v>0.50235817446848685</v>
      </c>
      <c r="E75" s="342"/>
      <c r="F75" s="354"/>
    </row>
    <row r="76" spans="1:6" outlineLevel="1" x14ac:dyDescent="0.25">
      <c r="A76" s="347" t="s">
        <v>756</v>
      </c>
      <c r="B76" s="344">
        <f>'2024.gada budzeta plans_apvieno'!O250</f>
        <v>2200705</v>
      </c>
      <c r="C76" s="344">
        <f>'2024.gada budzeta plans_apvieno'!S250</f>
        <v>1052328</v>
      </c>
      <c r="D76" s="345">
        <f t="shared" si="2"/>
        <v>0.47817767488145846</v>
      </c>
      <c r="E76" s="342"/>
      <c r="F76" s="354"/>
    </row>
    <row r="77" spans="1:6" outlineLevel="1" x14ac:dyDescent="0.25">
      <c r="A77" s="347" t="s">
        <v>757</v>
      </c>
      <c r="B77" s="344">
        <f>'2024.gada budzeta plans_apvieno'!O262</f>
        <v>8850462</v>
      </c>
      <c r="C77" s="344">
        <f>'2024.gada budzeta plans_apvieno'!S262</f>
        <v>3434259.9999999995</v>
      </c>
      <c r="D77" s="345">
        <f t="shared" si="2"/>
        <v>0.38803172082994081</v>
      </c>
      <c r="E77" s="342"/>
      <c r="F77" s="354"/>
    </row>
    <row r="78" spans="1:6" outlineLevel="1" x14ac:dyDescent="0.25">
      <c r="A78" s="347" t="s">
        <v>758</v>
      </c>
      <c r="B78" s="344">
        <f>'2024.gada budzeta plans_apvieno'!O280</f>
        <v>1856644</v>
      </c>
      <c r="C78" s="344">
        <f>'2024.gada budzeta plans_apvieno'!S280</f>
        <v>878155</v>
      </c>
      <c r="D78" s="345">
        <f t="shared" si="2"/>
        <v>0.47297974194298958</v>
      </c>
      <c r="E78" s="342"/>
      <c r="F78" s="354"/>
    </row>
    <row r="79" spans="1:6" outlineLevel="1" x14ac:dyDescent="0.25">
      <c r="A79" s="347" t="s">
        <v>759</v>
      </c>
      <c r="B79" s="344">
        <f>'2024.gada budzeta plans_apvieno'!O283</f>
        <v>740716</v>
      </c>
      <c r="C79" s="344">
        <f>'2024.gada budzeta plans_apvieno'!S283</f>
        <v>293092</v>
      </c>
      <c r="D79" s="345">
        <f t="shared" si="2"/>
        <v>0.39568741595969303</v>
      </c>
      <c r="E79" s="342"/>
      <c r="F79" s="354"/>
    </row>
    <row r="80" spans="1:6" outlineLevel="1" x14ac:dyDescent="0.25">
      <c r="A80" s="343" t="s">
        <v>760</v>
      </c>
      <c r="B80" s="344">
        <f>'2024.gada budzeta plans_apvieno'!O286</f>
        <v>482391</v>
      </c>
      <c r="C80" s="344">
        <f>'2024.gada budzeta plans_apvieno'!S286</f>
        <v>174993</v>
      </c>
      <c r="D80" s="345">
        <f t="shared" si="2"/>
        <v>0.36276174306734577</v>
      </c>
      <c r="E80" s="342"/>
      <c r="F80" s="354"/>
    </row>
    <row r="81" spans="1:18" outlineLevel="1" x14ac:dyDescent="0.25">
      <c r="A81" s="343" t="s">
        <v>761</v>
      </c>
      <c r="B81" s="344">
        <f>B69-SUM(B70:B80)</f>
        <v>789560</v>
      </c>
      <c r="C81" s="344">
        <f>C69-SUM(C70:C80)</f>
        <v>162702.5</v>
      </c>
      <c r="D81" s="345">
        <f t="shared" si="2"/>
        <v>0.20606730330817163</v>
      </c>
      <c r="E81" s="342"/>
      <c r="F81" s="354"/>
    </row>
    <row r="82" spans="1:18" x14ac:dyDescent="0.25">
      <c r="A82" s="333" t="s">
        <v>719</v>
      </c>
      <c r="B82" s="341">
        <f>'2024.gada budzeta plans_apvieno'!O299</f>
        <v>3657198</v>
      </c>
      <c r="C82" s="341">
        <f>'2024.gada budzeta plans_apvieno'!S299</f>
        <v>1870639.92</v>
      </c>
      <c r="D82" s="342">
        <f t="shared" si="1"/>
        <v>0.51149539073356154</v>
      </c>
      <c r="E82" s="342"/>
      <c r="F82" s="354"/>
    </row>
    <row r="83" spans="1:18" x14ac:dyDescent="0.25">
      <c r="B83" s="341"/>
      <c r="C83" s="341"/>
    </row>
    <row r="84" spans="1:18" x14ac:dyDescent="0.25">
      <c r="B84" s="341">
        <f>B53-'2024.gada budzeta plans_apvieno'!O300</f>
        <v>0</v>
      </c>
      <c r="C84" s="333">
        <f>C53-'2024.gada budzeta plans_apvieno'!S300</f>
        <v>0</v>
      </c>
    </row>
    <row r="88" spans="1:18" x14ac:dyDescent="0.25">
      <c r="B88" s="341"/>
      <c r="C88" s="341"/>
    </row>
    <row r="89" spans="1:18" s="359" customFormat="1" outlineLevel="1" x14ac:dyDescent="0.25">
      <c r="A89" s="935" t="s">
        <v>3</v>
      </c>
      <c r="B89" s="931"/>
      <c r="C89" s="932"/>
      <c r="D89" s="931"/>
      <c r="E89" s="931"/>
      <c r="F89" s="931"/>
      <c r="G89" s="931"/>
      <c r="H89" s="931"/>
      <c r="I89" s="931"/>
      <c r="J89" s="931"/>
      <c r="K89" s="931"/>
      <c r="L89" s="931"/>
      <c r="M89" s="931"/>
      <c r="N89" s="931"/>
      <c r="O89" s="931"/>
      <c r="P89" s="931"/>
      <c r="Q89" s="931"/>
      <c r="R89" s="931"/>
    </row>
    <row r="90" spans="1:18" s="359" customFormat="1" ht="17.399999999999999" customHeight="1" outlineLevel="1" x14ac:dyDescent="0.25">
      <c r="A90" s="1079" t="s">
        <v>1280</v>
      </c>
      <c r="B90" s="1079"/>
      <c r="C90" s="1079"/>
      <c r="D90" s="1079"/>
      <c r="E90" s="1079"/>
      <c r="F90" s="1079"/>
      <c r="G90" s="1079"/>
      <c r="H90" s="1079"/>
      <c r="I90" s="1079"/>
      <c r="J90" s="1079"/>
      <c r="K90" s="1079"/>
      <c r="L90" s="1079"/>
      <c r="M90" s="1079"/>
      <c r="N90" s="1079"/>
      <c r="O90" s="1079"/>
      <c r="P90" s="1079"/>
      <c r="Q90" s="1079"/>
      <c r="R90" s="1079"/>
    </row>
    <row r="91" spans="1:18" s="343" customFormat="1" outlineLevel="1" x14ac:dyDescent="0.25">
      <c r="A91" s="347" t="s">
        <v>1389</v>
      </c>
      <c r="B91" s="347"/>
      <c r="C91" s="1007"/>
      <c r="D91" s="347"/>
      <c r="E91" s="347"/>
      <c r="F91" s="347"/>
      <c r="G91" s="347"/>
      <c r="H91" s="347"/>
      <c r="I91" s="347"/>
      <c r="J91" s="347"/>
      <c r="K91" s="347"/>
      <c r="L91" s="347"/>
      <c r="M91" s="347"/>
      <c r="N91" s="347"/>
      <c r="O91" s="347"/>
      <c r="P91" s="347"/>
      <c r="Q91" s="347"/>
      <c r="R91" s="347"/>
    </row>
    <row r="92" spans="1:18" s="343" customFormat="1" outlineLevel="1" x14ac:dyDescent="0.25">
      <c r="A92" s="347" t="s">
        <v>1281</v>
      </c>
      <c r="B92" s="347"/>
      <c r="C92" s="1007"/>
      <c r="D92" s="347"/>
      <c r="E92" s="347"/>
      <c r="F92" s="347"/>
      <c r="G92" s="347"/>
      <c r="H92" s="347"/>
      <c r="I92" s="347"/>
      <c r="J92" s="347"/>
      <c r="K92" s="347"/>
      <c r="L92" s="347"/>
      <c r="M92" s="347"/>
      <c r="N92" s="347"/>
      <c r="O92" s="347"/>
      <c r="P92" s="347"/>
      <c r="Q92" s="347"/>
      <c r="R92" s="347"/>
    </row>
    <row r="93" spans="1:18" s="343" customFormat="1" outlineLevel="1" x14ac:dyDescent="0.25">
      <c r="A93" s="347" t="s">
        <v>1282</v>
      </c>
      <c r="B93" s="347"/>
      <c r="C93" s="1007"/>
      <c r="D93" s="347"/>
      <c r="E93" s="347"/>
      <c r="F93" s="347"/>
      <c r="G93" s="347"/>
      <c r="H93" s="347"/>
      <c r="I93" s="347"/>
      <c r="J93" s="347"/>
      <c r="K93" s="347"/>
      <c r="L93" s="347"/>
      <c r="M93" s="347"/>
      <c r="N93" s="347"/>
      <c r="O93" s="347"/>
      <c r="P93" s="347"/>
      <c r="Q93" s="347"/>
      <c r="R93" s="347"/>
    </row>
    <row r="94" spans="1:18" s="359" customFormat="1" outlineLevel="1" x14ac:dyDescent="0.25">
      <c r="A94" s="1006" t="s">
        <v>1390</v>
      </c>
      <c r="B94" s="931"/>
      <c r="C94" s="932"/>
      <c r="D94" s="931"/>
      <c r="E94" s="931"/>
      <c r="F94" s="931"/>
      <c r="G94" s="931"/>
      <c r="H94" s="931"/>
      <c r="I94" s="931"/>
      <c r="J94" s="931"/>
      <c r="K94" s="931"/>
      <c r="L94" s="931"/>
      <c r="M94" s="931"/>
      <c r="N94" s="931"/>
      <c r="O94" s="931"/>
      <c r="P94" s="931"/>
      <c r="Q94" s="931"/>
      <c r="R94" s="931"/>
    </row>
    <row r="95" spans="1:18" s="359" customFormat="1" outlineLevel="1" x14ac:dyDescent="0.25">
      <c r="A95" s="1006" t="s">
        <v>1391</v>
      </c>
      <c r="B95" s="931"/>
      <c r="C95" s="932"/>
      <c r="D95" s="931"/>
      <c r="E95" s="931"/>
      <c r="F95" s="931"/>
      <c r="G95" s="931"/>
      <c r="H95" s="931"/>
      <c r="I95" s="931"/>
      <c r="J95" s="931"/>
      <c r="K95" s="931"/>
      <c r="L95" s="931"/>
      <c r="M95" s="931"/>
      <c r="N95" s="931"/>
      <c r="O95" s="931"/>
      <c r="P95" s="931"/>
      <c r="Q95" s="931"/>
      <c r="R95" s="931"/>
    </row>
    <row r="96" spans="1:18" s="359" customFormat="1" outlineLevel="1" x14ac:dyDescent="0.25">
      <c r="A96" s="1006" t="s">
        <v>1283</v>
      </c>
      <c r="B96" s="931"/>
      <c r="C96" s="932"/>
      <c r="D96" s="931"/>
      <c r="E96" s="931"/>
      <c r="F96" s="931"/>
      <c r="G96" s="931"/>
      <c r="H96" s="931"/>
      <c r="I96" s="931"/>
      <c r="J96" s="931"/>
      <c r="K96" s="931"/>
      <c r="L96" s="931"/>
      <c r="M96" s="931"/>
      <c r="N96" s="931"/>
      <c r="O96" s="931"/>
      <c r="P96" s="931"/>
      <c r="Q96" s="931"/>
      <c r="R96" s="931"/>
    </row>
    <row r="97" spans="1:18" s="359" customFormat="1" outlineLevel="1" x14ac:dyDescent="0.25">
      <c r="A97" s="1006" t="s">
        <v>768</v>
      </c>
      <c r="B97" s="931"/>
      <c r="C97" s="932"/>
      <c r="D97" s="931"/>
      <c r="E97" s="931"/>
      <c r="F97" s="931"/>
      <c r="G97" s="931"/>
      <c r="H97" s="931"/>
      <c r="I97" s="931"/>
      <c r="J97" s="931"/>
      <c r="K97" s="931"/>
      <c r="L97" s="931"/>
      <c r="M97" s="931"/>
      <c r="N97" s="931"/>
      <c r="O97" s="931"/>
      <c r="P97" s="931"/>
      <c r="Q97" s="931"/>
      <c r="R97" s="931"/>
    </row>
    <row r="98" spans="1:18" s="359" customFormat="1" outlineLevel="1" x14ac:dyDescent="0.25">
      <c r="A98" s="1006" t="s">
        <v>1392</v>
      </c>
      <c r="B98" s="1006"/>
      <c r="C98" s="1008"/>
      <c r="D98" s="1006"/>
      <c r="E98" s="1006"/>
      <c r="F98" s="1006"/>
      <c r="G98" s="1006"/>
      <c r="H98" s="1006"/>
      <c r="I98" s="1006"/>
      <c r="J98" s="1006"/>
      <c r="K98" s="1006"/>
      <c r="L98" s="1006"/>
      <c r="M98" s="1006"/>
      <c r="N98" s="1006"/>
      <c r="O98" s="1006"/>
      <c r="P98" s="1006"/>
      <c r="Q98" s="1006"/>
      <c r="R98" s="1006"/>
    </row>
    <row r="99" spans="1:18" s="359" customFormat="1" ht="15" customHeight="1" outlineLevel="1" x14ac:dyDescent="0.25">
      <c r="A99" s="1078" t="s">
        <v>1393</v>
      </c>
      <c r="B99" s="1078"/>
      <c r="C99" s="1078"/>
      <c r="D99" s="1078"/>
      <c r="E99" s="1078"/>
      <c r="F99" s="1078"/>
      <c r="G99" s="1078"/>
      <c r="H99" s="1078"/>
      <c r="I99" s="1078"/>
      <c r="J99" s="1078"/>
      <c r="K99" s="1078"/>
      <c r="L99" s="1078"/>
      <c r="M99" s="1078"/>
      <c r="N99" s="1078"/>
      <c r="O99" s="1078"/>
      <c r="P99" s="1078"/>
      <c r="Q99" s="1078"/>
      <c r="R99" s="1078"/>
    </row>
    <row r="100" spans="1:18" s="359" customFormat="1" outlineLevel="1" x14ac:dyDescent="0.25">
      <c r="A100" s="347" t="s">
        <v>753</v>
      </c>
      <c r="B100" s="1006"/>
      <c r="C100" s="1006"/>
      <c r="D100" s="1006"/>
      <c r="E100" s="1006"/>
      <c r="F100" s="1006"/>
      <c r="G100" s="1006"/>
      <c r="H100" s="1006"/>
      <c r="I100" s="1006"/>
      <c r="J100" s="1006"/>
      <c r="K100" s="1006"/>
      <c r="L100" s="1006"/>
      <c r="M100" s="1006"/>
      <c r="N100" s="1006"/>
      <c r="O100" s="1006"/>
      <c r="P100" s="1006"/>
      <c r="Q100" s="1006"/>
      <c r="R100" s="1006"/>
    </row>
    <row r="101" spans="1:18" s="359" customFormat="1" outlineLevel="1" x14ac:dyDescent="0.25">
      <c r="A101" s="347" t="s">
        <v>1284</v>
      </c>
      <c r="B101" s="1006"/>
      <c r="C101" s="1006"/>
      <c r="D101" s="1006"/>
      <c r="E101" s="1006"/>
      <c r="F101" s="1006"/>
      <c r="G101" s="1006"/>
      <c r="H101" s="1006"/>
      <c r="I101" s="1006"/>
      <c r="J101" s="1006"/>
      <c r="K101" s="1006"/>
      <c r="L101" s="1006"/>
      <c r="M101" s="1006"/>
      <c r="N101" s="1006"/>
      <c r="O101" s="1006"/>
      <c r="P101" s="1006"/>
      <c r="Q101" s="1006"/>
      <c r="R101" s="1006"/>
    </row>
    <row r="102" spans="1:18" s="359" customFormat="1" outlineLevel="1" x14ac:dyDescent="0.25">
      <c r="A102" s="347" t="s">
        <v>754</v>
      </c>
      <c r="B102" s="1006"/>
      <c r="C102" s="1006"/>
      <c r="D102" s="1006"/>
      <c r="E102" s="1006"/>
      <c r="F102" s="1006"/>
      <c r="G102" s="1006"/>
      <c r="H102" s="1006"/>
      <c r="I102" s="1006"/>
      <c r="J102" s="1006"/>
      <c r="K102" s="1006"/>
      <c r="L102" s="1006"/>
      <c r="M102" s="1006"/>
      <c r="N102" s="1006"/>
      <c r="O102" s="1006"/>
      <c r="P102" s="1006"/>
      <c r="Q102" s="1006"/>
      <c r="R102" s="1006"/>
    </row>
    <row r="103" spans="1:18" s="359" customFormat="1" ht="27" customHeight="1" outlineLevel="1" x14ac:dyDescent="0.25">
      <c r="A103" s="1080" t="s">
        <v>1394</v>
      </c>
      <c r="B103" s="1080"/>
      <c r="C103" s="1080"/>
      <c r="D103" s="1080"/>
      <c r="E103" s="1080"/>
      <c r="F103" s="1080"/>
      <c r="G103" s="1080"/>
      <c r="H103" s="1080"/>
      <c r="I103" s="1080"/>
      <c r="J103" s="1080"/>
      <c r="K103" s="1080"/>
      <c r="L103" s="1080"/>
      <c r="M103" s="931"/>
      <c r="N103" s="931"/>
      <c r="O103" s="931"/>
      <c r="P103" s="931"/>
      <c r="Q103" s="931"/>
      <c r="R103" s="931"/>
    </row>
    <row r="104" spans="1:18" s="359" customFormat="1" ht="39.75" customHeight="1" outlineLevel="1" x14ac:dyDescent="0.25">
      <c r="A104" s="1080" t="s">
        <v>1396</v>
      </c>
      <c r="B104" s="1081"/>
      <c r="C104" s="1081"/>
      <c r="D104" s="1081"/>
      <c r="E104" s="1081"/>
      <c r="F104" s="1081"/>
      <c r="G104" s="1081"/>
      <c r="H104" s="1081"/>
      <c r="I104" s="1081"/>
      <c r="J104" s="1081"/>
      <c r="K104" s="1081"/>
      <c r="L104" s="1081"/>
      <c r="M104" s="931"/>
      <c r="N104" s="931"/>
      <c r="O104" s="931"/>
      <c r="P104" s="931"/>
      <c r="Q104" s="931"/>
      <c r="R104" s="931"/>
    </row>
    <row r="105" spans="1:18" s="359" customFormat="1" outlineLevel="1" x14ac:dyDescent="0.25">
      <c r="A105" s="1006" t="s">
        <v>1395</v>
      </c>
      <c r="B105" s="931"/>
      <c r="C105" s="931"/>
      <c r="D105" s="931"/>
      <c r="E105" s="931"/>
      <c r="F105" s="931"/>
      <c r="G105" s="931"/>
      <c r="H105" s="931"/>
      <c r="I105" s="931"/>
      <c r="J105" s="931"/>
      <c r="K105" s="931"/>
      <c r="L105" s="931"/>
      <c r="M105" s="931"/>
      <c r="N105" s="931"/>
      <c r="O105" s="931"/>
      <c r="P105" s="931"/>
      <c r="Q105" s="931"/>
      <c r="R105" s="931"/>
    </row>
    <row r="106" spans="1:18" s="359" customFormat="1" ht="27.75" customHeight="1" outlineLevel="1" x14ac:dyDescent="0.25">
      <c r="A106" s="1080" t="s">
        <v>1398</v>
      </c>
      <c r="B106" s="1080"/>
      <c r="C106" s="1080"/>
      <c r="D106" s="1080"/>
      <c r="E106" s="1080"/>
      <c r="F106" s="1080"/>
      <c r="G106" s="1080"/>
      <c r="H106" s="1080"/>
      <c r="I106" s="1080"/>
      <c r="J106" s="1080"/>
      <c r="K106" s="1080"/>
      <c r="L106" s="1080"/>
      <c r="M106" s="931"/>
      <c r="N106" s="931"/>
      <c r="O106" s="931"/>
      <c r="P106" s="931"/>
      <c r="Q106" s="931"/>
      <c r="R106" s="931"/>
    </row>
    <row r="107" spans="1:18" s="359" customFormat="1" outlineLevel="1" x14ac:dyDescent="0.25">
      <c r="A107" s="347" t="s">
        <v>1399</v>
      </c>
      <c r="B107" s="931"/>
      <c r="C107" s="931"/>
      <c r="D107" s="931"/>
      <c r="E107" s="931"/>
      <c r="F107" s="931"/>
      <c r="G107" s="931"/>
      <c r="H107" s="931"/>
      <c r="I107" s="931"/>
      <c r="J107" s="931"/>
      <c r="K107" s="931"/>
      <c r="L107" s="931"/>
      <c r="M107" s="931"/>
      <c r="N107" s="931"/>
      <c r="O107" s="931"/>
      <c r="P107" s="931"/>
      <c r="Q107" s="931"/>
      <c r="R107" s="931"/>
    </row>
    <row r="108" spans="1:18" s="359" customFormat="1" outlineLevel="1" x14ac:dyDescent="0.25">
      <c r="A108" s="347" t="s">
        <v>1406</v>
      </c>
      <c r="B108" s="931"/>
      <c r="C108" s="931"/>
      <c r="D108" s="931"/>
      <c r="E108" s="931"/>
      <c r="F108" s="931"/>
      <c r="G108" s="931"/>
      <c r="H108" s="931"/>
      <c r="I108" s="931"/>
      <c r="J108" s="931"/>
      <c r="K108" s="931"/>
      <c r="L108" s="931"/>
      <c r="M108" s="931"/>
      <c r="N108" s="931"/>
      <c r="O108" s="931"/>
      <c r="P108" s="931"/>
      <c r="Q108" s="931"/>
      <c r="R108" s="931"/>
    </row>
    <row r="109" spans="1:18" s="359" customFormat="1" outlineLevel="1" x14ac:dyDescent="0.25">
      <c r="A109" s="347" t="s">
        <v>1400</v>
      </c>
      <c r="B109" s="931"/>
      <c r="C109" s="931"/>
      <c r="D109" s="931"/>
      <c r="E109" s="931"/>
      <c r="F109" s="931"/>
      <c r="G109" s="931"/>
      <c r="H109" s="931"/>
      <c r="I109" s="931"/>
      <c r="J109" s="931"/>
      <c r="K109" s="931"/>
      <c r="L109" s="931"/>
      <c r="M109" s="931"/>
      <c r="N109" s="931"/>
      <c r="O109" s="931"/>
      <c r="P109" s="931"/>
      <c r="Q109" s="931"/>
      <c r="R109" s="931"/>
    </row>
    <row r="110" spans="1:18" s="343" customFormat="1" outlineLevel="1" x14ac:dyDescent="0.25">
      <c r="A110" s="347" t="s">
        <v>1401</v>
      </c>
      <c r="B110" s="933"/>
      <c r="C110" s="933"/>
      <c r="D110" s="933"/>
      <c r="E110" s="933"/>
      <c r="F110" s="933"/>
      <c r="G110" s="933"/>
      <c r="H110" s="933"/>
      <c r="I110" s="933"/>
      <c r="J110" s="933"/>
      <c r="K110" s="933"/>
      <c r="L110" s="933"/>
      <c r="M110" s="933"/>
      <c r="N110" s="933"/>
      <c r="O110" s="933"/>
      <c r="P110" s="933"/>
      <c r="Q110" s="933"/>
      <c r="R110" s="933"/>
    </row>
    <row r="111" spans="1:18" s="343" customFormat="1" outlineLevel="1" x14ac:dyDescent="0.25">
      <c r="A111" s="347" t="s">
        <v>1402</v>
      </c>
      <c r="B111" s="933"/>
      <c r="C111" s="933"/>
      <c r="D111" s="933"/>
      <c r="E111" s="933"/>
      <c r="F111" s="933"/>
      <c r="G111" s="933"/>
      <c r="H111" s="933"/>
      <c r="I111" s="933"/>
      <c r="J111" s="933"/>
      <c r="K111" s="933"/>
      <c r="L111" s="933"/>
      <c r="M111" s="933"/>
      <c r="N111" s="933"/>
      <c r="O111" s="933"/>
      <c r="P111" s="933"/>
      <c r="Q111" s="933"/>
      <c r="R111" s="933"/>
    </row>
    <row r="112" spans="1:18" s="343" customFormat="1" outlineLevel="1" x14ac:dyDescent="0.25">
      <c r="A112" s="347" t="s">
        <v>1403</v>
      </c>
      <c r="B112" s="933"/>
      <c r="C112" s="933"/>
      <c r="D112" s="933"/>
      <c r="E112" s="933"/>
      <c r="F112" s="933"/>
      <c r="G112" s="933"/>
      <c r="H112" s="933"/>
      <c r="I112" s="933"/>
      <c r="J112" s="933"/>
      <c r="K112" s="933"/>
      <c r="L112" s="933"/>
      <c r="M112" s="933"/>
      <c r="N112" s="933"/>
      <c r="O112" s="933"/>
      <c r="P112" s="933"/>
      <c r="Q112" s="933"/>
      <c r="R112" s="933"/>
    </row>
    <row r="113" spans="1:18" s="343" customFormat="1" ht="27.75" customHeight="1" outlineLevel="1" x14ac:dyDescent="0.25">
      <c r="A113" s="1080" t="s">
        <v>1397</v>
      </c>
      <c r="B113" s="1080"/>
      <c r="C113" s="1080"/>
      <c r="D113" s="1080"/>
      <c r="E113" s="1080"/>
      <c r="F113" s="1080"/>
      <c r="G113" s="1080"/>
      <c r="H113" s="1080"/>
      <c r="I113" s="1080"/>
      <c r="J113" s="1080"/>
      <c r="K113" s="1080"/>
      <c r="L113" s="1080"/>
      <c r="M113" s="933"/>
      <c r="N113" s="933"/>
      <c r="O113" s="933"/>
      <c r="P113" s="933"/>
      <c r="Q113" s="933"/>
      <c r="R113" s="933"/>
    </row>
    <row r="114" spans="1:18" s="359" customFormat="1" outlineLevel="1" x14ac:dyDescent="0.25">
      <c r="A114" s="1006" t="s">
        <v>1292</v>
      </c>
      <c r="B114" s="931"/>
      <c r="C114" s="931"/>
      <c r="D114" s="931"/>
      <c r="E114" s="931"/>
      <c r="F114" s="931"/>
      <c r="G114" s="931"/>
      <c r="H114" s="931"/>
      <c r="I114" s="931"/>
      <c r="J114" s="931"/>
      <c r="K114" s="931"/>
      <c r="L114" s="931"/>
      <c r="M114" s="931"/>
      <c r="N114" s="931"/>
      <c r="O114" s="931"/>
      <c r="P114" s="931"/>
      <c r="Q114" s="931"/>
      <c r="R114" s="931"/>
    </row>
    <row r="115" spans="1:18" s="359" customFormat="1" outlineLevel="1" x14ac:dyDescent="0.25"/>
    <row r="116" spans="1:18" s="359" customFormat="1" outlineLevel="1" x14ac:dyDescent="0.25">
      <c r="A116" s="359" t="s">
        <v>274</v>
      </c>
    </row>
    <row r="117" spans="1:18" s="359" customFormat="1" outlineLevel="1" x14ac:dyDescent="0.25"/>
    <row r="118" spans="1:18" s="359" customFormat="1" outlineLevel="1" x14ac:dyDescent="0.25"/>
    <row r="119" spans="1:18" s="359" customFormat="1" outlineLevel="1" x14ac:dyDescent="0.25"/>
    <row r="121" spans="1:18" ht="15.6" hidden="1" customHeight="1" outlineLevel="1" x14ac:dyDescent="0.25"/>
    <row r="122" spans="1:18" hidden="1" outlineLevel="1" x14ac:dyDescent="0.25">
      <c r="A122" s="934" t="s">
        <v>767</v>
      </c>
      <c r="B122" s="356"/>
      <c r="C122" s="356"/>
      <c r="D122" s="356"/>
      <c r="E122" s="356"/>
    </row>
    <row r="123" spans="1:18" hidden="1" outlineLevel="1" x14ac:dyDescent="0.25">
      <c r="A123" s="349" t="s">
        <v>745</v>
      </c>
      <c r="B123" s="349"/>
      <c r="C123" s="349"/>
      <c r="D123" s="349"/>
      <c r="E123" s="349"/>
    </row>
    <row r="124" spans="1:18" ht="52.8" hidden="1" outlineLevel="1" x14ac:dyDescent="0.25">
      <c r="A124" s="351" t="s">
        <v>737</v>
      </c>
      <c r="B124" s="982" t="str">
        <f>B5</f>
        <v>27.06.2024. grozījumi</v>
      </c>
      <c r="C124" s="982" t="str">
        <f>"Izpilde"&amp;" "&amp;$C$2</f>
        <v>Izpilde 2024.g. 1.pusgads</v>
      </c>
      <c r="D124" s="982" t="str">
        <f>"Izdevumu izpilde, %,"&amp;" "&amp;$C$2</f>
        <v>Izdevumu izpilde, %, 2024.g. 1.pusgads</v>
      </c>
      <c r="E124" s="982" t="s">
        <v>748</v>
      </c>
      <c r="F124" s="357"/>
    </row>
    <row r="125" spans="1:18" hidden="1" outlineLevel="1" x14ac:dyDescent="0.25">
      <c r="A125" s="349" t="s">
        <v>733</v>
      </c>
      <c r="B125" s="983">
        <f t="shared" ref="B125:C128" si="3">SUM(B133,B143)</f>
        <v>1174756</v>
      </c>
      <c r="C125" s="983">
        <f t="shared" si="3"/>
        <v>622639</v>
      </c>
      <c r="D125" s="984">
        <f>C125/B125</f>
        <v>0.53001559472775628</v>
      </c>
      <c r="E125" s="983">
        <f>B125/2-C125</f>
        <v>-35261</v>
      </c>
      <c r="F125" s="357"/>
    </row>
    <row r="126" spans="1:18" hidden="1" outlineLevel="1" x14ac:dyDescent="0.25">
      <c r="A126" s="349" t="s">
        <v>734</v>
      </c>
      <c r="B126" s="983">
        <f t="shared" si="3"/>
        <v>102082</v>
      </c>
      <c r="C126" s="983">
        <f t="shared" si="3"/>
        <v>33481</v>
      </c>
      <c r="D126" s="984">
        <f>C126/B126</f>
        <v>0.32798142669618541</v>
      </c>
      <c r="E126" s="983">
        <f>B126/2-C126</f>
        <v>17560</v>
      </c>
      <c r="F126" s="357"/>
    </row>
    <row r="127" spans="1:18" hidden="1" outlineLevel="1" x14ac:dyDescent="0.25">
      <c r="A127" s="349" t="s">
        <v>735</v>
      </c>
      <c r="B127" s="983">
        <f t="shared" si="3"/>
        <v>1301493</v>
      </c>
      <c r="C127" s="983">
        <f t="shared" si="3"/>
        <v>382252</v>
      </c>
      <c r="D127" s="984">
        <f>C127/B127</f>
        <v>0.2937026937524827</v>
      </c>
      <c r="E127" s="983">
        <f>B127/2-C127</f>
        <v>268494.5</v>
      </c>
      <c r="F127" s="357"/>
    </row>
    <row r="128" spans="1:18" hidden="1" outlineLevel="1" x14ac:dyDescent="0.25">
      <c r="A128" s="985" t="s">
        <v>736</v>
      </c>
      <c r="B128" s="986">
        <f t="shared" si="3"/>
        <v>294260</v>
      </c>
      <c r="C128" s="986">
        <f t="shared" si="3"/>
        <v>118198</v>
      </c>
      <c r="D128" s="987">
        <f>C128/B128</f>
        <v>0.40167878746686603</v>
      </c>
      <c r="E128" s="986">
        <f>B128/2-C128</f>
        <v>28932</v>
      </c>
      <c r="F128" s="357"/>
    </row>
    <row r="129" spans="1:6" hidden="1" outlineLevel="1" x14ac:dyDescent="0.25">
      <c r="A129" s="349"/>
      <c r="B129" s="349"/>
      <c r="C129" s="349"/>
      <c r="D129" s="349"/>
      <c r="E129" s="988">
        <f>SUM(E125:E128)</f>
        <v>279725.5</v>
      </c>
    </row>
    <row r="130" spans="1:6" hidden="1" outlineLevel="1" x14ac:dyDescent="0.25">
      <c r="A130" s="349"/>
      <c r="B130" s="983"/>
      <c r="C130" s="983"/>
      <c r="D130" s="983"/>
      <c r="E130" s="983"/>
    </row>
    <row r="131" spans="1:6" hidden="1" outlineLevel="1" x14ac:dyDescent="0.25">
      <c r="A131" s="989" t="s">
        <v>744</v>
      </c>
      <c r="B131" s="362"/>
      <c r="C131" s="362"/>
      <c r="D131" s="362"/>
      <c r="E131" s="362"/>
      <c r="F131" s="357"/>
    </row>
    <row r="132" spans="1:6" ht="52.8" hidden="1" outlineLevel="1" x14ac:dyDescent="0.25">
      <c r="A132" s="351" t="s">
        <v>737</v>
      </c>
      <c r="B132" s="990" t="str">
        <f>B5</f>
        <v>27.06.2024. grozījumi</v>
      </c>
      <c r="C132" s="990" t="str">
        <f>"Izpilde"&amp;" "&amp;$C$2</f>
        <v>Izpilde 2024.g. 1.pusgads</v>
      </c>
      <c r="D132" s="990" t="str">
        <f>"Izdevumu izpilde, %,"&amp;" "&amp;$C$2</f>
        <v>Izdevumu izpilde, %, 2024.g. 1.pusgads</v>
      </c>
      <c r="E132" s="982" t="s">
        <v>748</v>
      </c>
      <c r="F132" s="357"/>
    </row>
    <row r="133" spans="1:6" hidden="1" outlineLevel="1" x14ac:dyDescent="0.25">
      <c r="A133" s="349" t="s">
        <v>733</v>
      </c>
      <c r="B133" s="983">
        <f>197984+653972</f>
        <v>851956</v>
      </c>
      <c r="C133" s="983">
        <f>161486+360491</f>
        <v>521977</v>
      </c>
      <c r="D133" s="984">
        <f>C133/B133</f>
        <v>0.61268070182028178</v>
      </c>
      <c r="E133" s="983">
        <f>B133/2-C133</f>
        <v>-95999</v>
      </c>
      <c r="F133" s="357"/>
    </row>
    <row r="134" spans="1:6" hidden="1" outlineLevel="1" x14ac:dyDescent="0.25">
      <c r="A134" s="349" t="s">
        <v>734</v>
      </c>
      <c r="B134" s="983">
        <v>88817</v>
      </c>
      <c r="C134" s="983">
        <v>29787</v>
      </c>
      <c r="D134" s="984">
        <f>C134/B134</f>
        <v>0.33537498451872955</v>
      </c>
      <c r="E134" s="983">
        <f>B134/2-C134</f>
        <v>14621.5</v>
      </c>
      <c r="F134" s="357"/>
    </row>
    <row r="135" spans="1:6" hidden="1" outlineLevel="1" x14ac:dyDescent="0.25">
      <c r="A135" s="349" t="s">
        <v>735</v>
      </c>
      <c r="B135" s="983">
        <v>621252</v>
      </c>
      <c r="C135" s="983">
        <f>231149</f>
        <v>231149</v>
      </c>
      <c r="D135" s="984">
        <f>C135/B135</f>
        <v>0.37206962714003333</v>
      </c>
      <c r="E135" s="983">
        <f>B135/2-C135</f>
        <v>79477</v>
      </c>
      <c r="F135" s="357"/>
    </row>
    <row r="136" spans="1:6" hidden="1" outlineLevel="1" x14ac:dyDescent="0.25">
      <c r="A136" s="349" t="s">
        <v>736</v>
      </c>
      <c r="B136" s="983">
        <v>99905</v>
      </c>
      <c r="C136" s="983">
        <v>25107</v>
      </c>
      <c r="D136" s="984">
        <f>C136/B136</f>
        <v>0.25130874330614084</v>
      </c>
      <c r="E136" s="983">
        <f>B136/2-C136</f>
        <v>24845.5</v>
      </c>
      <c r="F136" s="357"/>
    </row>
    <row r="137" spans="1:6" hidden="1" outlineLevel="1" x14ac:dyDescent="0.25">
      <c r="A137" s="349"/>
      <c r="B137" s="983"/>
      <c r="C137" s="983"/>
      <c r="D137" s="983"/>
      <c r="E137" s="991">
        <f>SUM(E133:E136)</f>
        <v>22945</v>
      </c>
      <c r="F137" s="357"/>
    </row>
    <row r="138" spans="1:6" hidden="1" outlineLevel="1" x14ac:dyDescent="0.25">
      <c r="A138" s="349"/>
      <c r="B138" s="983"/>
      <c r="C138" s="983"/>
      <c r="D138" s="983"/>
      <c r="E138" s="983"/>
      <c r="F138" s="357"/>
    </row>
    <row r="139" spans="1:6" hidden="1" outlineLevel="1" x14ac:dyDescent="0.25">
      <c r="A139" s="349"/>
      <c r="B139" s="349"/>
      <c r="C139" s="349"/>
      <c r="D139" s="349"/>
      <c r="E139" s="349"/>
    </row>
    <row r="140" spans="1:6" hidden="1" outlineLevel="1" x14ac:dyDescent="0.25">
      <c r="A140" s="349"/>
      <c r="B140" s="349"/>
      <c r="C140" s="349"/>
      <c r="D140" s="349"/>
      <c r="E140" s="349"/>
    </row>
    <row r="141" spans="1:6" hidden="1" outlineLevel="1" x14ac:dyDescent="0.25">
      <c r="A141" s="992" t="s">
        <v>747</v>
      </c>
      <c r="B141" s="993"/>
      <c r="C141" s="993"/>
      <c r="D141" s="993"/>
      <c r="E141" s="931"/>
    </row>
    <row r="142" spans="1:6" ht="52.8" hidden="1" outlineLevel="1" x14ac:dyDescent="0.25">
      <c r="A142" s="351" t="s">
        <v>738</v>
      </c>
      <c r="B142" s="990" t="s">
        <v>739</v>
      </c>
      <c r="C142" s="990" t="s">
        <v>740</v>
      </c>
      <c r="D142" s="990" t="s">
        <v>741</v>
      </c>
      <c r="E142" s="982" t="s">
        <v>748</v>
      </c>
    </row>
    <row r="143" spans="1:6" hidden="1" outlineLevel="1" x14ac:dyDescent="0.25">
      <c r="A143" s="349" t="s">
        <v>742</v>
      </c>
      <c r="B143" s="983">
        <f>283800+39000</f>
        <v>322800</v>
      </c>
      <c r="C143" s="983">
        <f>85227+15435</f>
        <v>100662</v>
      </c>
      <c r="D143" s="984">
        <f>C143/B143</f>
        <v>0.31184014869888477</v>
      </c>
      <c r="E143" s="983">
        <f>B143/2-C143</f>
        <v>60738</v>
      </c>
    </row>
    <row r="144" spans="1:6" hidden="1" outlineLevel="1" x14ac:dyDescent="0.25">
      <c r="A144" s="349" t="s">
        <v>743</v>
      </c>
      <c r="B144" s="983">
        <v>13265</v>
      </c>
      <c r="C144" s="983">
        <f>3694</f>
        <v>3694</v>
      </c>
      <c r="D144" s="984">
        <f>C144/B144</f>
        <v>0.27847719562759138</v>
      </c>
      <c r="E144" s="983">
        <f>B144/2-C144</f>
        <v>2938.5</v>
      </c>
    </row>
    <row r="145" spans="1:5" hidden="1" outlineLevel="1" x14ac:dyDescent="0.25">
      <c r="A145" s="349" t="s">
        <v>735</v>
      </c>
      <c r="B145" s="983">
        <v>680241</v>
      </c>
      <c r="C145" s="983">
        <f>151103</f>
        <v>151103</v>
      </c>
      <c r="D145" s="984">
        <f>C145/B145</f>
        <v>0.22213156807660814</v>
      </c>
      <c r="E145" s="983">
        <f>B145/2-C145</f>
        <v>189017.5</v>
      </c>
    </row>
    <row r="146" spans="1:5" hidden="1" outlineLevel="1" x14ac:dyDescent="0.25">
      <c r="A146" s="349" t="s">
        <v>736</v>
      </c>
      <c r="B146" s="983">
        <f>190405+3950</f>
        <v>194355</v>
      </c>
      <c r="C146" s="983">
        <f>92141+950</f>
        <v>93091</v>
      </c>
      <c r="D146" s="984">
        <f>C146/B146</f>
        <v>0.47897404234519309</v>
      </c>
      <c r="E146" s="983">
        <f>B146/2-C146</f>
        <v>4086.5</v>
      </c>
    </row>
    <row r="147" spans="1:5" hidden="1" outlineLevel="1" x14ac:dyDescent="0.25">
      <c r="A147" s="349"/>
      <c r="B147" s="983"/>
      <c r="C147" s="983"/>
      <c r="D147" s="983"/>
      <c r="E147" s="991">
        <f>SUM(E143:E146)</f>
        <v>256780.5</v>
      </c>
    </row>
    <row r="148" spans="1:5" hidden="1" outlineLevel="1" x14ac:dyDescent="0.25">
      <c r="A148" s="349"/>
      <c r="B148" s="349"/>
      <c r="C148" s="349"/>
      <c r="D148" s="349"/>
      <c r="E148" s="349"/>
    </row>
    <row r="149" spans="1:5" hidden="1" outlineLevel="1" x14ac:dyDescent="0.25"/>
    <row r="150" spans="1:5" hidden="1" outlineLevel="1" x14ac:dyDescent="0.25"/>
    <row r="151" spans="1:5" hidden="1" outlineLevel="1" x14ac:dyDescent="0.25">
      <c r="A151" s="349"/>
      <c r="B151" s="349"/>
      <c r="C151" s="349"/>
      <c r="D151" s="349"/>
      <c r="E151" s="349"/>
    </row>
    <row r="152" spans="1:5" ht="39.6" hidden="1" outlineLevel="1" x14ac:dyDescent="0.25">
      <c r="A152" s="985"/>
      <c r="B152" s="990" t="str">
        <f>B5</f>
        <v>27.06.2024. grozījumi</v>
      </c>
      <c r="C152" s="990" t="str">
        <f>"Izpilde"&amp;" "&amp;$C$2</f>
        <v>Izpilde 2024.g. 1.pusgads</v>
      </c>
      <c r="D152" s="349"/>
      <c r="E152" s="349"/>
    </row>
    <row r="153" spans="1:5" hidden="1" outlineLevel="1" x14ac:dyDescent="0.25">
      <c r="A153" s="349" t="s">
        <v>231</v>
      </c>
      <c r="B153" s="994">
        <f>B6</f>
        <v>52574335</v>
      </c>
      <c r="C153" s="994">
        <f>C6</f>
        <v>27733381.640000001</v>
      </c>
      <c r="D153" s="995"/>
      <c r="E153" s="994"/>
    </row>
    <row r="154" spans="1:5" hidden="1" outlineLevel="1" x14ac:dyDescent="0.25">
      <c r="A154" s="349" t="s">
        <v>134</v>
      </c>
      <c r="B154" s="994">
        <v>7741521</v>
      </c>
      <c r="C154" s="994">
        <v>7741521</v>
      </c>
      <c r="D154" s="995"/>
      <c r="E154" s="349"/>
    </row>
    <row r="155" spans="1:5" hidden="1" outlineLevel="1" x14ac:dyDescent="0.25">
      <c r="A155" s="349" t="s">
        <v>140</v>
      </c>
      <c r="B155" s="994" t="e">
        <f>B165</f>
        <v>#REF!</v>
      </c>
      <c r="C155" s="994" t="e">
        <f>C165</f>
        <v>#REF!</v>
      </c>
      <c r="D155" s="995"/>
      <c r="E155" s="349"/>
    </row>
    <row r="156" spans="1:5" hidden="1" outlineLevel="1" x14ac:dyDescent="0.25">
      <c r="A156" s="349" t="s">
        <v>242</v>
      </c>
      <c r="B156" s="994">
        <f>B53-B82</f>
        <v>60556119</v>
      </c>
      <c r="C156" s="994">
        <f>C53-C82</f>
        <v>25010551.5</v>
      </c>
      <c r="D156" s="995"/>
      <c r="E156" s="349"/>
    </row>
    <row r="157" spans="1:5" hidden="1" outlineLevel="1" x14ac:dyDescent="0.25">
      <c r="A157" s="985" t="s">
        <v>202</v>
      </c>
      <c r="B157" s="996">
        <f>B82</f>
        <v>3657198</v>
      </c>
      <c r="C157" s="996">
        <f>C82</f>
        <v>1870639.92</v>
      </c>
      <c r="D157" s="995"/>
      <c r="E157" s="349"/>
    </row>
    <row r="158" spans="1:5" hidden="1" outlineLevel="1" x14ac:dyDescent="0.25">
      <c r="A158" s="352" t="s">
        <v>725</v>
      </c>
      <c r="B158" s="997" t="e">
        <f>B153+B154+B155-B156-B157</f>
        <v>#REF!</v>
      </c>
      <c r="C158" s="997" t="e">
        <f>C153+C154+C155-C156-C157</f>
        <v>#REF!</v>
      </c>
      <c r="D158" s="995"/>
      <c r="E158" s="349"/>
    </row>
    <row r="159" spans="1:5" hidden="1" outlineLevel="1" x14ac:dyDescent="0.25">
      <c r="A159" s="349"/>
      <c r="B159" s="349"/>
      <c r="C159" s="349"/>
      <c r="D159" s="349"/>
      <c r="E159" s="349"/>
    </row>
    <row r="160" spans="1:5" hidden="1" outlineLevel="1" x14ac:dyDescent="0.25">
      <c r="A160" s="349"/>
      <c r="B160" s="358" t="e">
        <f>B158-'2024.gada budzeta plans_apvieno'!L301</f>
        <v>#REF!</v>
      </c>
      <c r="C160" s="358" t="e">
        <f>C158-'2024.gada budzeta plans_apvieno'!S301</f>
        <v>#REF!</v>
      </c>
      <c r="D160" s="349"/>
      <c r="E160" s="349"/>
    </row>
    <row r="161" spans="1:5" hidden="1" outlineLevel="1" x14ac:dyDescent="0.25">
      <c r="A161" s="349"/>
      <c r="B161" s="349"/>
      <c r="C161" s="349"/>
      <c r="D161" s="349"/>
      <c r="E161" s="349"/>
    </row>
    <row r="162" spans="1:5" hidden="1" outlineLevel="1" x14ac:dyDescent="0.25">
      <c r="A162" s="349"/>
      <c r="B162" s="349"/>
      <c r="C162" s="349"/>
      <c r="D162" s="349"/>
      <c r="E162" s="349"/>
    </row>
    <row r="163" spans="1:5" hidden="1" outlineLevel="1" x14ac:dyDescent="0.25">
      <c r="A163" s="349"/>
      <c r="B163" s="349"/>
      <c r="C163" s="349"/>
      <c r="D163" s="349"/>
      <c r="E163" s="349"/>
    </row>
    <row r="164" spans="1:5" ht="36" hidden="1" customHeight="1" outlineLevel="1" x14ac:dyDescent="0.25">
      <c r="A164" s="351" t="s">
        <v>693</v>
      </c>
      <c r="B164" s="990" t="str">
        <f>B5</f>
        <v>27.06.2024. grozījumi</v>
      </c>
      <c r="C164" s="990" t="str">
        <f>"Izpilde"&amp;" "&amp;$C$2</f>
        <v>Izpilde 2024.g. 1.pusgads</v>
      </c>
      <c r="D164" s="990" t="str">
        <f>"Izpilde, %,"&amp;" "&amp;$C$2</f>
        <v>Izpilde, %, 2024.g. 1.pusgads</v>
      </c>
      <c r="E164" s="349"/>
    </row>
    <row r="165" spans="1:5" s="332" customFormat="1" hidden="1" outlineLevel="1" x14ac:dyDescent="0.25">
      <c r="A165" s="352" t="s">
        <v>694</v>
      </c>
      <c r="B165" s="998" t="e">
        <f>SUM(B166:B178)</f>
        <v>#REF!</v>
      </c>
      <c r="C165" s="998" t="e">
        <f>SUM(C166:C178)</f>
        <v>#REF!</v>
      </c>
      <c r="D165" s="999" t="e">
        <f>C165/B165</f>
        <v>#REF!</v>
      </c>
      <c r="E165" s="352"/>
    </row>
    <row r="166" spans="1:5" hidden="1" outlineLevel="1" x14ac:dyDescent="0.25">
      <c r="A166" s="350" t="s">
        <v>695</v>
      </c>
      <c r="B166" s="994">
        <f>'2024.gada budzeta plans_apvieno'!L112</f>
        <v>0</v>
      </c>
      <c r="C166" s="994">
        <f>'2024.gada budzeta plans_apvieno'!S112</f>
        <v>0</v>
      </c>
      <c r="D166" s="995" t="e">
        <f>C166/B166</f>
        <v>#DIV/0!</v>
      </c>
      <c r="E166" s="349"/>
    </row>
    <row r="167" spans="1:5" hidden="1" outlineLevel="1" x14ac:dyDescent="0.25">
      <c r="A167" s="350" t="s">
        <v>696</v>
      </c>
      <c r="B167" s="994">
        <f>'2024.gada budzeta plans_apvieno'!L113</f>
        <v>0</v>
      </c>
      <c r="C167" s="994">
        <f>'2024.gada budzeta plans_apvieno'!S113</f>
        <v>0</v>
      </c>
      <c r="D167" s="995" t="e">
        <f t="shared" ref="D167:D178" si="4">C167/B167</f>
        <v>#DIV/0!</v>
      </c>
      <c r="E167" s="349"/>
    </row>
    <row r="168" spans="1:5" hidden="1" outlineLevel="1" x14ac:dyDescent="0.25">
      <c r="A168" s="350" t="s">
        <v>697</v>
      </c>
      <c r="B168" s="994">
        <f>'2024.gada budzeta plans_apvieno'!L114</f>
        <v>541742</v>
      </c>
      <c r="C168" s="994">
        <f>'2024.gada budzeta plans_apvieno'!S114</f>
        <v>0</v>
      </c>
      <c r="D168" s="995">
        <f t="shared" si="4"/>
        <v>0</v>
      </c>
      <c r="E168" s="349"/>
    </row>
    <row r="169" spans="1:5" hidden="1" outlineLevel="1" x14ac:dyDescent="0.25">
      <c r="A169" s="350" t="s">
        <v>698</v>
      </c>
      <c r="B169" s="994">
        <f>'2024.gada budzeta plans_apvieno'!L115</f>
        <v>349985</v>
      </c>
      <c r="C169" s="994">
        <f>'2024.gada budzeta plans_apvieno'!S115</f>
        <v>0</v>
      </c>
      <c r="D169" s="995">
        <f t="shared" si="4"/>
        <v>0</v>
      </c>
      <c r="E169" s="349"/>
    </row>
    <row r="170" spans="1:5" hidden="1" outlineLevel="1" x14ac:dyDescent="0.25">
      <c r="A170" s="350" t="s">
        <v>699</v>
      </c>
      <c r="B170" s="994">
        <f>'2024.gada budzeta plans_apvieno'!L116</f>
        <v>0</v>
      </c>
      <c r="C170" s="994">
        <f>'2024.gada budzeta plans_apvieno'!S116</f>
        <v>0</v>
      </c>
      <c r="D170" s="995" t="e">
        <f t="shared" si="4"/>
        <v>#DIV/0!</v>
      </c>
      <c r="E170" s="349"/>
    </row>
    <row r="171" spans="1:5" hidden="1" outlineLevel="1" x14ac:dyDescent="0.25">
      <c r="A171" s="350" t="s">
        <v>700</v>
      </c>
      <c r="B171" s="994">
        <f>'2024.gada budzeta plans_apvieno'!L117</f>
        <v>0</v>
      </c>
      <c r="C171" s="994">
        <f>'2024.gada budzeta plans_apvieno'!S117</f>
        <v>0</v>
      </c>
      <c r="D171" s="995" t="e">
        <f t="shared" si="4"/>
        <v>#DIV/0!</v>
      </c>
      <c r="E171" s="349"/>
    </row>
    <row r="172" spans="1:5" hidden="1" outlineLevel="1" x14ac:dyDescent="0.25">
      <c r="A172" s="350" t="s">
        <v>701</v>
      </c>
      <c r="B172" s="994">
        <f>'2024.gada budzeta plans_apvieno'!L118</f>
        <v>79023</v>
      </c>
      <c r="C172" s="994">
        <f>'2024.gada budzeta plans_apvieno'!S118</f>
        <v>70310.559999999998</v>
      </c>
      <c r="D172" s="995">
        <f t="shared" si="4"/>
        <v>0.88974804803664753</v>
      </c>
      <c r="E172" s="349"/>
    </row>
    <row r="173" spans="1:5" hidden="1" outlineLevel="1" x14ac:dyDescent="0.25">
      <c r="A173" s="350" t="s">
        <v>702</v>
      </c>
      <c r="B173" s="994">
        <f>'2024.gada budzeta plans_apvieno'!L119</f>
        <v>783000</v>
      </c>
      <c r="C173" s="994">
        <f>'2024.gada budzeta plans_apvieno'!S119</f>
        <v>0</v>
      </c>
      <c r="D173" s="995">
        <f t="shared" si="4"/>
        <v>0</v>
      </c>
      <c r="E173" s="349"/>
    </row>
    <row r="174" spans="1:5" hidden="1" outlineLevel="1" x14ac:dyDescent="0.25">
      <c r="A174" s="350" t="s">
        <v>703</v>
      </c>
      <c r="B174" s="994">
        <f>'2024.gada budzeta plans_apvieno'!L120</f>
        <v>188179</v>
      </c>
      <c r="C174" s="994">
        <f>'2024.gada budzeta plans_apvieno'!S120</f>
        <v>0</v>
      </c>
      <c r="D174" s="995">
        <f t="shared" si="4"/>
        <v>0</v>
      </c>
      <c r="E174" s="349"/>
    </row>
    <row r="175" spans="1:5" hidden="1" outlineLevel="1" x14ac:dyDescent="0.25">
      <c r="A175" s="350" t="s">
        <v>704</v>
      </c>
      <c r="B175" s="994">
        <f>'2024.gada budzeta plans_apvieno'!L121</f>
        <v>0</v>
      </c>
      <c r="C175" s="994">
        <f>'2024.gada budzeta plans_apvieno'!S121</f>
        <v>0</v>
      </c>
      <c r="D175" s="995" t="e">
        <f t="shared" si="4"/>
        <v>#DIV/0!</v>
      </c>
      <c r="E175" s="349"/>
    </row>
    <row r="176" spans="1:5" hidden="1" outlineLevel="1" x14ac:dyDescent="0.25">
      <c r="A176" s="350" t="s">
        <v>705</v>
      </c>
      <c r="B176" s="994">
        <f>'2024.gada budzeta plans_apvieno'!L122</f>
        <v>0</v>
      </c>
      <c r="C176" s="994">
        <f>'2024.gada budzeta plans_apvieno'!S122</f>
        <v>0</v>
      </c>
      <c r="D176" s="995" t="e">
        <f t="shared" si="4"/>
        <v>#DIV/0!</v>
      </c>
      <c r="E176" s="349"/>
    </row>
    <row r="177" spans="1:5" hidden="1" outlineLevel="1" x14ac:dyDescent="0.25">
      <c r="A177" s="350" t="s">
        <v>706</v>
      </c>
      <c r="B177" s="994">
        <f>'2024.gada budzeta plans_apvieno'!L123</f>
        <v>0</v>
      </c>
      <c r="C177" s="994">
        <f>'2024.gada budzeta plans_apvieno'!S123</f>
        <v>0</v>
      </c>
      <c r="D177" s="995" t="e">
        <f t="shared" si="4"/>
        <v>#DIV/0!</v>
      </c>
      <c r="E177" s="349"/>
    </row>
    <row r="178" spans="1:5" hidden="1" outlineLevel="1" x14ac:dyDescent="0.25">
      <c r="A178" s="350" t="s">
        <v>707</v>
      </c>
      <c r="B178" s="994" t="e">
        <f>'2024.gada budzeta plans_apvieno'!#REF!</f>
        <v>#REF!</v>
      </c>
      <c r="C178" s="994" t="e">
        <f>'2024.gada budzeta plans_apvieno'!#REF!</f>
        <v>#REF!</v>
      </c>
      <c r="D178" s="995" t="e">
        <f t="shared" si="4"/>
        <v>#REF!</v>
      </c>
      <c r="E178" s="349"/>
    </row>
    <row r="179" spans="1:5" hidden="1" outlineLevel="1" x14ac:dyDescent="0.25">
      <c r="A179" s="349"/>
      <c r="B179" s="349"/>
      <c r="C179" s="349"/>
      <c r="D179" s="349"/>
      <c r="E179" s="349"/>
    </row>
    <row r="180" spans="1:5" hidden="1" outlineLevel="1" x14ac:dyDescent="0.25">
      <c r="A180" s="349"/>
      <c r="B180" s="994" t="e">
        <f>B165-'2024.gada budzeta plans_apvieno'!L111</f>
        <v>#REF!</v>
      </c>
      <c r="C180" s="994" t="e">
        <f>C165-'2024.gada budzeta plans_apvieno'!S111</f>
        <v>#REF!</v>
      </c>
      <c r="D180" s="349"/>
      <c r="E180" s="349"/>
    </row>
    <row r="181" spans="1:5" hidden="1" outlineLevel="1" x14ac:dyDescent="0.25">
      <c r="A181" s="349"/>
      <c r="B181" s="349"/>
      <c r="C181" s="349"/>
      <c r="D181" s="349"/>
      <c r="E181" s="349"/>
    </row>
    <row r="182" spans="1:5" collapsed="1" x14ac:dyDescent="0.25">
      <c r="A182" s="349"/>
      <c r="B182" s="349"/>
      <c r="C182" s="349"/>
      <c r="D182" s="349"/>
      <c r="E182" s="349"/>
    </row>
  </sheetData>
  <mergeCells count="6">
    <mergeCell ref="A99:R99"/>
    <mergeCell ref="A90:R90"/>
    <mergeCell ref="A103:L103"/>
    <mergeCell ref="A104:L104"/>
    <mergeCell ref="A113:L113"/>
    <mergeCell ref="A106:L106"/>
  </mergeCells>
  <conditionalFormatting sqref="B25:C25">
    <cfRule type="expression" dxfId="1" priority="2">
      <formula>$B$25=0</formula>
    </cfRule>
  </conditionalFormatting>
  <conditionalFormatting sqref="B84:C84">
    <cfRule type="expression" dxfId="0" priority="1">
      <formula>$B$84=0</formula>
    </cfRule>
  </conditionalFormatting>
  <pageMargins left="0.7" right="0.7" top="0.75" bottom="0.75" header="0.3" footer="0.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Investīcijas_2024</vt:lpstr>
      <vt:lpstr>2024.gada budzeta plans_apvieno</vt:lpstr>
      <vt:lpstr>Grafiki_budžeta_izpilde</vt:lpstr>
      <vt:lpstr>'2024.gada budzeta plans_apvieno'!Print_Area</vt:lpstr>
      <vt:lpstr>'2024.gada budzeta plans_apvieno'!Print_Titles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Sarmīte Mūze</cp:lastModifiedBy>
  <cp:lastPrinted>2024-04-15T11:31:03Z</cp:lastPrinted>
  <dcterms:created xsi:type="dcterms:W3CDTF">2015-07-17T07:55:13Z</dcterms:created>
  <dcterms:modified xsi:type="dcterms:W3CDTF">2024-07-17T08:08:37Z</dcterms:modified>
</cp:coreProperties>
</file>