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Šī_darbgrāmata"/>
  <mc:AlternateContent xmlns:mc="http://schemas.openxmlformats.org/markup-compatibility/2006">
    <mc:Choice Requires="x15">
      <x15ac:absPath xmlns:x15ac="http://schemas.microsoft.com/office/spreadsheetml/2010/11/ac" url="https://dvs-adazi.namejs.lv/webdav/2626c6a9-633b-4ada-a31c-0f77468025ac/"/>
    </mc:Choice>
  </mc:AlternateContent>
  <xr:revisionPtr revIDLastSave="0" documentId="13_ncr:1_{CBDBCF8D-5B96-4547-BB97-0A581E8DFD14}" xr6:coauthVersionLast="47" xr6:coauthVersionMax="47" xr10:uidLastSave="{00000000-0000-0000-0000-000000000000}"/>
  <bookViews>
    <workbookView xWindow="-108" yWindow="-108" windowWidth="23256" windowHeight="12456" tabRatio="823" activeTab="1" xr2:uid="{00000000-000D-0000-FFFF-FFFF00000000}"/>
  </bookViews>
  <sheets>
    <sheet name="2024.gada budzeta plans_apvieno" sheetId="70" r:id="rId1"/>
    <sheet name="Grafiki_budžeta_izpilde" sheetId="128" r:id="rId2"/>
  </sheets>
  <definedNames>
    <definedName name="_0812" localSheetId="1">#REF!</definedName>
    <definedName name="_0812">#REF!</definedName>
    <definedName name="_xlnm._FilterDatabase" localSheetId="0" hidden="1">'2024.gada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 localSheetId="1">#REF!</definedName>
    <definedName name="KolonnasNosaukums1">#REF!</definedName>
    <definedName name="Parvadataji" localSheetId="0">#REF!</definedName>
    <definedName name="Parvadataji">#REF!</definedName>
    <definedName name="_xlnm.Print_Area" localSheetId="0">'2024.gada budzeta plans_apvieno'!$A$1:$Z$302</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70" l="1"/>
  <c r="Y176" i="70"/>
  <c r="Y96" i="70"/>
  <c r="X219" i="70"/>
  <c r="X209" i="70"/>
  <c r="X181" i="70" l="1"/>
  <c r="X166" i="70"/>
  <c r="X155" i="70" s="1"/>
  <c r="X257" i="70" l="1"/>
  <c r="X131" i="70"/>
  <c r="X268" i="70"/>
  <c r="X274" i="70"/>
  <c r="X279" i="70"/>
  <c r="X237" i="70"/>
  <c r="X233" i="70"/>
  <c r="X245" i="70"/>
  <c r="X241" i="70"/>
  <c r="X203" i="70"/>
  <c r="X179" i="70"/>
  <c r="X178" i="70" s="1"/>
  <c r="X269" i="70"/>
  <c r="X234" i="70"/>
  <c r="X242" i="70"/>
  <c r="X3" i="70"/>
  <c r="X106" i="70"/>
  <c r="X99" i="70"/>
  <c r="X41" i="70"/>
  <c r="X39" i="70"/>
  <c r="X38" i="70"/>
  <c r="X118" i="70" l="1"/>
  <c r="X108" i="70"/>
  <c r="X103" i="70"/>
  <c r="X98" i="70"/>
  <c r="X92" i="70"/>
  <c r="X88" i="70"/>
  <c r="X81" i="70"/>
  <c r="X80" i="70"/>
  <c r="X66" i="70" s="1"/>
  <c r="X65" i="70"/>
  <c r="X50" i="70"/>
  <c r="X43" i="70" s="1"/>
  <c r="X47" i="70"/>
  <c r="X37" i="70"/>
  <c r="X34" i="70"/>
  <c r="X27" i="70"/>
  <c r="X23" i="70"/>
  <c r="X22" i="70" s="1"/>
  <c r="X19" i="70"/>
  <c r="X16" i="70"/>
  <c r="X13" i="70"/>
  <c r="X10" i="70"/>
  <c r="X7" i="70"/>
  <c r="Y3" i="70"/>
  <c r="X102" i="70" l="1"/>
  <c r="X6" i="70"/>
  <c r="X91" i="70"/>
  <c r="X9" i="70"/>
  <c r="U220" i="70" l="1"/>
  <c r="Y220" i="70" s="1"/>
  <c r="U213" i="70"/>
  <c r="Y213" i="70" s="1"/>
  <c r="V176" i="70"/>
  <c r="V129" i="70"/>
  <c r="U129" i="70"/>
  <c r="V96" i="70"/>
  <c r="V59" i="70"/>
  <c r="V49" i="70"/>
  <c r="X265" i="70"/>
  <c r="X260" i="70"/>
  <c r="X255" i="70"/>
  <c r="X287" i="70"/>
  <c r="X264" i="70" l="1"/>
  <c r="X253" i="70"/>
  <c r="S129" i="70" l="1"/>
  <c r="R129" i="70"/>
  <c r="X129" i="70" l="1"/>
  <c r="Y129" i="70"/>
  <c r="X296" i="70"/>
  <c r="X293" i="70"/>
  <c r="X284" i="70"/>
  <c r="X281" i="70"/>
  <c r="X252" i="70"/>
  <c r="X247" i="70"/>
  <c r="X243" i="70"/>
  <c r="X216" i="70"/>
  <c r="X208" i="70"/>
  <c r="X193" i="70"/>
  <c r="X190" i="70"/>
  <c r="X151" i="70"/>
  <c r="X148" i="70"/>
  <c r="X144" i="70"/>
  <c r="X215" i="70" l="1"/>
  <c r="X172" i="70"/>
  <c r="X154" i="70"/>
  <c r="X143" i="70"/>
  <c r="X202" i="70"/>
  <c r="X231" i="70"/>
  <c r="X235" i="70"/>
  <c r="X277" i="70"/>
  <c r="X239" i="70"/>
  <c r="X251" i="70"/>
  <c r="X218" i="70"/>
  <c r="X207" i="70" l="1"/>
  <c r="X150" i="70"/>
  <c r="X192" i="70"/>
  <c r="X263" i="70"/>
  <c r="X229" i="70" l="1"/>
  <c r="S176" i="70"/>
  <c r="R226" i="70" l="1"/>
  <c r="U226" i="70" s="1"/>
  <c r="R220" i="70"/>
  <c r="R213" i="70"/>
  <c r="S96" i="70"/>
  <c r="S59" i="70"/>
  <c r="S49" i="70"/>
  <c r="V226" i="70" l="1"/>
  <c r="Y226" i="70"/>
  <c r="V213" i="70"/>
  <c r="V220" i="70"/>
  <c r="S226" i="70"/>
  <c r="O220" i="70"/>
  <c r="S220" i="70" s="1"/>
  <c r="O213" i="70"/>
  <c r="S213" i="70" s="1"/>
  <c r="P226" i="70" l="1"/>
  <c r="H207" i="70" l="1"/>
  <c r="K208" i="70" l="1"/>
  <c r="K207" i="70" s="1"/>
  <c r="P213" i="70"/>
  <c r="P220" i="70"/>
  <c r="O298" i="70" l="1"/>
  <c r="R298" i="70" s="1"/>
  <c r="U298" i="70" s="1"/>
  <c r="O297" i="70"/>
  <c r="R297" i="70" s="1"/>
  <c r="O169" i="70"/>
  <c r="R169" i="70" s="1"/>
  <c r="U169" i="70" s="1"/>
  <c r="Y169" i="70" s="1"/>
  <c r="O170" i="70"/>
  <c r="R170" i="70" s="1"/>
  <c r="U170" i="70" s="1"/>
  <c r="O171" i="70"/>
  <c r="R171" i="70" s="1"/>
  <c r="U171" i="70" s="1"/>
  <c r="V171" i="70" l="1"/>
  <c r="Y171" i="70"/>
  <c r="V170" i="70"/>
  <c r="Y170" i="70"/>
  <c r="V298" i="70"/>
  <c r="Y298" i="70"/>
  <c r="V169" i="70"/>
  <c r="U297" i="70"/>
  <c r="Y297" i="70" s="1"/>
  <c r="S171" i="70"/>
  <c r="S170" i="70"/>
  <c r="S298" i="70"/>
  <c r="S169" i="70"/>
  <c r="S297" i="70"/>
  <c r="R296" i="70"/>
  <c r="U296" i="70" l="1"/>
  <c r="V297" i="70"/>
  <c r="V296" i="70" l="1"/>
  <c r="Y296" i="70"/>
  <c r="L184" i="70" l="1"/>
  <c r="L49" i="70"/>
  <c r="M184" i="70" l="1"/>
  <c r="O184" i="70"/>
  <c r="P184" i="70" l="1"/>
  <c r="R184" i="70"/>
  <c r="U184" i="70" s="1"/>
  <c r="V184" i="70" l="1"/>
  <c r="Y184" i="70"/>
  <c r="S184" i="70"/>
  <c r="J184" i="70" l="1"/>
  <c r="I238" i="70" l="1"/>
  <c r="I234" i="70"/>
  <c r="I204" i="70"/>
  <c r="I275" i="70"/>
  <c r="I280" i="70"/>
  <c r="I269" i="70"/>
  <c r="L275" i="70" l="1"/>
  <c r="L234" i="70"/>
  <c r="O234" i="70" s="1"/>
  <c r="R234" i="70" s="1"/>
  <c r="U234" i="70" s="1"/>
  <c r="Y234" i="70" s="1"/>
  <c r="L269" i="70"/>
  <c r="O269" i="70" s="1"/>
  <c r="R269" i="70" s="1"/>
  <c r="U269" i="70" s="1"/>
  <c r="Y269" i="70" s="1"/>
  <c r="L280" i="70"/>
  <c r="J204" i="70"/>
  <c r="L204" i="70"/>
  <c r="O204" i="70" s="1"/>
  <c r="L238" i="70"/>
  <c r="I255" i="70"/>
  <c r="L255" i="70" s="1"/>
  <c r="I48" i="70"/>
  <c r="V234" i="70" l="1"/>
  <c r="V269" i="70"/>
  <c r="R204" i="70"/>
  <c r="U204" i="70" s="1"/>
  <c r="S269" i="70"/>
  <c r="S234" i="70"/>
  <c r="O280" i="70"/>
  <c r="M280" i="70"/>
  <c r="P269" i="70"/>
  <c r="M269" i="70"/>
  <c r="M234" i="70"/>
  <c r="P204" i="70"/>
  <c r="M204" i="70"/>
  <c r="O255" i="70"/>
  <c r="M255" i="70"/>
  <c r="M275" i="70"/>
  <c r="O275" i="70"/>
  <c r="I47" i="70"/>
  <c r="L48" i="70"/>
  <c r="O48" i="70" s="1"/>
  <c r="R48" i="70" s="1"/>
  <c r="O238" i="70"/>
  <c r="R238" i="70" s="1"/>
  <c r="U238" i="70" s="1"/>
  <c r="Y238" i="70" s="1"/>
  <c r="M238" i="70"/>
  <c r="V204" i="70" l="1"/>
  <c r="Y204" i="70"/>
  <c r="V238" i="70"/>
  <c r="U48" i="70"/>
  <c r="Y48" i="70" s="1"/>
  <c r="S204" i="70"/>
  <c r="P255" i="70"/>
  <c r="R255" i="70"/>
  <c r="U255" i="70" s="1"/>
  <c r="P275" i="70"/>
  <c r="R275" i="70"/>
  <c r="U275" i="70" s="1"/>
  <c r="P238" i="70"/>
  <c r="S238" i="70"/>
  <c r="R47" i="70"/>
  <c r="S48" i="70"/>
  <c r="P280" i="70"/>
  <c r="R280" i="70"/>
  <c r="U280" i="70" s="1"/>
  <c r="P234" i="70"/>
  <c r="V275" i="70" l="1"/>
  <c r="Y275" i="70"/>
  <c r="V255" i="70"/>
  <c r="Y255" i="70"/>
  <c r="V280" i="70"/>
  <c r="Y280" i="70"/>
  <c r="V48" i="70"/>
  <c r="U47" i="70"/>
  <c r="S280" i="70"/>
  <c r="S275" i="70"/>
  <c r="S255" i="70"/>
  <c r="V47" i="70" l="1"/>
  <c r="Y47" i="70"/>
  <c r="F265" i="70"/>
  <c r="I265" i="70" s="1"/>
  <c r="L265" i="70" l="1"/>
  <c r="O265" i="70" l="1"/>
  <c r="R265" i="70" s="1"/>
  <c r="U265" i="70" s="1"/>
  <c r="Y265" i="70" s="1"/>
  <c r="M265" i="70"/>
  <c r="S265" i="70" l="1"/>
  <c r="P265" i="70"/>
  <c r="V265" i="70" l="1"/>
  <c r="H193" i="70" l="1"/>
  <c r="J234" i="70"/>
  <c r="H299" i="70"/>
  <c r="F300" i="70"/>
  <c r="J275" i="70"/>
  <c r="H263" i="70"/>
  <c r="J280" i="70"/>
  <c r="J269" i="70"/>
  <c r="J265" i="70"/>
  <c r="J255" i="70"/>
  <c r="J238" i="70"/>
  <c r="F241" i="70" l="1"/>
  <c r="F177" i="70"/>
  <c r="G265" i="70" l="1"/>
  <c r="F254" i="70"/>
  <c r="I254" i="70" s="1"/>
  <c r="L254" i="70" s="1"/>
  <c r="F253" i="70"/>
  <c r="I253" i="70" s="1"/>
  <c r="G255" i="70"/>
  <c r="F267" i="70"/>
  <c r="F266" i="70"/>
  <c r="I266" i="70" s="1"/>
  <c r="L253" i="70" l="1"/>
  <c r="I252" i="70"/>
  <c r="O254" i="70"/>
  <c r="M254" i="70"/>
  <c r="L266" i="70"/>
  <c r="G254" i="70"/>
  <c r="I267" i="70"/>
  <c r="G266" i="70"/>
  <c r="G267" i="70"/>
  <c r="J254" i="70"/>
  <c r="G253" i="70"/>
  <c r="J253" i="70"/>
  <c r="F264" i="70"/>
  <c r="F252" i="70"/>
  <c r="P254" i="70" l="1"/>
  <c r="R254" i="70"/>
  <c r="J267" i="70"/>
  <c r="L267" i="70"/>
  <c r="L264" i="70" s="1"/>
  <c r="O266" i="70"/>
  <c r="R266" i="70" s="1"/>
  <c r="U266" i="70" s="1"/>
  <c r="Y266" i="70" s="1"/>
  <c r="M266" i="70"/>
  <c r="L252" i="70"/>
  <c r="O253" i="70"/>
  <c r="R253" i="70" s="1"/>
  <c r="U253" i="70" s="1"/>
  <c r="Y253" i="70" s="1"/>
  <c r="M253" i="70"/>
  <c r="I264" i="70"/>
  <c r="J266" i="70"/>
  <c r="J252" i="70"/>
  <c r="F257" i="70"/>
  <c r="F256" i="70"/>
  <c r="F248" i="70"/>
  <c r="I248" i="70" s="1"/>
  <c r="F53" i="70"/>
  <c r="F52" i="70"/>
  <c r="U254" i="70" l="1"/>
  <c r="Y254" i="70" s="1"/>
  <c r="S254" i="70"/>
  <c r="R252" i="70"/>
  <c r="S253" i="70"/>
  <c r="S266" i="70"/>
  <c r="P253" i="70"/>
  <c r="O252" i="70"/>
  <c r="P266" i="70"/>
  <c r="O267" i="70"/>
  <c r="M267" i="70"/>
  <c r="V254" i="70" l="1"/>
  <c r="V266" i="70"/>
  <c r="U252" i="70"/>
  <c r="Y252" i="70" s="1"/>
  <c r="V253" i="70"/>
  <c r="P267" i="70"/>
  <c r="R267" i="70"/>
  <c r="S252" i="70"/>
  <c r="O264" i="70"/>
  <c r="F242" i="70"/>
  <c r="U267" i="70" l="1"/>
  <c r="Y267" i="70" s="1"/>
  <c r="V252" i="70"/>
  <c r="S267" i="70"/>
  <c r="R264" i="70"/>
  <c r="V267" i="70" l="1"/>
  <c r="U264" i="70"/>
  <c r="Y264" i="70" s="1"/>
  <c r="S264" i="70"/>
  <c r="V264" i="70" l="1"/>
  <c r="F105" i="70"/>
  <c r="F179" i="70"/>
  <c r="I179" i="70" s="1"/>
  <c r="L179" i="70" l="1"/>
  <c r="O179" i="70" s="1"/>
  <c r="R179" i="70" s="1"/>
  <c r="U179" i="70" s="1"/>
  <c r="Y179" i="70" s="1"/>
  <c r="S179" i="70" l="1"/>
  <c r="V179" i="70" l="1"/>
  <c r="F65" i="70" l="1"/>
  <c r="F135" i="70"/>
  <c r="F283" i="70" l="1"/>
  <c r="F198" i="70" l="1"/>
  <c r="F75" i="70"/>
  <c r="I75" i="70" s="1"/>
  <c r="J75" i="70" l="1"/>
  <c r="L75" i="70"/>
  <c r="F209" i="70"/>
  <c r="I209" i="70" s="1"/>
  <c r="F223" i="70"/>
  <c r="I223" i="70" s="1"/>
  <c r="F109" i="70"/>
  <c r="F110" i="70" s="1"/>
  <c r="M75" i="70" l="1"/>
  <c r="O75" i="70"/>
  <c r="P75" i="70" l="1"/>
  <c r="R75" i="70"/>
  <c r="U75" i="70" s="1"/>
  <c r="F147" i="70"/>
  <c r="I147" i="70" s="1"/>
  <c r="F44" i="70"/>
  <c r="F282" i="70"/>
  <c r="V75" i="70" l="1"/>
  <c r="Y75" i="70"/>
  <c r="S75" i="70"/>
  <c r="F219" i="70"/>
  <c r="I219" i="70" s="1"/>
  <c r="L219" i="70" s="1"/>
  <c r="O219" i="70" s="1"/>
  <c r="R219" i="70" s="1"/>
  <c r="U219" i="70" l="1"/>
  <c r="Y219" i="70" s="1"/>
  <c r="S219" i="70"/>
  <c r="V219" i="70" l="1"/>
  <c r="F60" i="70"/>
  <c r="I60" i="70" s="1"/>
  <c r="F274" i="70"/>
  <c r="I274" i="70" s="1"/>
  <c r="F268" i="70"/>
  <c r="I268" i="70" s="1"/>
  <c r="L268" i="70" s="1"/>
  <c r="M268" i="70" l="1"/>
  <c r="O268" i="70"/>
  <c r="R268" i="70" s="1"/>
  <c r="U268" i="70" s="1"/>
  <c r="Y268" i="70" s="1"/>
  <c r="S268" i="70" l="1"/>
  <c r="F237" i="70"/>
  <c r="I237" i="70" s="1"/>
  <c r="F233" i="70"/>
  <c r="I233" i="70" s="1"/>
  <c r="V268" i="70" l="1"/>
  <c r="L233" i="70"/>
  <c r="O233" i="70" s="1"/>
  <c r="R233" i="70" s="1"/>
  <c r="U233" i="70" s="1"/>
  <c r="Y233" i="70" s="1"/>
  <c r="L237" i="70"/>
  <c r="F175" i="70"/>
  <c r="F67" i="70"/>
  <c r="F115" i="70"/>
  <c r="V233" i="70" l="1"/>
  <c r="S233" i="70"/>
  <c r="F142" i="70" l="1"/>
  <c r="F262" i="70"/>
  <c r="F221" i="70"/>
  <c r="F118" i="70"/>
  <c r="F272" i="70"/>
  <c r="I272" i="70" s="1"/>
  <c r="I142" i="70" l="1"/>
  <c r="F203" i="70"/>
  <c r="G204" i="70"/>
  <c r="G234" i="70"/>
  <c r="G238" i="70"/>
  <c r="G275" i="70"/>
  <c r="G269" i="70"/>
  <c r="F279" i="70"/>
  <c r="I279" i="70" s="1"/>
  <c r="G203" i="70" l="1"/>
  <c r="I203" i="70"/>
  <c r="F202" i="70"/>
  <c r="J203" i="70" l="1"/>
  <c r="L203" i="70"/>
  <c r="O203" i="70" s="1"/>
  <c r="R203" i="70" s="1"/>
  <c r="I202" i="70"/>
  <c r="G280" i="70"/>
  <c r="F276" i="70"/>
  <c r="U203" i="70" l="1"/>
  <c r="Y203" i="70" s="1"/>
  <c r="S203" i="70"/>
  <c r="R202" i="70"/>
  <c r="L202" i="70"/>
  <c r="M203" i="70"/>
  <c r="F278" i="70"/>
  <c r="F244" i="70"/>
  <c r="I244" i="70" s="1"/>
  <c r="F232" i="70"/>
  <c r="F236" i="70"/>
  <c r="F240" i="70"/>
  <c r="I240" i="70" s="1"/>
  <c r="V203" i="70" l="1"/>
  <c r="U202" i="70"/>
  <c r="L240" i="70"/>
  <c r="L244" i="70"/>
  <c r="P203" i="70"/>
  <c r="O202" i="70"/>
  <c r="S202" i="70" s="1"/>
  <c r="F231" i="70"/>
  <c r="I232" i="70"/>
  <c r="F235" i="70"/>
  <c r="I236" i="70"/>
  <c r="F277" i="70"/>
  <c r="G277" i="70" s="1"/>
  <c r="I278" i="70"/>
  <c r="F106" i="70"/>
  <c r="V202" i="70" l="1"/>
  <c r="Y202" i="70"/>
  <c r="L278" i="70"/>
  <c r="L232" i="70"/>
  <c r="L231" i="70" s="1"/>
  <c r="L236" i="70"/>
  <c r="L235" i="70" s="1"/>
  <c r="F285" i="70"/>
  <c r="I285" i="70" s="1"/>
  <c r="F289" i="70"/>
  <c r="F222" i="70"/>
  <c r="F294" i="70"/>
  <c r="F217" i="70" l="1"/>
  <c r="F149" i="70" l="1"/>
  <c r="F292" i="70"/>
  <c r="G292" i="70" l="1"/>
  <c r="I292" i="70"/>
  <c r="L292" i="70" s="1"/>
  <c r="F273" i="70"/>
  <c r="F271" i="70"/>
  <c r="I271" i="70" s="1"/>
  <c r="F259" i="70"/>
  <c r="I259" i="70" s="1"/>
  <c r="F170" i="70"/>
  <c r="F171" i="70"/>
  <c r="F169" i="70"/>
  <c r="F166" i="70"/>
  <c r="F167" i="70"/>
  <c r="F168" i="70"/>
  <c r="F165" i="70"/>
  <c r="F162" i="70"/>
  <c r="F163" i="70"/>
  <c r="F164" i="70"/>
  <c r="F158" i="70"/>
  <c r="F155" i="70"/>
  <c r="I155" i="70" s="1"/>
  <c r="F74" i="70"/>
  <c r="G75" i="70"/>
  <c r="F73" i="70"/>
  <c r="F70" i="70"/>
  <c r="F71" i="70"/>
  <c r="F72" i="70"/>
  <c r="G59" i="70"/>
  <c r="F56" i="70"/>
  <c r="I56" i="70" s="1"/>
  <c r="F55" i="70"/>
  <c r="I55" i="70" s="1"/>
  <c r="F38" i="70"/>
  <c r="I38" i="70" s="1"/>
  <c r="L155" i="70" l="1"/>
  <c r="O155" i="70" s="1"/>
  <c r="R155" i="70" s="1"/>
  <c r="U155" i="70" s="1"/>
  <c r="Y155" i="70" s="1"/>
  <c r="O292" i="70"/>
  <c r="R292" i="70" s="1"/>
  <c r="M292" i="70"/>
  <c r="L38" i="70"/>
  <c r="O38" i="70" s="1"/>
  <c r="R38" i="70" s="1"/>
  <c r="U38" i="70" s="1"/>
  <c r="Y38" i="70" s="1"/>
  <c r="J292" i="70"/>
  <c r="G73" i="70"/>
  <c r="I73" i="70"/>
  <c r="G163" i="70"/>
  <c r="I163" i="70"/>
  <c r="G72" i="70"/>
  <c r="I72" i="70"/>
  <c r="G71" i="70"/>
  <c r="I71" i="70"/>
  <c r="G167" i="70"/>
  <c r="I167" i="70"/>
  <c r="L167" i="70" s="1"/>
  <c r="G74" i="70"/>
  <c r="I74" i="70"/>
  <c r="G164" i="70"/>
  <c r="I164" i="70"/>
  <c r="G165" i="70"/>
  <c r="I165" i="70"/>
  <c r="G168" i="70"/>
  <c r="I168" i="70"/>
  <c r="G70" i="70"/>
  <c r="I70" i="70"/>
  <c r="G166" i="70"/>
  <c r="I166" i="70"/>
  <c r="G273" i="70"/>
  <c r="I273" i="70"/>
  <c r="L273" i="70" s="1"/>
  <c r="G162" i="70"/>
  <c r="I162" i="70"/>
  <c r="L162" i="70" s="1"/>
  <c r="U292" i="70" l="1"/>
  <c r="S38" i="70"/>
  <c r="P292" i="70"/>
  <c r="S292" i="70"/>
  <c r="S155" i="70"/>
  <c r="M162" i="70"/>
  <c r="O162" i="70"/>
  <c r="R162" i="70" s="1"/>
  <c r="J164" i="70"/>
  <c r="L164" i="70"/>
  <c r="J73" i="70"/>
  <c r="L73" i="70"/>
  <c r="O273" i="70"/>
  <c r="M273" i="70"/>
  <c r="J74" i="70"/>
  <c r="L74" i="70"/>
  <c r="J166" i="70"/>
  <c r="L166" i="70"/>
  <c r="M167" i="70"/>
  <c r="O167" i="70"/>
  <c r="J70" i="70"/>
  <c r="L70" i="70"/>
  <c r="J71" i="70"/>
  <c r="L71" i="70"/>
  <c r="J165" i="70"/>
  <c r="L165" i="70"/>
  <c r="J168" i="70"/>
  <c r="L168" i="70"/>
  <c r="J72" i="70"/>
  <c r="L72" i="70"/>
  <c r="J163" i="70"/>
  <c r="L163" i="70"/>
  <c r="J167" i="70"/>
  <c r="J162" i="70"/>
  <c r="J273" i="70"/>
  <c r="V292" i="70" l="1"/>
  <c r="Y292" i="70"/>
  <c r="U162" i="70"/>
  <c r="V155" i="70"/>
  <c r="V38" i="70"/>
  <c r="P167" i="70"/>
  <c r="R167" i="70"/>
  <c r="U167" i="70" s="1"/>
  <c r="P162" i="70"/>
  <c r="S162" i="70"/>
  <c r="P273" i="70"/>
  <c r="R273" i="70"/>
  <c r="M166" i="70"/>
  <c r="O166" i="70"/>
  <c r="M165" i="70"/>
  <c r="O165" i="70"/>
  <c r="O168" i="70"/>
  <c r="R168" i="70" s="1"/>
  <c r="U168" i="70" s="1"/>
  <c r="Y168" i="70" s="1"/>
  <c r="M168" i="70"/>
  <c r="M164" i="70"/>
  <c r="O164" i="70"/>
  <c r="M73" i="70"/>
  <c r="O73" i="70"/>
  <c r="M163" i="70"/>
  <c r="O163" i="70"/>
  <c r="R163" i="70" s="1"/>
  <c r="U163" i="70" s="1"/>
  <c r="Y163" i="70" s="1"/>
  <c r="M74" i="70"/>
  <c r="O74" i="70"/>
  <c r="M71" i="70"/>
  <c r="O71" i="70"/>
  <c r="M70" i="70"/>
  <c r="O70" i="70"/>
  <c r="R70" i="70" s="1"/>
  <c r="U70" i="70" s="1"/>
  <c r="Y70" i="70" s="1"/>
  <c r="M72" i="70"/>
  <c r="O72" i="70"/>
  <c r="V167" i="70" l="1"/>
  <c r="Y167" i="70"/>
  <c r="U273" i="70"/>
  <c r="Y273" i="70" s="1"/>
  <c r="V162" i="70"/>
  <c r="Y162" i="70"/>
  <c r="V163" i="70"/>
  <c r="V168" i="70"/>
  <c r="V70" i="70"/>
  <c r="S273" i="70"/>
  <c r="S167" i="70"/>
  <c r="P70" i="70"/>
  <c r="S70" i="70"/>
  <c r="P168" i="70"/>
  <c r="S168" i="70"/>
  <c r="P166" i="70"/>
  <c r="R166" i="70"/>
  <c r="U166" i="70" s="1"/>
  <c r="P165" i="70"/>
  <c r="R165" i="70"/>
  <c r="U165" i="70" s="1"/>
  <c r="P71" i="70"/>
  <c r="R71" i="70"/>
  <c r="U71" i="70" s="1"/>
  <c r="P74" i="70"/>
  <c r="R74" i="70"/>
  <c r="U74" i="70" s="1"/>
  <c r="P163" i="70"/>
  <c r="S163" i="70"/>
  <c r="P73" i="70"/>
  <c r="R73" i="70"/>
  <c r="U73" i="70" s="1"/>
  <c r="P72" i="70"/>
  <c r="R72" i="70"/>
  <c r="U72" i="70" s="1"/>
  <c r="P164" i="70"/>
  <c r="R164" i="70"/>
  <c r="U164" i="70" s="1"/>
  <c r="V74" i="70" l="1"/>
  <c r="Y74" i="70"/>
  <c r="V164" i="70"/>
  <c r="Y164" i="70"/>
  <c r="V165" i="70"/>
  <c r="Y165" i="70"/>
  <c r="V71" i="70"/>
  <c r="Y71" i="70"/>
  <c r="V73" i="70"/>
  <c r="Y73" i="70"/>
  <c r="V72" i="70"/>
  <c r="Y72" i="70"/>
  <c r="V273" i="70"/>
  <c r="V166" i="70"/>
  <c r="Y166" i="70"/>
  <c r="S166" i="70"/>
  <c r="S165" i="70"/>
  <c r="S72" i="70"/>
  <c r="S164" i="70"/>
  <c r="S74" i="70"/>
  <c r="S71" i="70"/>
  <c r="S73" i="70"/>
  <c r="F188" i="70" l="1"/>
  <c r="I188" i="70" s="1"/>
  <c r="F64" i="70"/>
  <c r="I64" i="70" s="1"/>
  <c r="L188" i="70" l="1"/>
  <c r="J188" i="70"/>
  <c r="G188" i="70"/>
  <c r="L64" i="70"/>
  <c r="J64" i="70"/>
  <c r="G64" i="70"/>
  <c r="O188" i="70" l="1"/>
  <c r="M188" i="70"/>
  <c r="O64" i="70"/>
  <c r="M64" i="70"/>
  <c r="P64" i="70" l="1"/>
  <c r="R64" i="70"/>
  <c r="U64" i="70" s="1"/>
  <c r="P188" i="70"/>
  <c r="R188" i="70"/>
  <c r="U188" i="70" s="1"/>
  <c r="V188" i="70" l="1"/>
  <c r="Y188" i="70"/>
  <c r="V64" i="70"/>
  <c r="S64" i="70"/>
  <c r="S188" i="70"/>
  <c r="P298" i="70" l="1"/>
  <c r="P297" i="70"/>
  <c r="O296" i="70"/>
  <c r="S296" i="70" s="1"/>
  <c r="P96" i="70"/>
  <c r="P59" i="70"/>
  <c r="P49" i="70"/>
  <c r="O47" i="70"/>
  <c r="S47" i="70" s="1"/>
  <c r="C71" i="128" l="1"/>
  <c r="C22" i="128" l="1"/>
  <c r="C65" i="128"/>
  <c r="C58" i="128" l="1"/>
  <c r="C57" i="128"/>
  <c r="B53" i="128"/>
  <c r="C83" i="128"/>
  <c r="C61" i="128"/>
  <c r="C59" i="128"/>
  <c r="C14" i="128"/>
  <c r="D53" i="128"/>
  <c r="C53" i="128"/>
  <c r="D5" i="128"/>
  <c r="C5" i="128"/>
  <c r="C81" i="128" l="1"/>
  <c r="C12" i="128" l="1"/>
  <c r="C10" i="128"/>
  <c r="C8" i="128"/>
  <c r="C11" i="128" l="1"/>
  <c r="C9" i="128"/>
  <c r="C7" i="128"/>
  <c r="C56" i="128"/>
  <c r="C66" i="128" l="1"/>
  <c r="P48" i="70" l="1"/>
  <c r="P170" i="70" l="1"/>
  <c r="M298" i="70" l="1"/>
  <c r="M297" i="70"/>
  <c r="L296" i="70"/>
  <c r="P296" i="70" s="1"/>
  <c r="M96" i="70"/>
  <c r="M59" i="70"/>
  <c r="M49" i="70"/>
  <c r="M48" i="70"/>
  <c r="L47" i="70"/>
  <c r="P47" i="70" s="1"/>
  <c r="P169" i="70" l="1"/>
  <c r="P171" i="70"/>
  <c r="M171" i="70" l="1"/>
  <c r="M170" i="70"/>
  <c r="J298" i="70" l="1"/>
  <c r="J297" i="70"/>
  <c r="J171" i="70"/>
  <c r="J170" i="70"/>
  <c r="J96" i="70"/>
  <c r="J59" i="70"/>
  <c r="J49" i="70"/>
  <c r="J48" i="70"/>
  <c r="F8" i="70"/>
  <c r="I296" i="70"/>
  <c r="M296" i="70" s="1"/>
  <c r="M169" i="70"/>
  <c r="M47" i="70"/>
  <c r="I8" i="70" l="1"/>
  <c r="L8" i="70" s="1"/>
  <c r="O8" i="70" s="1"/>
  <c r="R8" i="70" s="1"/>
  <c r="U8" i="70" s="1"/>
  <c r="Y8" i="70" s="1"/>
  <c r="J8" i="70" l="1"/>
  <c r="S8" i="70"/>
  <c r="R7" i="70"/>
  <c r="I7" i="70"/>
  <c r="V8" i="70" l="1"/>
  <c r="U7" i="70"/>
  <c r="L7" i="70"/>
  <c r="M8" i="70"/>
  <c r="B8" i="128" l="1"/>
  <c r="Y7" i="70"/>
  <c r="V7" i="70"/>
  <c r="M7" i="70"/>
  <c r="O7" i="70"/>
  <c r="P8" i="70"/>
  <c r="X140" i="70"/>
  <c r="X123" i="70"/>
  <c r="X122" i="70"/>
  <c r="X121" i="70"/>
  <c r="X113" i="70"/>
  <c r="X112" i="70"/>
  <c r="X87" i="70"/>
  <c r="D8" i="128" l="1"/>
  <c r="X42" i="70"/>
  <c r="X111" i="70"/>
  <c r="P7" i="70"/>
  <c r="S7" i="70"/>
  <c r="C64" i="128"/>
  <c r="C80" i="128"/>
  <c r="C79" i="128"/>
  <c r="C76" i="128"/>
  <c r="C75" i="128"/>
  <c r="C62" i="128"/>
  <c r="C21" i="128"/>
  <c r="C18" i="128"/>
  <c r="C13" i="128"/>
  <c r="X130" i="70"/>
  <c r="C74" i="128"/>
  <c r="X107" i="70" l="1"/>
  <c r="C77" i="128"/>
  <c r="C73" i="128"/>
  <c r="C72" i="128"/>
  <c r="C60" i="128"/>
  <c r="C55" i="128"/>
  <c r="C19" i="128"/>
  <c r="C20" i="128" s="1"/>
  <c r="C17" i="128"/>
  <c r="C16" i="128"/>
  <c r="X4" i="70" l="1"/>
  <c r="C69" i="128"/>
  <c r="C68" i="128"/>
  <c r="C78" i="128"/>
  <c r="J55" i="70"/>
  <c r="L55" i="70"/>
  <c r="O55" i="70" s="1"/>
  <c r="P55" i="70" l="1"/>
  <c r="R55" i="70"/>
  <c r="U55" i="70" s="1"/>
  <c r="C63" i="128"/>
  <c r="C67" i="128" s="1"/>
  <c r="C15" i="128"/>
  <c r="C6" i="128" s="1"/>
  <c r="C70" i="128"/>
  <c r="C82" i="128" s="1"/>
  <c r="M55" i="70"/>
  <c r="X124" i="70"/>
  <c r="X299" i="70"/>
  <c r="J271" i="70"/>
  <c r="L271" i="70"/>
  <c r="O271" i="70" s="1"/>
  <c r="J56" i="70"/>
  <c r="L56" i="70"/>
  <c r="J259" i="70"/>
  <c r="L259" i="70"/>
  <c r="O259" i="70" s="1"/>
  <c r="V55" i="70" l="1"/>
  <c r="S55" i="70"/>
  <c r="P271" i="70"/>
  <c r="R271" i="70"/>
  <c r="U271" i="70" s="1"/>
  <c r="P259" i="70"/>
  <c r="R259" i="70"/>
  <c r="U259" i="70" s="1"/>
  <c r="C54" i="128"/>
  <c r="C25" i="128"/>
  <c r="X301" i="70"/>
  <c r="M56" i="70"/>
  <c r="O56" i="70"/>
  <c r="M259" i="70"/>
  <c r="M271" i="70"/>
  <c r="V271" i="70" l="1"/>
  <c r="Y271" i="70"/>
  <c r="V259" i="70"/>
  <c r="Y259" i="70"/>
  <c r="S259" i="70"/>
  <c r="S271" i="70"/>
  <c r="X302" i="70"/>
  <c r="P56" i="70"/>
  <c r="R56" i="70"/>
  <c r="U56" i="70" s="1"/>
  <c r="C85" i="128"/>
  <c r="I282" i="70"/>
  <c r="I44" i="70"/>
  <c r="V56" i="70" l="1"/>
  <c r="Y55" i="70"/>
  <c r="S56" i="70"/>
  <c r="Y56" i="70"/>
  <c r="L282" i="70"/>
  <c r="M282" i="70" s="1"/>
  <c r="M38" i="70"/>
  <c r="J44" i="70"/>
  <c r="L44" i="70"/>
  <c r="O44" i="70" s="1"/>
  <c r="J169" i="70"/>
  <c r="I158" i="70"/>
  <c r="J282" i="70"/>
  <c r="F288" i="70"/>
  <c r="G288" i="70" s="1"/>
  <c r="F287" i="70"/>
  <c r="O282" i="70" l="1"/>
  <c r="R282" i="70" s="1"/>
  <c r="U282" i="70" s="1"/>
  <c r="Y282" i="70" s="1"/>
  <c r="P44" i="70"/>
  <c r="R44" i="70"/>
  <c r="M155" i="70"/>
  <c r="P38" i="70"/>
  <c r="P155" i="70"/>
  <c r="P282" i="70"/>
  <c r="M44" i="70"/>
  <c r="J158" i="70"/>
  <c r="L158" i="70"/>
  <c r="O158" i="70" s="1"/>
  <c r="J268" i="70"/>
  <c r="J38" i="70"/>
  <c r="I288" i="70"/>
  <c r="I283" i="70"/>
  <c r="L283" i="70" s="1"/>
  <c r="O283" i="70" s="1"/>
  <c r="R283" i="70" s="1"/>
  <c r="U283" i="70" s="1"/>
  <c r="I287" i="70"/>
  <c r="J155" i="70"/>
  <c r="I289" i="70"/>
  <c r="F258" i="70"/>
  <c r="F260" i="70"/>
  <c r="I260" i="70" s="1"/>
  <c r="F261" i="70"/>
  <c r="I261" i="70" s="1"/>
  <c r="G259" i="70"/>
  <c r="F246" i="70"/>
  <c r="I246" i="70" s="1"/>
  <c r="I242" i="70"/>
  <c r="F225" i="70"/>
  <c r="I225" i="70" s="1"/>
  <c r="F224" i="70"/>
  <c r="F210" i="70"/>
  <c r="F189" i="70"/>
  <c r="I189" i="70" s="1"/>
  <c r="F190" i="70"/>
  <c r="I190" i="70" s="1"/>
  <c r="F191" i="70"/>
  <c r="I191" i="70" s="1"/>
  <c r="F182" i="70"/>
  <c r="F183" i="70"/>
  <c r="I183" i="70" s="1"/>
  <c r="F185" i="70"/>
  <c r="F186" i="70"/>
  <c r="F187" i="70"/>
  <c r="F181" i="70"/>
  <c r="F180" i="70"/>
  <c r="I180" i="70" s="1"/>
  <c r="F173" i="70"/>
  <c r="G171" i="70"/>
  <c r="F157" i="70"/>
  <c r="F152" i="70"/>
  <c r="I152" i="70" s="1"/>
  <c r="F146" i="70"/>
  <c r="L142" i="70"/>
  <c r="O142" i="70" s="1"/>
  <c r="F139" i="70"/>
  <c r="F133" i="70"/>
  <c r="F131" i="70"/>
  <c r="S282" i="70" l="1"/>
  <c r="V283" i="70"/>
  <c r="Y283" i="70"/>
  <c r="U44" i="70"/>
  <c r="Y44" i="70" s="1"/>
  <c r="R142" i="70"/>
  <c r="U142" i="70" s="1"/>
  <c r="S283" i="70"/>
  <c r="S44" i="70"/>
  <c r="P158" i="70"/>
  <c r="R158" i="70"/>
  <c r="U158" i="70" s="1"/>
  <c r="R281" i="70"/>
  <c r="L180" i="70"/>
  <c r="L191" i="70"/>
  <c r="O191" i="70" s="1"/>
  <c r="R191" i="70" s="1"/>
  <c r="U191" i="70" s="1"/>
  <c r="Y191" i="70" s="1"/>
  <c r="L190" i="70"/>
  <c r="O190" i="70" s="1"/>
  <c r="R190" i="70" s="1"/>
  <c r="U190" i="70" s="1"/>
  <c r="Y190" i="70" s="1"/>
  <c r="G146" i="70"/>
  <c r="I146" i="70"/>
  <c r="I224" i="70"/>
  <c r="I131" i="70"/>
  <c r="I181" i="70"/>
  <c r="J181" i="70" s="1"/>
  <c r="P268" i="70"/>
  <c r="I258" i="70"/>
  <c r="F251" i="70"/>
  <c r="P142" i="70"/>
  <c r="M158" i="70"/>
  <c r="M142" i="70"/>
  <c r="L152" i="70"/>
  <c r="J261" i="70"/>
  <c r="L261" i="70"/>
  <c r="J287" i="70"/>
  <c r="L287" i="70"/>
  <c r="O287" i="70" s="1"/>
  <c r="J191" i="70"/>
  <c r="M179" i="70"/>
  <c r="M252" i="70"/>
  <c r="J225" i="70"/>
  <c r="L225" i="70"/>
  <c r="O225" i="70" s="1"/>
  <c r="J189" i="70"/>
  <c r="L189" i="70"/>
  <c r="O189" i="70" s="1"/>
  <c r="J242" i="70"/>
  <c r="L242" i="70"/>
  <c r="O242" i="70" s="1"/>
  <c r="J190" i="70"/>
  <c r="J289" i="70"/>
  <c r="L289" i="70"/>
  <c r="O289" i="70" s="1"/>
  <c r="M283" i="70"/>
  <c r="L281" i="70"/>
  <c r="J288" i="70"/>
  <c r="L288" i="70"/>
  <c r="O288" i="70" s="1"/>
  <c r="J246" i="70"/>
  <c r="L246" i="70"/>
  <c r="O246" i="70" s="1"/>
  <c r="I186" i="70"/>
  <c r="I185" i="70"/>
  <c r="L185" i="70" s="1"/>
  <c r="O185" i="70" s="1"/>
  <c r="R185" i="70" s="1"/>
  <c r="U185" i="70" s="1"/>
  <c r="I157" i="70"/>
  <c r="I256" i="70"/>
  <c r="J142" i="70"/>
  <c r="I173" i="70"/>
  <c r="J283" i="70"/>
  <c r="I281" i="70"/>
  <c r="J152" i="70"/>
  <c r="I210" i="70"/>
  <c r="L260" i="70"/>
  <c r="G179" i="70"/>
  <c r="I257" i="70"/>
  <c r="I133" i="70"/>
  <c r="O236" i="70"/>
  <c r="R236" i="70" s="1"/>
  <c r="U236" i="70" s="1"/>
  <c r="Y236" i="70" s="1"/>
  <c r="I262" i="70"/>
  <c r="I182" i="70"/>
  <c r="I139" i="70"/>
  <c r="I187" i="70"/>
  <c r="G257" i="70"/>
  <c r="G224" i="70"/>
  <c r="G256" i="70"/>
  <c r="G242" i="70"/>
  <c r="G261" i="70"/>
  <c r="G187" i="70"/>
  <c r="F178" i="70"/>
  <c r="G186" i="70"/>
  <c r="G258" i="70"/>
  <c r="G157" i="70"/>
  <c r="G246" i="70"/>
  <c r="G183" i="70"/>
  <c r="G185" i="70"/>
  <c r="G181" i="70"/>
  <c r="G191" i="70"/>
  <c r="G262" i="70"/>
  <c r="G225" i="70"/>
  <c r="G180" i="70"/>
  <c r="G190" i="70"/>
  <c r="G260" i="70"/>
  <c r="G189" i="70"/>
  <c r="S142" i="70" l="1"/>
  <c r="V158" i="70"/>
  <c r="Y158" i="70"/>
  <c r="B59" i="128"/>
  <c r="D59" i="128" s="1"/>
  <c r="Y142" i="70"/>
  <c r="V185" i="70"/>
  <c r="Y185" i="70"/>
  <c r="V44" i="70"/>
  <c r="V190" i="70"/>
  <c r="V142" i="70"/>
  <c r="V191" i="70"/>
  <c r="V282" i="70"/>
  <c r="U281" i="70"/>
  <c r="S158" i="70"/>
  <c r="R287" i="70"/>
  <c r="U287" i="70" s="1"/>
  <c r="S185" i="70"/>
  <c r="P246" i="70"/>
  <c r="R246" i="70"/>
  <c r="U246" i="70" s="1"/>
  <c r="P190" i="70"/>
  <c r="S190" i="70"/>
  <c r="P225" i="70"/>
  <c r="R225" i="70"/>
  <c r="U225" i="70" s="1"/>
  <c r="P288" i="70"/>
  <c r="R288" i="70"/>
  <c r="U288" i="70" s="1"/>
  <c r="P191" i="70"/>
  <c r="S191" i="70"/>
  <c r="P189" i="70"/>
  <c r="R189" i="70"/>
  <c r="U189" i="70" s="1"/>
  <c r="S236" i="70"/>
  <c r="P242" i="70"/>
  <c r="R242" i="70"/>
  <c r="U242" i="70" s="1"/>
  <c r="P289" i="70"/>
  <c r="R289" i="70"/>
  <c r="U289" i="70" s="1"/>
  <c r="L146" i="70"/>
  <c r="O146" i="70" s="1"/>
  <c r="I251" i="70"/>
  <c r="L181" i="70"/>
  <c r="O181" i="70" s="1"/>
  <c r="R181" i="70" s="1"/>
  <c r="U181" i="70" s="1"/>
  <c r="Y181" i="70" s="1"/>
  <c r="L139" i="70"/>
  <c r="O139" i="70" s="1"/>
  <c r="L257" i="70"/>
  <c r="O257" i="70" s="1"/>
  <c r="J258" i="70"/>
  <c r="P185" i="70"/>
  <c r="L131" i="70"/>
  <c r="O131" i="70" s="1"/>
  <c r="L224" i="70"/>
  <c r="J224" i="70"/>
  <c r="L258" i="70"/>
  <c r="O152" i="70"/>
  <c r="P252" i="70"/>
  <c r="P283" i="70"/>
  <c r="O281" i="70"/>
  <c r="P179" i="70"/>
  <c r="P287" i="70"/>
  <c r="M261" i="70"/>
  <c r="O261" i="70"/>
  <c r="O260" i="70"/>
  <c r="R260" i="70" s="1"/>
  <c r="U260" i="70" s="1"/>
  <c r="Y260" i="70" s="1"/>
  <c r="M288" i="70"/>
  <c r="M225" i="70"/>
  <c r="M242" i="70"/>
  <c r="M281" i="70"/>
  <c r="M289" i="70"/>
  <c r="M191" i="70"/>
  <c r="M189" i="70"/>
  <c r="M152" i="70"/>
  <c r="M190" i="70"/>
  <c r="M246" i="70"/>
  <c r="M287" i="70"/>
  <c r="M236" i="70"/>
  <c r="J186" i="70"/>
  <c r="L186" i="70"/>
  <c r="O186" i="70" s="1"/>
  <c r="J183" i="70"/>
  <c r="L183" i="70"/>
  <c r="O183" i="70" s="1"/>
  <c r="J260" i="70"/>
  <c r="M260" i="70"/>
  <c r="J187" i="70"/>
  <c r="L187" i="70"/>
  <c r="O187" i="70" s="1"/>
  <c r="J257" i="70"/>
  <c r="J157" i="70"/>
  <c r="L157" i="70"/>
  <c r="J133" i="70"/>
  <c r="L133" i="70"/>
  <c r="O133" i="70" s="1"/>
  <c r="J210" i="70"/>
  <c r="L210" i="70"/>
  <c r="O210" i="70" s="1"/>
  <c r="J182" i="70"/>
  <c r="L182" i="70"/>
  <c r="O182" i="70" s="1"/>
  <c r="R182" i="70" s="1"/>
  <c r="J180" i="70"/>
  <c r="J185" i="70"/>
  <c r="M185" i="70"/>
  <c r="J139" i="70"/>
  <c r="J262" i="70"/>
  <c r="L262" i="70"/>
  <c r="O262" i="70" s="1"/>
  <c r="J146" i="70"/>
  <c r="J256" i="70"/>
  <c r="L256" i="70"/>
  <c r="J173" i="70"/>
  <c r="L173" i="70"/>
  <c r="O173" i="70" s="1"/>
  <c r="R173" i="70" s="1"/>
  <c r="U173" i="70" s="1"/>
  <c r="Y173" i="70" s="1"/>
  <c r="J131" i="70"/>
  <c r="J236" i="70"/>
  <c r="J264" i="70"/>
  <c r="J179" i="70"/>
  <c r="I178" i="70"/>
  <c r="V288" i="70" l="1"/>
  <c r="Y288" i="70"/>
  <c r="V281" i="70"/>
  <c r="B79" i="128"/>
  <c r="D79" i="128" s="1"/>
  <c r="Y281" i="70"/>
  <c r="V242" i="70"/>
  <c r="Y242" i="70"/>
  <c r="V225" i="70"/>
  <c r="Y225" i="70"/>
  <c r="V289" i="70"/>
  <c r="Y289" i="70"/>
  <c r="V246" i="70"/>
  <c r="Y246" i="70"/>
  <c r="V189" i="70"/>
  <c r="Y189" i="70"/>
  <c r="V287" i="70"/>
  <c r="B81" i="128"/>
  <c r="D81" i="128" s="1"/>
  <c r="Y287" i="70"/>
  <c r="V181" i="70"/>
  <c r="U182" i="70"/>
  <c r="V260" i="70"/>
  <c r="V236" i="70"/>
  <c r="R186" i="70"/>
  <c r="U186" i="70" s="1"/>
  <c r="Y186" i="70" s="1"/>
  <c r="S289" i="70"/>
  <c r="S242" i="70"/>
  <c r="S246" i="70"/>
  <c r="S225" i="70"/>
  <c r="S189" i="70"/>
  <c r="S287" i="70"/>
  <c r="S288" i="70"/>
  <c r="R187" i="70"/>
  <c r="U187" i="70" s="1"/>
  <c r="Y187" i="70" s="1"/>
  <c r="P281" i="70"/>
  <c r="R262" i="70"/>
  <c r="U262" i="70" s="1"/>
  <c r="P182" i="70"/>
  <c r="S182" i="70"/>
  <c r="P173" i="70"/>
  <c r="P146" i="70"/>
  <c r="R146" i="70"/>
  <c r="U146" i="70" s="1"/>
  <c r="P210" i="70"/>
  <c r="R210" i="70"/>
  <c r="U210" i="70" s="1"/>
  <c r="P183" i="70"/>
  <c r="R183" i="70"/>
  <c r="U183" i="70" s="1"/>
  <c r="P152" i="70"/>
  <c r="R152" i="70"/>
  <c r="U152" i="70" s="1"/>
  <c r="P139" i="70"/>
  <c r="R139" i="70"/>
  <c r="U139" i="70" s="1"/>
  <c r="P133" i="70"/>
  <c r="R133" i="70"/>
  <c r="U133" i="70" s="1"/>
  <c r="P260" i="70"/>
  <c r="S260" i="70"/>
  <c r="P181" i="70"/>
  <c r="S181" i="70"/>
  <c r="P261" i="70"/>
  <c r="R261" i="70"/>
  <c r="U261" i="70" s="1"/>
  <c r="V261" i="70" s="1"/>
  <c r="S281" i="70"/>
  <c r="P257" i="70"/>
  <c r="R257" i="70"/>
  <c r="P131" i="70"/>
  <c r="R131" i="70"/>
  <c r="M131" i="70"/>
  <c r="L251" i="70"/>
  <c r="M181" i="70"/>
  <c r="M224" i="70"/>
  <c r="O224" i="70"/>
  <c r="B66" i="128"/>
  <c r="O258" i="70"/>
  <c r="J251" i="70"/>
  <c r="J178" i="70"/>
  <c r="M258" i="70"/>
  <c r="M264" i="70"/>
  <c r="P262" i="70"/>
  <c r="P187" i="70"/>
  <c r="P186" i="70"/>
  <c r="O256" i="70"/>
  <c r="R256" i="70" s="1"/>
  <c r="P264" i="70"/>
  <c r="P236" i="70"/>
  <c r="O180" i="70"/>
  <c r="R180" i="70" s="1"/>
  <c r="U180" i="70" s="1"/>
  <c r="Y180" i="70" s="1"/>
  <c r="M157" i="70"/>
  <c r="O157" i="70"/>
  <c r="M187" i="70"/>
  <c r="M182" i="70"/>
  <c r="M262" i="70"/>
  <c r="M183" i="70"/>
  <c r="M133" i="70"/>
  <c r="M186" i="70"/>
  <c r="M257" i="70"/>
  <c r="M146" i="70"/>
  <c r="M210" i="70"/>
  <c r="M139" i="70"/>
  <c r="M173" i="70"/>
  <c r="M180" i="70"/>
  <c r="L178" i="70"/>
  <c r="M256" i="70"/>
  <c r="F62" i="70"/>
  <c r="F63" i="70"/>
  <c r="I63" i="70" s="1"/>
  <c r="L63" i="70" s="1"/>
  <c r="F123" i="70"/>
  <c r="G123" i="70" s="1"/>
  <c r="F122" i="70"/>
  <c r="F121" i="70"/>
  <c r="F120" i="70"/>
  <c r="I120" i="70" s="1"/>
  <c r="F119" i="70"/>
  <c r="I119" i="70" s="1"/>
  <c r="I118" i="70"/>
  <c r="F117" i="70"/>
  <c r="I117" i="70" s="1"/>
  <c r="F116" i="70"/>
  <c r="I116" i="70" s="1"/>
  <c r="I115" i="70"/>
  <c r="F114" i="70"/>
  <c r="I114" i="70" s="1"/>
  <c r="F113" i="70"/>
  <c r="F112" i="70"/>
  <c r="G96" i="70"/>
  <c r="G49" i="70"/>
  <c r="G48" i="70"/>
  <c r="F21" i="70"/>
  <c r="I21" i="70" s="1"/>
  <c r="F83" i="70"/>
  <c r="I83" i="70" s="1"/>
  <c r="F84" i="70"/>
  <c r="I84" i="70" s="1"/>
  <c r="F85" i="70"/>
  <c r="F86" i="70"/>
  <c r="I86" i="70" s="1"/>
  <c r="F87" i="70"/>
  <c r="I87" i="70" s="1"/>
  <c r="I65" i="70"/>
  <c r="L65" i="70" s="1"/>
  <c r="I52" i="70"/>
  <c r="U257" i="70" l="1"/>
  <c r="Y257" i="70" s="1"/>
  <c r="V262" i="70"/>
  <c r="Y262" i="70"/>
  <c r="V182" i="70"/>
  <c r="Y182" i="70"/>
  <c r="V183" i="70"/>
  <c r="Y183" i="70"/>
  <c r="V210" i="70"/>
  <c r="Y210" i="70"/>
  <c r="V146" i="70"/>
  <c r="Y146" i="70"/>
  <c r="V139" i="70"/>
  <c r="Y139" i="70"/>
  <c r="V152" i="70"/>
  <c r="Y152" i="70"/>
  <c r="V133" i="70"/>
  <c r="Y133" i="70"/>
  <c r="V186" i="70"/>
  <c r="U256" i="70"/>
  <c r="Y256" i="70" s="1"/>
  <c r="U131" i="70"/>
  <c r="V173" i="70"/>
  <c r="V187" i="70"/>
  <c r="S139" i="70"/>
  <c r="S257" i="70"/>
  <c r="S262" i="70"/>
  <c r="S152" i="70"/>
  <c r="S261" i="70"/>
  <c r="S183" i="70"/>
  <c r="S187" i="70"/>
  <c r="S210" i="70"/>
  <c r="S146" i="70"/>
  <c r="S133" i="70"/>
  <c r="S186" i="70"/>
  <c r="S180" i="70"/>
  <c r="R178" i="70"/>
  <c r="P258" i="70"/>
  <c r="R258" i="70"/>
  <c r="U258" i="70" s="1"/>
  <c r="S256" i="70"/>
  <c r="P224" i="70"/>
  <c r="R224" i="70"/>
  <c r="U224" i="70" s="1"/>
  <c r="S173" i="70"/>
  <c r="S131" i="70"/>
  <c r="P157" i="70"/>
  <c r="R157" i="70"/>
  <c r="U157" i="70" s="1"/>
  <c r="V157" i="70" s="1"/>
  <c r="D66" i="128"/>
  <c r="O63" i="70"/>
  <c r="R63" i="70" s="1"/>
  <c r="U63" i="70" s="1"/>
  <c r="L21" i="70"/>
  <c r="O21" i="70" s="1"/>
  <c r="O65" i="70"/>
  <c r="I62" i="70"/>
  <c r="P180" i="70"/>
  <c r="O178" i="70"/>
  <c r="P178" i="70" s="1"/>
  <c r="P256" i="70"/>
  <c r="O251" i="70"/>
  <c r="M178" i="70"/>
  <c r="M251" i="70"/>
  <c r="J52" i="70"/>
  <c r="L52" i="70"/>
  <c r="O52" i="70" s="1"/>
  <c r="J87" i="70"/>
  <c r="L87" i="70"/>
  <c r="J114" i="70"/>
  <c r="L114" i="70"/>
  <c r="J115" i="70"/>
  <c r="L115" i="70"/>
  <c r="J116" i="70"/>
  <c r="L116" i="70"/>
  <c r="J65" i="70"/>
  <c r="J84" i="70"/>
  <c r="L84" i="70"/>
  <c r="O84" i="70" s="1"/>
  <c r="J117" i="70"/>
  <c r="L117" i="70"/>
  <c r="J83" i="70"/>
  <c r="L83" i="70"/>
  <c r="O83" i="70" s="1"/>
  <c r="J63" i="70"/>
  <c r="M63" i="70"/>
  <c r="J118" i="70"/>
  <c r="L118" i="70"/>
  <c r="J119" i="70"/>
  <c r="L119" i="70"/>
  <c r="I112" i="70"/>
  <c r="F111" i="70"/>
  <c r="I85" i="70"/>
  <c r="J21" i="70"/>
  <c r="I121" i="70"/>
  <c r="I122" i="70"/>
  <c r="I123" i="70"/>
  <c r="I113" i="70"/>
  <c r="G85" i="70"/>
  <c r="G86" i="70"/>
  <c r="G122" i="70"/>
  <c r="G121" i="70"/>
  <c r="G113" i="70"/>
  <c r="G120" i="70"/>
  <c r="G114" i="70"/>
  <c r="G116" i="70"/>
  <c r="G118" i="70"/>
  <c r="G119" i="70"/>
  <c r="G117" i="70"/>
  <c r="G87" i="70"/>
  <c r="G52" i="70"/>
  <c r="G84" i="70"/>
  <c r="G115" i="70"/>
  <c r="G83" i="70"/>
  <c r="G65" i="70"/>
  <c r="G21" i="70"/>
  <c r="G112" i="70"/>
  <c r="G63" i="70"/>
  <c r="G8" i="70"/>
  <c r="G62" i="70"/>
  <c r="V63" i="70" l="1"/>
  <c r="Y63" i="70"/>
  <c r="V224" i="70"/>
  <c r="Y224" i="70"/>
  <c r="V258" i="70"/>
  <c r="Y258" i="70"/>
  <c r="Y131" i="70"/>
  <c r="V257" i="70"/>
  <c r="V180" i="70"/>
  <c r="U178" i="70"/>
  <c r="V131" i="70"/>
  <c r="V256" i="70"/>
  <c r="U251" i="70"/>
  <c r="S63" i="70"/>
  <c r="S157" i="70"/>
  <c r="Y157" i="70"/>
  <c r="S258" i="70"/>
  <c r="P251" i="70"/>
  <c r="S224" i="70"/>
  <c r="R251" i="70"/>
  <c r="P83" i="70"/>
  <c r="R83" i="70"/>
  <c r="U83" i="70" s="1"/>
  <c r="P65" i="70"/>
  <c r="R65" i="70"/>
  <c r="U65" i="70" s="1"/>
  <c r="P52" i="70"/>
  <c r="R52" i="70"/>
  <c r="P84" i="70"/>
  <c r="R84" i="70"/>
  <c r="U84" i="70" s="1"/>
  <c r="P21" i="70"/>
  <c r="R21" i="70"/>
  <c r="U21" i="70" s="1"/>
  <c r="S178" i="70"/>
  <c r="P63" i="70"/>
  <c r="M21" i="70"/>
  <c r="L112" i="70"/>
  <c r="O112" i="70" s="1"/>
  <c r="R112" i="70" s="1"/>
  <c r="M65" i="70"/>
  <c r="L62" i="70"/>
  <c r="O62" i="70" s="1"/>
  <c r="R62" i="70" s="1"/>
  <c r="U62" i="70" s="1"/>
  <c r="O122" i="70"/>
  <c r="J62" i="70"/>
  <c r="O114" i="70"/>
  <c r="R114" i="70" s="1"/>
  <c r="U114" i="70" s="1"/>
  <c r="Y114" i="70" s="1"/>
  <c r="O115" i="70"/>
  <c r="O119" i="70"/>
  <c r="M87" i="70"/>
  <c r="O87" i="70"/>
  <c r="O117" i="70"/>
  <c r="O116" i="70"/>
  <c r="O118" i="70"/>
  <c r="M84" i="70"/>
  <c r="J112" i="70"/>
  <c r="M116" i="70"/>
  <c r="M114" i="70"/>
  <c r="M52" i="70"/>
  <c r="M83" i="70"/>
  <c r="M117" i="70"/>
  <c r="M115" i="70"/>
  <c r="M119" i="70"/>
  <c r="M118" i="70"/>
  <c r="J120" i="70"/>
  <c r="L120" i="70"/>
  <c r="J123" i="70"/>
  <c r="L123" i="70"/>
  <c r="J86" i="70"/>
  <c r="L86" i="70"/>
  <c r="O86" i="70" s="1"/>
  <c r="J85" i="70"/>
  <c r="L85" i="70"/>
  <c r="O85" i="70" s="1"/>
  <c r="J113" i="70"/>
  <c r="L113" i="70"/>
  <c r="J122" i="70"/>
  <c r="J121" i="70"/>
  <c r="L121" i="70"/>
  <c r="I111" i="70"/>
  <c r="G111" i="70"/>
  <c r="V178" i="70" l="1"/>
  <c r="Y178" i="70"/>
  <c r="V83" i="70"/>
  <c r="Y83" i="70"/>
  <c r="V84" i="70"/>
  <c r="Y84" i="70"/>
  <c r="V21" i="70"/>
  <c r="Y21" i="70"/>
  <c r="U52" i="70"/>
  <c r="Y52" i="70" s="1"/>
  <c r="V62" i="70"/>
  <c r="Y62" i="70"/>
  <c r="V65" i="70"/>
  <c r="Y65" i="70"/>
  <c r="B77" i="128"/>
  <c r="D77" i="128" s="1"/>
  <c r="Y251" i="70"/>
  <c r="U112" i="70"/>
  <c r="Y112" i="70" s="1"/>
  <c r="V251" i="70"/>
  <c r="V114" i="70"/>
  <c r="P112" i="70"/>
  <c r="S84" i="70"/>
  <c r="S21" i="70"/>
  <c r="S52" i="70"/>
  <c r="S65" i="70"/>
  <c r="S62" i="70"/>
  <c r="S83" i="70"/>
  <c r="S251" i="70"/>
  <c r="M112" i="70"/>
  <c r="P114" i="70"/>
  <c r="S114" i="70"/>
  <c r="P116" i="70"/>
  <c r="R116" i="70"/>
  <c r="U116" i="70" s="1"/>
  <c r="P117" i="70"/>
  <c r="R117" i="70"/>
  <c r="U117" i="70" s="1"/>
  <c r="P122" i="70"/>
  <c r="R122" i="70"/>
  <c r="U122" i="70" s="1"/>
  <c r="P86" i="70"/>
  <c r="R86" i="70"/>
  <c r="U86" i="70" s="1"/>
  <c r="P87" i="70"/>
  <c r="R87" i="70"/>
  <c r="U87" i="70" s="1"/>
  <c r="P85" i="70"/>
  <c r="R85" i="70"/>
  <c r="U85" i="70" s="1"/>
  <c r="P118" i="70"/>
  <c r="R118" i="70"/>
  <c r="U118" i="70" s="1"/>
  <c r="P119" i="70"/>
  <c r="R119" i="70"/>
  <c r="U119" i="70" s="1"/>
  <c r="S112" i="70"/>
  <c r="P115" i="70"/>
  <c r="R115" i="70"/>
  <c r="U115" i="70" s="1"/>
  <c r="P62" i="70"/>
  <c r="M62" i="70"/>
  <c r="J111" i="70"/>
  <c r="O121" i="70"/>
  <c r="O123" i="70"/>
  <c r="O120" i="70"/>
  <c r="O113" i="70"/>
  <c r="R113" i="70" s="1"/>
  <c r="U113" i="70" s="1"/>
  <c r="M113" i="70"/>
  <c r="M85" i="70"/>
  <c r="M86" i="70"/>
  <c r="M120" i="70"/>
  <c r="M121" i="70"/>
  <c r="M123" i="70"/>
  <c r="L111" i="70"/>
  <c r="V116" i="70" l="1"/>
  <c r="Y116" i="70"/>
  <c r="V118" i="70"/>
  <c r="Y118" i="70"/>
  <c r="V85" i="70"/>
  <c r="Y85" i="70"/>
  <c r="V117" i="70"/>
  <c r="Y117" i="70"/>
  <c r="V52" i="70"/>
  <c r="V87" i="70"/>
  <c r="Y87" i="70"/>
  <c r="V86" i="70"/>
  <c r="Y86" i="70"/>
  <c r="V122" i="70"/>
  <c r="Y122" i="70"/>
  <c r="V119" i="70"/>
  <c r="Y119" i="70"/>
  <c r="V113" i="70"/>
  <c r="Y113" i="70"/>
  <c r="V115" i="70"/>
  <c r="Y115" i="70"/>
  <c r="V112" i="70"/>
  <c r="S113" i="70"/>
  <c r="S122" i="70"/>
  <c r="S117" i="70"/>
  <c r="S116" i="70"/>
  <c r="S118" i="70"/>
  <c r="S85" i="70"/>
  <c r="S119" i="70"/>
  <c r="S115" i="70"/>
  <c r="S87" i="70"/>
  <c r="S86" i="70"/>
  <c r="P120" i="70"/>
  <c r="R120" i="70"/>
  <c r="U120" i="70" s="1"/>
  <c r="P123" i="70"/>
  <c r="R123" i="70"/>
  <c r="U123" i="70" s="1"/>
  <c r="P121" i="70"/>
  <c r="R121" i="70"/>
  <c r="U121" i="70" s="1"/>
  <c r="O111" i="70"/>
  <c r="P111" i="70" s="1"/>
  <c r="P113" i="70"/>
  <c r="M111" i="70"/>
  <c r="V123" i="70" l="1"/>
  <c r="Y123" i="70"/>
  <c r="V120" i="70"/>
  <c r="Y120" i="70"/>
  <c r="V121" i="70"/>
  <c r="Y121" i="70"/>
  <c r="U111" i="70"/>
  <c r="Y111" i="70" s="1"/>
  <c r="S120" i="70"/>
  <c r="S123" i="70"/>
  <c r="S121" i="70"/>
  <c r="R111" i="70"/>
  <c r="V111" i="70" l="1"/>
  <c r="S111" i="70"/>
  <c r="F197" i="70" l="1"/>
  <c r="I197" i="70" s="1"/>
  <c r="F228" i="70"/>
  <c r="I228" i="70" s="1"/>
  <c r="F227" i="70"/>
  <c r="I227" i="70" s="1"/>
  <c r="F151" i="70"/>
  <c r="I151" i="70" s="1"/>
  <c r="L151" i="70" l="1"/>
  <c r="O151" i="70" s="1"/>
  <c r="R151" i="70" s="1"/>
  <c r="L197" i="70"/>
  <c r="J227" i="70"/>
  <c r="L227" i="70"/>
  <c r="O227" i="70" s="1"/>
  <c r="J228" i="70"/>
  <c r="L228" i="70"/>
  <c r="O228" i="70" s="1"/>
  <c r="J197" i="70"/>
  <c r="J151" i="70"/>
  <c r="G227" i="70"/>
  <c r="G228" i="70"/>
  <c r="G197" i="70"/>
  <c r="G151" i="70"/>
  <c r="U151" i="70" l="1"/>
  <c r="Y151" i="70" s="1"/>
  <c r="P228" i="70"/>
  <c r="R228" i="70"/>
  <c r="U228" i="70" s="1"/>
  <c r="P227" i="70"/>
  <c r="R227" i="70"/>
  <c r="U227" i="70" s="1"/>
  <c r="S151" i="70"/>
  <c r="M151" i="70"/>
  <c r="O197" i="70"/>
  <c r="R197" i="70" s="1"/>
  <c r="U197" i="70" s="1"/>
  <c r="Y197" i="70" s="1"/>
  <c r="P151" i="70"/>
  <c r="M197" i="70"/>
  <c r="M227" i="70"/>
  <c r="M228" i="70"/>
  <c r="V227" i="70" l="1"/>
  <c r="Y227" i="70"/>
  <c r="V228" i="70"/>
  <c r="Y228" i="70"/>
  <c r="V197" i="70"/>
  <c r="V151" i="70"/>
  <c r="S227" i="70"/>
  <c r="S228" i="70"/>
  <c r="P197" i="70"/>
  <c r="S197" i="70"/>
  <c r="F47" i="70" l="1"/>
  <c r="J47" i="70" s="1"/>
  <c r="G47" i="70" l="1"/>
  <c r="L209" i="70" l="1"/>
  <c r="O209" i="70" l="1"/>
  <c r="R209" i="70" s="1"/>
  <c r="I235" i="70"/>
  <c r="M209" i="70"/>
  <c r="U209" i="70" l="1"/>
  <c r="Y209" i="70" s="1"/>
  <c r="S209" i="70"/>
  <c r="M237" i="70"/>
  <c r="O237" i="70"/>
  <c r="R237" i="70" s="1"/>
  <c r="P209" i="70"/>
  <c r="J237" i="70"/>
  <c r="J209" i="70"/>
  <c r="U237" i="70" l="1"/>
  <c r="Y237" i="70" s="1"/>
  <c r="V209" i="70"/>
  <c r="S237" i="70"/>
  <c r="R235" i="70"/>
  <c r="P237" i="70"/>
  <c r="O235" i="70"/>
  <c r="M235" i="70"/>
  <c r="V237" i="70" l="1"/>
  <c r="U235" i="70"/>
  <c r="P235" i="70"/>
  <c r="S235" i="70"/>
  <c r="V235" i="70" l="1"/>
  <c r="B73" i="128"/>
  <c r="D73" i="128" s="1"/>
  <c r="Y235" i="70"/>
  <c r="F7" i="70" l="1"/>
  <c r="J7" i="70" l="1"/>
  <c r="G7" i="70"/>
  <c r="F239" i="70" l="1"/>
  <c r="G239" i="70" s="1"/>
  <c r="I241" i="70" l="1"/>
  <c r="L241" i="70" s="1"/>
  <c r="J241" i="70" l="1"/>
  <c r="O241" i="70" l="1"/>
  <c r="R241" i="70" s="1"/>
  <c r="U241" i="70" s="1"/>
  <c r="Y241" i="70" s="1"/>
  <c r="L239" i="70"/>
  <c r="M241" i="70"/>
  <c r="V241" i="70" l="1"/>
  <c r="P241" i="70"/>
  <c r="S241" i="70"/>
  <c r="F295" i="70" l="1"/>
  <c r="F291" i="70"/>
  <c r="F290" i="70"/>
  <c r="G287" i="70"/>
  <c r="F286" i="70"/>
  <c r="I286" i="70" s="1"/>
  <c r="F281" i="70"/>
  <c r="F270" i="70"/>
  <c r="G252" i="70"/>
  <c r="F250" i="70"/>
  <c r="F249" i="70"/>
  <c r="F245" i="70"/>
  <c r="I245" i="70" s="1"/>
  <c r="O244" i="70"/>
  <c r="R244" i="70" s="1"/>
  <c r="U244" i="70" s="1"/>
  <c r="Y244" i="70" s="1"/>
  <c r="F230" i="70"/>
  <c r="F216" i="70"/>
  <c r="F214" i="70"/>
  <c r="F212" i="70"/>
  <c r="F211" i="70"/>
  <c r="F206" i="70"/>
  <c r="F205" i="70"/>
  <c r="F201" i="70"/>
  <c r="F200" i="70"/>
  <c r="I200" i="70" s="1"/>
  <c r="F199" i="70"/>
  <c r="F196" i="70"/>
  <c r="F195" i="70"/>
  <c r="F194" i="70"/>
  <c r="G178" i="70"/>
  <c r="F174" i="70"/>
  <c r="I174" i="70" s="1"/>
  <c r="F161" i="70"/>
  <c r="F160" i="70"/>
  <c r="F159" i="70"/>
  <c r="I159" i="70" s="1"/>
  <c r="L159" i="70" s="1"/>
  <c r="O159" i="70" s="1"/>
  <c r="F156" i="70"/>
  <c r="F153" i="70"/>
  <c r="F145" i="70"/>
  <c r="F141" i="70"/>
  <c r="I141" i="70" s="1"/>
  <c r="G139" i="70"/>
  <c r="F138" i="70"/>
  <c r="F137" i="70"/>
  <c r="F136" i="70"/>
  <c r="I136" i="70" s="1"/>
  <c r="F134" i="70"/>
  <c r="F132" i="70"/>
  <c r="I110" i="70"/>
  <c r="I109" i="70"/>
  <c r="I106" i="70"/>
  <c r="I105" i="70"/>
  <c r="F104" i="70"/>
  <c r="I104" i="70" s="1"/>
  <c r="F103" i="70"/>
  <c r="I103" i="70" s="1"/>
  <c r="F101" i="70"/>
  <c r="I101" i="70" s="1"/>
  <c r="F100" i="70"/>
  <c r="I100" i="70" s="1"/>
  <c r="F99" i="70"/>
  <c r="I99" i="70" s="1"/>
  <c r="F97" i="70"/>
  <c r="I97" i="70" s="1"/>
  <c r="L97" i="70" s="1"/>
  <c r="O97" i="70" s="1"/>
  <c r="R97" i="70" s="1"/>
  <c r="F94" i="70"/>
  <c r="I94" i="70" s="1"/>
  <c r="F93" i="70"/>
  <c r="I93" i="70" s="1"/>
  <c r="F90" i="70"/>
  <c r="I90" i="70" s="1"/>
  <c r="F89" i="70"/>
  <c r="I89" i="70" s="1"/>
  <c r="F82" i="70"/>
  <c r="F81" i="70"/>
  <c r="I81" i="70" s="1"/>
  <c r="F80" i="70"/>
  <c r="I80" i="70" s="1"/>
  <c r="F79" i="70"/>
  <c r="I79" i="70" s="1"/>
  <c r="F78" i="70"/>
  <c r="I78" i="70" s="1"/>
  <c r="F77" i="70"/>
  <c r="I77" i="70" s="1"/>
  <c r="F76" i="70"/>
  <c r="I76" i="70" s="1"/>
  <c r="F69" i="70"/>
  <c r="I69" i="70" s="1"/>
  <c r="F68" i="70"/>
  <c r="I68" i="70" s="1"/>
  <c r="I67" i="70"/>
  <c r="F61" i="70"/>
  <c r="I61" i="70" s="1"/>
  <c r="L60" i="70"/>
  <c r="F58" i="70"/>
  <c r="I58" i="70" s="1"/>
  <c r="F57" i="70"/>
  <c r="I57" i="70" s="1"/>
  <c r="G56" i="70"/>
  <c r="G55" i="70"/>
  <c r="F54" i="70"/>
  <c r="I54" i="70" s="1"/>
  <c r="I53" i="70"/>
  <c r="F51" i="70"/>
  <c r="I51" i="70" s="1"/>
  <c r="F46" i="70"/>
  <c r="I46" i="70" s="1"/>
  <c r="F45" i="70"/>
  <c r="I45" i="70" s="1"/>
  <c r="G44" i="70"/>
  <c r="F41" i="70"/>
  <c r="I41" i="70" s="1"/>
  <c r="F40" i="70"/>
  <c r="I40" i="70" s="1"/>
  <c r="F39" i="70"/>
  <c r="I39" i="70" s="1"/>
  <c r="G38" i="70"/>
  <c r="F36" i="70"/>
  <c r="I36" i="70" s="1"/>
  <c r="F35" i="70"/>
  <c r="I35" i="70" s="1"/>
  <c r="F33" i="70"/>
  <c r="I33" i="70" s="1"/>
  <c r="F32" i="70"/>
  <c r="I32" i="70" s="1"/>
  <c r="F31" i="70"/>
  <c r="I31" i="70" s="1"/>
  <c r="F30" i="70"/>
  <c r="I30" i="70" s="1"/>
  <c r="F29" i="70"/>
  <c r="I29" i="70" s="1"/>
  <c r="F28" i="70"/>
  <c r="I28" i="70" s="1"/>
  <c r="F26" i="70"/>
  <c r="I26" i="70" s="1"/>
  <c r="F25" i="70"/>
  <c r="I25" i="70" s="1"/>
  <c r="F24" i="70"/>
  <c r="I24" i="70" s="1"/>
  <c r="F20" i="70"/>
  <c r="G298" i="70"/>
  <c r="G297" i="70"/>
  <c r="G283" i="70"/>
  <c r="G264" i="70"/>
  <c r="G241" i="70"/>
  <c r="G237" i="70"/>
  <c r="G236" i="70"/>
  <c r="G210" i="70"/>
  <c r="G209" i="70"/>
  <c r="G173" i="70"/>
  <c r="G169" i="70"/>
  <c r="G152" i="70"/>
  <c r="G133" i="70"/>
  <c r="G131" i="70"/>
  <c r="F18" i="70"/>
  <c r="I18" i="70" s="1"/>
  <c r="F17" i="70"/>
  <c r="I17" i="70" s="1"/>
  <c r="F15" i="70"/>
  <c r="I15" i="70" s="1"/>
  <c r="F14" i="70"/>
  <c r="I14" i="70" s="1"/>
  <c r="F12" i="70"/>
  <c r="I12" i="70" s="1"/>
  <c r="F11" i="70"/>
  <c r="F296" i="70"/>
  <c r="J296" i="70" s="1"/>
  <c r="U97" i="70" l="1"/>
  <c r="Y97" i="70" s="1"/>
  <c r="I11" i="70"/>
  <c r="I138" i="70"/>
  <c r="R159" i="70"/>
  <c r="U159" i="70" s="1"/>
  <c r="R95" i="70"/>
  <c r="S97" i="70"/>
  <c r="S244" i="70"/>
  <c r="L105" i="70"/>
  <c r="O105" i="70" s="1"/>
  <c r="L41" i="70"/>
  <c r="AA40" i="70"/>
  <c r="L245" i="70"/>
  <c r="L243" i="70" s="1"/>
  <c r="L24" i="70"/>
  <c r="O24" i="70" s="1"/>
  <c r="R24" i="70" s="1"/>
  <c r="L39" i="70"/>
  <c r="O39" i="70" s="1"/>
  <c r="R39" i="70" s="1"/>
  <c r="U39" i="70" s="1"/>
  <c r="Y39" i="70" s="1"/>
  <c r="L15" i="70"/>
  <c r="O15" i="70" s="1"/>
  <c r="L89" i="70"/>
  <c r="O89" i="70" s="1"/>
  <c r="R89" i="70" s="1"/>
  <c r="U89" i="70" s="1"/>
  <c r="Y89" i="70" s="1"/>
  <c r="L109" i="70"/>
  <c r="O109" i="70" s="1"/>
  <c r="R109" i="70" s="1"/>
  <c r="F263" i="70"/>
  <c r="I270" i="70"/>
  <c r="L17" i="70"/>
  <c r="O17" i="70" s="1"/>
  <c r="R17" i="70" s="1"/>
  <c r="L28" i="70"/>
  <c r="O28" i="70" s="1"/>
  <c r="R28" i="70" s="1"/>
  <c r="L93" i="70"/>
  <c r="O93" i="70" s="1"/>
  <c r="R93" i="70" s="1"/>
  <c r="U93" i="70" s="1"/>
  <c r="Y93" i="70" s="1"/>
  <c r="L174" i="70"/>
  <c r="M174" i="70" s="1"/>
  <c r="L99" i="70"/>
  <c r="O99" i="70" s="1"/>
  <c r="R99" i="70" s="1"/>
  <c r="U99" i="70" s="1"/>
  <c r="Y99" i="70" s="1"/>
  <c r="L51" i="70"/>
  <c r="M51" i="70" s="1"/>
  <c r="L11" i="70"/>
  <c r="O11" i="70" s="1"/>
  <c r="R11" i="70" s="1"/>
  <c r="L35" i="70"/>
  <c r="O35" i="70" s="1"/>
  <c r="R35" i="70" s="1"/>
  <c r="U35" i="70" s="1"/>
  <c r="Y35" i="70" s="1"/>
  <c r="L103" i="70"/>
  <c r="O103" i="70" s="1"/>
  <c r="R103" i="70" s="1"/>
  <c r="I82" i="70"/>
  <c r="J82" i="70" s="1"/>
  <c r="I194" i="70"/>
  <c r="F193" i="70"/>
  <c r="F192" i="70" s="1"/>
  <c r="I145" i="70"/>
  <c r="L145" i="70" s="1"/>
  <c r="I153" i="70"/>
  <c r="B64" i="128" s="1"/>
  <c r="I239" i="70"/>
  <c r="I156" i="70"/>
  <c r="L156" i="70" s="1"/>
  <c r="F154" i="70"/>
  <c r="P97" i="70"/>
  <c r="O95" i="70"/>
  <c r="O60" i="70"/>
  <c r="L223" i="70"/>
  <c r="L200" i="70"/>
  <c r="O200" i="70" s="1"/>
  <c r="J12" i="70"/>
  <c r="L12" i="70"/>
  <c r="J31" i="70"/>
  <c r="L31" i="70"/>
  <c r="O31" i="70" s="1"/>
  <c r="J69" i="70"/>
  <c r="L69" i="70"/>
  <c r="M89" i="70"/>
  <c r="J32" i="70"/>
  <c r="L32" i="70"/>
  <c r="O32" i="70" s="1"/>
  <c r="J33" i="70"/>
  <c r="L33" i="70"/>
  <c r="O33" i="70" s="1"/>
  <c r="J54" i="70"/>
  <c r="L54" i="70"/>
  <c r="O54" i="70" s="1"/>
  <c r="J77" i="70"/>
  <c r="L77" i="70"/>
  <c r="O77" i="70" s="1"/>
  <c r="M219" i="70"/>
  <c r="J90" i="70"/>
  <c r="L90" i="70"/>
  <c r="M35" i="70"/>
  <c r="J78" i="70"/>
  <c r="L78" i="70"/>
  <c r="O78" i="70" s="1"/>
  <c r="J94" i="70"/>
  <c r="L94" i="70"/>
  <c r="O94" i="70" s="1"/>
  <c r="R94" i="70" s="1"/>
  <c r="U94" i="70" s="1"/>
  <c r="Y94" i="70" s="1"/>
  <c r="J46" i="70"/>
  <c r="L46" i="70"/>
  <c r="O46" i="70" s="1"/>
  <c r="J14" i="70"/>
  <c r="L14" i="70"/>
  <c r="J53" i="70"/>
  <c r="L53" i="70"/>
  <c r="O53" i="70" s="1"/>
  <c r="J18" i="70"/>
  <c r="L18" i="70"/>
  <c r="O18" i="70" s="1"/>
  <c r="J36" i="70"/>
  <c r="L36" i="70"/>
  <c r="O36" i="70" s="1"/>
  <c r="J79" i="70"/>
  <c r="L79" i="70"/>
  <c r="O79" i="70" s="1"/>
  <c r="L95" i="70"/>
  <c r="M97" i="70"/>
  <c r="J106" i="70"/>
  <c r="L106" i="70"/>
  <c r="J57" i="70"/>
  <c r="L57" i="70"/>
  <c r="O57" i="70" s="1"/>
  <c r="M39" i="70"/>
  <c r="J58" i="70"/>
  <c r="L58" i="70"/>
  <c r="O58" i="70" s="1"/>
  <c r="J100" i="70"/>
  <c r="L100" i="70"/>
  <c r="O100" i="70" s="1"/>
  <c r="R100" i="70" s="1"/>
  <c r="U100" i="70" s="1"/>
  <c r="Y100" i="70" s="1"/>
  <c r="J110" i="70"/>
  <c r="L110" i="70"/>
  <c r="J25" i="70"/>
  <c r="L25" i="70"/>
  <c r="O25" i="70" s="1"/>
  <c r="J26" i="70"/>
  <c r="L26" i="70"/>
  <c r="O26" i="70" s="1"/>
  <c r="J40" i="70"/>
  <c r="L40" i="70"/>
  <c r="O40" i="70" s="1"/>
  <c r="R40" i="70" s="1"/>
  <c r="U40" i="70" s="1"/>
  <c r="Y40" i="70" s="1"/>
  <c r="J60" i="70"/>
  <c r="M60" i="70"/>
  <c r="J101" i="70"/>
  <c r="L101" i="70"/>
  <c r="O101" i="70" s="1"/>
  <c r="J41" i="70"/>
  <c r="J61" i="70"/>
  <c r="L61" i="70"/>
  <c r="J80" i="70"/>
  <c r="L80" i="70"/>
  <c r="O80" i="70" s="1"/>
  <c r="J68" i="70"/>
  <c r="L68" i="70"/>
  <c r="J76" i="70"/>
  <c r="L76" i="70"/>
  <c r="J29" i="70"/>
  <c r="L29" i="70"/>
  <c r="O29" i="70" s="1"/>
  <c r="J81" i="70"/>
  <c r="L81" i="70"/>
  <c r="O81" i="70" s="1"/>
  <c r="J104" i="70"/>
  <c r="L104" i="70"/>
  <c r="O104" i="70" s="1"/>
  <c r="J141" i="70"/>
  <c r="L141" i="70"/>
  <c r="M240" i="70"/>
  <c r="J30" i="70"/>
  <c r="L30" i="70"/>
  <c r="J45" i="70"/>
  <c r="L45" i="70"/>
  <c r="O45" i="70" s="1"/>
  <c r="J67" i="70"/>
  <c r="L67" i="70"/>
  <c r="O67" i="70" s="1"/>
  <c r="R67" i="70" s="1"/>
  <c r="J105" i="70"/>
  <c r="M244" i="70"/>
  <c r="J233" i="70"/>
  <c r="J93" i="70"/>
  <c r="I92" i="70"/>
  <c r="J11" i="70"/>
  <c r="I10" i="70"/>
  <c r="I27" i="70"/>
  <c r="L147" i="70"/>
  <c r="O147" i="70" s="1"/>
  <c r="I214" i="70"/>
  <c r="L285" i="70"/>
  <c r="I217" i="70"/>
  <c r="I290" i="70"/>
  <c r="J51" i="70"/>
  <c r="I50" i="70"/>
  <c r="J89" i="70"/>
  <c r="I88" i="70"/>
  <c r="J109" i="70"/>
  <c r="I108" i="70"/>
  <c r="I149" i="70"/>
  <c r="I195" i="70"/>
  <c r="I216" i="70"/>
  <c r="L248" i="70"/>
  <c r="I132" i="70"/>
  <c r="I221" i="70"/>
  <c r="G20" i="70"/>
  <c r="I20" i="70"/>
  <c r="L20" i="70" s="1"/>
  <c r="O20" i="70" s="1"/>
  <c r="R20" i="70" s="1"/>
  <c r="I95" i="70"/>
  <c r="J97" i="70"/>
  <c r="I135" i="70"/>
  <c r="I160" i="70"/>
  <c r="J200" i="70"/>
  <c r="I222" i="70"/>
  <c r="I294" i="70"/>
  <c r="I196" i="70"/>
  <c r="I291" i="70"/>
  <c r="J24" i="70"/>
  <c r="I23" i="70"/>
  <c r="J99" i="70"/>
  <c r="I98" i="70"/>
  <c r="L136" i="70"/>
  <c r="I161" i="70"/>
  <c r="I201" i="70"/>
  <c r="J223" i="70"/>
  <c r="L272" i="70"/>
  <c r="I295" i="70"/>
  <c r="I198" i="70"/>
  <c r="J39" i="70"/>
  <c r="I37" i="70"/>
  <c r="I137" i="70"/>
  <c r="J174" i="70"/>
  <c r="I230" i="70"/>
  <c r="I300" i="70"/>
  <c r="I13" i="70"/>
  <c r="J15" i="70"/>
  <c r="I250" i="70"/>
  <c r="L138" i="70"/>
  <c r="O138" i="70" s="1"/>
  <c r="I175" i="70"/>
  <c r="I205" i="70"/>
  <c r="O232" i="70"/>
  <c r="R232" i="70" s="1"/>
  <c r="U232" i="70" s="1"/>
  <c r="Y232" i="70" s="1"/>
  <c r="I276" i="70"/>
  <c r="I249" i="70"/>
  <c r="J17" i="70"/>
  <c r="I16" i="70"/>
  <c r="I199" i="70"/>
  <c r="J28" i="70"/>
  <c r="J103" i="70"/>
  <c r="I102" i="70"/>
  <c r="I177" i="70"/>
  <c r="I206" i="70"/>
  <c r="J35" i="70"/>
  <c r="I34" i="70"/>
  <c r="I134" i="70"/>
  <c r="J235" i="70"/>
  <c r="I211" i="70"/>
  <c r="J240" i="70"/>
  <c r="I212" i="70"/>
  <c r="J244" i="70"/>
  <c r="J281" i="70"/>
  <c r="G106" i="70"/>
  <c r="G89" i="70"/>
  <c r="G109" i="70"/>
  <c r="G14" i="70"/>
  <c r="G32" i="70"/>
  <c r="G53" i="70"/>
  <c r="G76" i="70"/>
  <c r="G90" i="70"/>
  <c r="G110" i="70"/>
  <c r="G15" i="70"/>
  <c r="G33" i="70"/>
  <c r="G54" i="70"/>
  <c r="G77" i="70"/>
  <c r="G93" i="70"/>
  <c r="G11" i="70"/>
  <c r="G69" i="70"/>
  <c r="G17" i="70"/>
  <c r="G35" i="70"/>
  <c r="G78" i="70"/>
  <c r="G94" i="70"/>
  <c r="G31" i="70"/>
  <c r="G18" i="70"/>
  <c r="G36" i="70"/>
  <c r="G79" i="70"/>
  <c r="G97" i="70"/>
  <c r="G68" i="70"/>
  <c r="G24" i="70"/>
  <c r="G57" i="70"/>
  <c r="G99" i="70"/>
  <c r="G46" i="70"/>
  <c r="G12" i="70"/>
  <c r="G25" i="70"/>
  <c r="G39" i="70"/>
  <c r="G58" i="70"/>
  <c r="G100" i="70"/>
  <c r="F172" i="70"/>
  <c r="G26" i="70"/>
  <c r="G40" i="70"/>
  <c r="G60" i="70"/>
  <c r="G101" i="70"/>
  <c r="G82" i="70"/>
  <c r="G51" i="70"/>
  <c r="G28" i="70"/>
  <c r="G41" i="70"/>
  <c r="G61" i="70"/>
  <c r="G80" i="70"/>
  <c r="G103" i="70"/>
  <c r="G233" i="70"/>
  <c r="G29" i="70"/>
  <c r="G81" i="70"/>
  <c r="G104" i="70"/>
  <c r="G30" i="70"/>
  <c r="G45" i="70"/>
  <c r="G67" i="70"/>
  <c r="G105" i="70"/>
  <c r="F144" i="70"/>
  <c r="F243" i="70"/>
  <c r="F66" i="70"/>
  <c r="F102" i="70"/>
  <c r="F218" i="70"/>
  <c r="F208" i="70"/>
  <c r="G145" i="70"/>
  <c r="G144" i="70" s="1"/>
  <c r="G279" i="70"/>
  <c r="G149" i="70"/>
  <c r="G153" i="70"/>
  <c r="G232" i="70"/>
  <c r="G195" i="70"/>
  <c r="G282" i="70"/>
  <c r="G285" i="70"/>
  <c r="G141" i="70"/>
  <c r="G286" i="70"/>
  <c r="F284" i="70"/>
  <c r="G216" i="70"/>
  <c r="G240" i="70"/>
  <c r="G200" i="70"/>
  <c r="G300" i="70"/>
  <c r="G170" i="70"/>
  <c r="G270" i="70"/>
  <c r="G291" i="70"/>
  <c r="G294" i="70"/>
  <c r="F95" i="70"/>
  <c r="G274" i="70"/>
  <c r="G276" i="70"/>
  <c r="G205" i="70"/>
  <c r="G175" i="70"/>
  <c r="G248" i="70"/>
  <c r="G147" i="70"/>
  <c r="G177" i="70"/>
  <c r="G249" i="70"/>
  <c r="F247" i="70"/>
  <c r="G278" i="70"/>
  <c r="G250" i="70"/>
  <c r="G222" i="70"/>
  <c r="F13" i="70"/>
  <c r="G134" i="70"/>
  <c r="F88" i="70"/>
  <c r="G194" i="70"/>
  <c r="G230" i="70"/>
  <c r="G290" i="70"/>
  <c r="G244" i="70"/>
  <c r="G217" i="70"/>
  <c r="F215" i="70"/>
  <c r="G289" i="70"/>
  <c r="G199" i="70"/>
  <c r="G211" i="70"/>
  <c r="G214" i="70"/>
  <c r="G221" i="70"/>
  <c r="G223" i="70"/>
  <c r="G268" i="70"/>
  <c r="G202" i="70"/>
  <c r="G174" i="70"/>
  <c r="G219" i="70"/>
  <c r="F148" i="70"/>
  <c r="G142" i="70"/>
  <c r="F34" i="70"/>
  <c r="G245" i="70"/>
  <c r="G295" i="70"/>
  <c r="F16" i="70"/>
  <c r="F10" i="70"/>
  <c r="G198" i="70"/>
  <c r="G206" i="70"/>
  <c r="G212" i="70"/>
  <c r="G272" i="70"/>
  <c r="F92" i="70"/>
  <c r="F108" i="70"/>
  <c r="G182" i="70"/>
  <c r="G196" i="70"/>
  <c r="G201" i="70"/>
  <c r="G159" i="70"/>
  <c r="G137" i="70"/>
  <c r="G160" i="70"/>
  <c r="G161" i="70"/>
  <c r="G138" i="70"/>
  <c r="G156" i="70"/>
  <c r="G158" i="70"/>
  <c r="G132" i="70"/>
  <c r="G135" i="70"/>
  <c r="G136" i="70"/>
  <c r="F19" i="70"/>
  <c r="F98" i="70"/>
  <c r="F293" i="70"/>
  <c r="F23" i="70"/>
  <c r="G23" i="70" s="1"/>
  <c r="F50" i="70"/>
  <c r="F27" i="70"/>
  <c r="G271" i="70"/>
  <c r="G155" i="70"/>
  <c r="F130" i="70"/>
  <c r="F37" i="70"/>
  <c r="M105" i="70" l="1"/>
  <c r="M28" i="70"/>
  <c r="V159" i="70"/>
  <c r="Y159" i="70"/>
  <c r="M103" i="70"/>
  <c r="V94" i="70"/>
  <c r="V100" i="70"/>
  <c r="U109" i="70"/>
  <c r="Y109" i="70" s="1"/>
  <c r="U103" i="70"/>
  <c r="Y103" i="70" s="1"/>
  <c r="U67" i="70"/>
  <c r="Y67" i="70" s="1"/>
  <c r="U11" i="70"/>
  <c r="Y11" i="70" s="1"/>
  <c r="V40" i="70"/>
  <c r="U24" i="70"/>
  <c r="Y24" i="70" s="1"/>
  <c r="U20" i="70"/>
  <c r="V244" i="70"/>
  <c r="U28" i="70"/>
  <c r="Y28" i="70" s="1"/>
  <c r="V97" i="70"/>
  <c r="U95" i="70"/>
  <c r="U17" i="70"/>
  <c r="Y17" i="70" s="1"/>
  <c r="S159" i="70"/>
  <c r="P105" i="70"/>
  <c r="M93" i="70"/>
  <c r="M109" i="70"/>
  <c r="R105" i="70"/>
  <c r="U105" i="70" s="1"/>
  <c r="R200" i="70"/>
  <c r="U200" i="70" s="1"/>
  <c r="P18" i="70"/>
  <c r="R18" i="70"/>
  <c r="U18" i="70" s="1"/>
  <c r="P40" i="70"/>
  <c r="S40" i="70"/>
  <c r="P60" i="70"/>
  <c r="R60" i="70"/>
  <c r="U60" i="70" s="1"/>
  <c r="S109" i="70"/>
  <c r="P57" i="70"/>
  <c r="R57" i="70"/>
  <c r="U57" i="70" s="1"/>
  <c r="P53" i="70"/>
  <c r="R53" i="70"/>
  <c r="S39" i="70"/>
  <c r="S99" i="70"/>
  <c r="R19" i="70"/>
  <c r="S20" i="70"/>
  <c r="P80" i="70"/>
  <c r="R80" i="70"/>
  <c r="U80" i="70" s="1"/>
  <c r="P26" i="70"/>
  <c r="R26" i="70"/>
  <c r="U26" i="70" s="1"/>
  <c r="S89" i="70"/>
  <c r="S232" i="70"/>
  <c r="R231" i="70"/>
  <c r="P104" i="70"/>
  <c r="R104" i="70"/>
  <c r="U104" i="70" s="1"/>
  <c r="S103" i="70"/>
  <c r="S93" i="70"/>
  <c r="P25" i="70"/>
  <c r="R25" i="70"/>
  <c r="U25" i="70" s="1"/>
  <c r="P77" i="70"/>
  <c r="R77" i="70"/>
  <c r="U77" i="70" s="1"/>
  <c r="P31" i="70"/>
  <c r="R31" i="70"/>
  <c r="U31" i="70" s="1"/>
  <c r="P15" i="70"/>
  <c r="R15" i="70"/>
  <c r="U15" i="70" s="1"/>
  <c r="P81" i="70"/>
  <c r="R81" i="70"/>
  <c r="U81" i="70" s="1"/>
  <c r="P46" i="70"/>
  <c r="R46" i="70"/>
  <c r="U46" i="70" s="1"/>
  <c r="S35" i="70"/>
  <c r="P138" i="70"/>
  <c r="R138" i="70"/>
  <c r="U138" i="70" s="1"/>
  <c r="S67" i="70"/>
  <c r="P54" i="70"/>
  <c r="R54" i="70"/>
  <c r="U54" i="70" s="1"/>
  <c r="S28" i="70"/>
  <c r="P29" i="70"/>
  <c r="R29" i="70"/>
  <c r="U29" i="70" s="1"/>
  <c r="P79" i="70"/>
  <c r="R79" i="70"/>
  <c r="U79" i="70" s="1"/>
  <c r="P94" i="70"/>
  <c r="S94" i="70"/>
  <c r="S11" i="70"/>
  <c r="P147" i="70"/>
  <c r="R147" i="70"/>
  <c r="U147" i="70" s="1"/>
  <c r="P45" i="70"/>
  <c r="R45" i="70"/>
  <c r="P101" i="70"/>
  <c r="R101" i="70"/>
  <c r="U101" i="70" s="1"/>
  <c r="P100" i="70"/>
  <c r="S100" i="70"/>
  <c r="P33" i="70"/>
  <c r="R33" i="70"/>
  <c r="U33" i="70" s="1"/>
  <c r="S17" i="70"/>
  <c r="S24" i="70"/>
  <c r="P36" i="70"/>
  <c r="R36" i="70"/>
  <c r="U36" i="70" s="1"/>
  <c r="P78" i="70"/>
  <c r="R78" i="70"/>
  <c r="U78" i="70" s="1"/>
  <c r="P58" i="70"/>
  <c r="R58" i="70"/>
  <c r="U58" i="70" s="1"/>
  <c r="P32" i="70"/>
  <c r="R32" i="70"/>
  <c r="U32" i="70" s="1"/>
  <c r="S95" i="70"/>
  <c r="O30" i="70"/>
  <c r="R30" i="70" s="1"/>
  <c r="M17" i="70"/>
  <c r="O106" i="70"/>
  <c r="R106" i="70" s="1"/>
  <c r="U106" i="70" s="1"/>
  <c r="Y106" i="70" s="1"/>
  <c r="F207" i="70"/>
  <c r="L211" i="70"/>
  <c r="M211" i="70" s="1"/>
  <c r="I208" i="70"/>
  <c r="M24" i="70"/>
  <c r="I144" i="70"/>
  <c r="I143" i="70" s="1"/>
  <c r="J145" i="70"/>
  <c r="M15" i="70"/>
  <c r="M11" i="70"/>
  <c r="L135" i="70"/>
  <c r="O135" i="70" s="1"/>
  <c r="M99" i="70"/>
  <c r="O98" i="70"/>
  <c r="I193" i="70"/>
  <c r="L194" i="70"/>
  <c r="B65" i="128"/>
  <c r="O51" i="70"/>
  <c r="L195" i="70"/>
  <c r="O195" i="70" s="1"/>
  <c r="O174" i="70"/>
  <c r="I172" i="70"/>
  <c r="L82" i="70"/>
  <c r="O82" i="70" s="1"/>
  <c r="R82" i="70" s="1"/>
  <c r="U82" i="70" s="1"/>
  <c r="Y82" i="70" s="1"/>
  <c r="G263" i="70"/>
  <c r="G193" i="70"/>
  <c r="G192" i="70" s="1"/>
  <c r="L132" i="70"/>
  <c r="O132" i="70" s="1"/>
  <c r="L217" i="70"/>
  <c r="O217" i="70" s="1"/>
  <c r="O156" i="70"/>
  <c r="L149" i="70"/>
  <c r="O149" i="70" s="1"/>
  <c r="R149" i="70" s="1"/>
  <c r="L153" i="70"/>
  <c r="M153" i="70" s="1"/>
  <c r="O145" i="70"/>
  <c r="R145" i="70" s="1"/>
  <c r="L294" i="70"/>
  <c r="O294" i="70" s="1"/>
  <c r="R294" i="70" s="1"/>
  <c r="J270" i="70"/>
  <c r="I231" i="70"/>
  <c r="J239" i="70"/>
  <c r="J156" i="70"/>
  <c r="O240" i="70"/>
  <c r="L270" i="70"/>
  <c r="O278" i="70"/>
  <c r="R278" i="70" s="1"/>
  <c r="U278" i="70" s="1"/>
  <c r="Y278" i="70" s="1"/>
  <c r="I277" i="70"/>
  <c r="F229" i="70"/>
  <c r="F6" i="70"/>
  <c r="M156" i="70"/>
  <c r="L230" i="70"/>
  <c r="O230" i="70" s="1"/>
  <c r="P67" i="70"/>
  <c r="P95" i="70"/>
  <c r="M68" i="70"/>
  <c r="O68" i="70"/>
  <c r="L34" i="70"/>
  <c r="M34" i="70" s="1"/>
  <c r="P244" i="70"/>
  <c r="P35" i="70"/>
  <c r="O34" i="70"/>
  <c r="P109" i="70"/>
  <c r="L10" i="70"/>
  <c r="O12" i="70"/>
  <c r="M141" i="70"/>
  <c r="O141" i="70"/>
  <c r="P39" i="70"/>
  <c r="O37" i="70"/>
  <c r="P17" i="70"/>
  <c r="O16" i="70"/>
  <c r="P89" i="70"/>
  <c r="M76" i="70"/>
  <c r="O76" i="70"/>
  <c r="O19" i="70"/>
  <c r="P20" i="70"/>
  <c r="M90" i="70"/>
  <c r="O90" i="70"/>
  <c r="P233" i="70"/>
  <c r="O14" i="70"/>
  <c r="R14" i="70" s="1"/>
  <c r="P200" i="70"/>
  <c r="P219" i="70"/>
  <c r="M61" i="70"/>
  <c r="O61" i="70"/>
  <c r="P103" i="70"/>
  <c r="O102" i="70"/>
  <c r="P24" i="70"/>
  <c r="O23" i="70"/>
  <c r="O211" i="70"/>
  <c r="R211" i="70" s="1"/>
  <c r="O272" i="70"/>
  <c r="O41" i="70"/>
  <c r="O223" i="70"/>
  <c r="O248" i="70"/>
  <c r="R248" i="70" s="1"/>
  <c r="U248" i="70" s="1"/>
  <c r="Y248" i="70" s="1"/>
  <c r="O285" i="70"/>
  <c r="R285" i="70" s="1"/>
  <c r="U285" i="70" s="1"/>
  <c r="Y285" i="70" s="1"/>
  <c r="M69" i="70"/>
  <c r="O69" i="70"/>
  <c r="P28" i="70"/>
  <c r="O92" i="70"/>
  <c r="P93" i="70"/>
  <c r="O245" i="70"/>
  <c r="P11" i="70"/>
  <c r="O136" i="70"/>
  <c r="L108" i="70"/>
  <c r="M108" i="70" s="1"/>
  <c r="O110" i="70"/>
  <c r="M223" i="70"/>
  <c r="M106" i="70"/>
  <c r="M32" i="70"/>
  <c r="M40" i="70"/>
  <c r="M81" i="70"/>
  <c r="M58" i="70"/>
  <c r="M26" i="70"/>
  <c r="M46" i="70"/>
  <c r="M25" i="70"/>
  <c r="M94" i="70"/>
  <c r="L92" i="70"/>
  <c r="M101" i="70"/>
  <c r="M110" i="70"/>
  <c r="M36" i="70"/>
  <c r="M78" i="70"/>
  <c r="M77" i="70"/>
  <c r="M200" i="70"/>
  <c r="M104" i="70"/>
  <c r="M31" i="70"/>
  <c r="M30" i="70"/>
  <c r="M29" i="70"/>
  <c r="I243" i="70"/>
  <c r="M233" i="70"/>
  <c r="L88" i="70"/>
  <c r="M57" i="70"/>
  <c r="M18" i="70"/>
  <c r="M54" i="70"/>
  <c r="M45" i="70"/>
  <c r="M12" i="70"/>
  <c r="M41" i="70"/>
  <c r="L37" i="70"/>
  <c r="M79" i="70"/>
  <c r="M100" i="70"/>
  <c r="M67" i="70"/>
  <c r="M80" i="70"/>
  <c r="M53" i="70"/>
  <c r="L16" i="70"/>
  <c r="M33" i="70"/>
  <c r="J136" i="70"/>
  <c r="M136" i="70"/>
  <c r="J134" i="70"/>
  <c r="L134" i="70"/>
  <c r="M232" i="70"/>
  <c r="J196" i="70"/>
  <c r="L196" i="70"/>
  <c r="O196" i="70" s="1"/>
  <c r="R196" i="70" s="1"/>
  <c r="U196" i="70" s="1"/>
  <c r="Y196" i="70" s="1"/>
  <c r="J147" i="70"/>
  <c r="M147" i="70"/>
  <c r="J205" i="70"/>
  <c r="L205" i="70"/>
  <c r="O205" i="70" s="1"/>
  <c r="R205" i="70" s="1"/>
  <c r="J161" i="70"/>
  <c r="L161" i="70"/>
  <c r="J216" i="70"/>
  <c r="L216" i="70"/>
  <c r="J290" i="70"/>
  <c r="L290" i="70"/>
  <c r="O290" i="70" s="1"/>
  <c r="L23" i="70"/>
  <c r="J274" i="70"/>
  <c r="L274" i="70"/>
  <c r="O274" i="70" s="1"/>
  <c r="J222" i="70"/>
  <c r="L222" i="70"/>
  <c r="O222" i="70" s="1"/>
  <c r="J221" i="70"/>
  <c r="L221" i="70"/>
  <c r="M285" i="70"/>
  <c r="M14" i="70"/>
  <c r="L13" i="70"/>
  <c r="J138" i="70"/>
  <c r="M138" i="70"/>
  <c r="J279" i="70"/>
  <c r="L279" i="70"/>
  <c r="O279" i="70" s="1"/>
  <c r="R279" i="70" s="1"/>
  <c r="U279" i="70" s="1"/>
  <c r="Y279" i="70" s="1"/>
  <c r="J300" i="70"/>
  <c r="L300" i="70"/>
  <c r="J272" i="70"/>
  <c r="J245" i="70"/>
  <c r="L102" i="70"/>
  <c r="L50" i="70"/>
  <c r="J195" i="70"/>
  <c r="J206" i="70"/>
  <c r="L206" i="70"/>
  <c r="O206" i="70" s="1"/>
  <c r="J249" i="70"/>
  <c r="L249" i="70"/>
  <c r="O249" i="70" s="1"/>
  <c r="R249" i="70" s="1"/>
  <c r="U249" i="70" s="1"/>
  <c r="Y249" i="70" s="1"/>
  <c r="J159" i="70"/>
  <c r="J202" i="70"/>
  <c r="L98" i="70"/>
  <c r="M95" i="70"/>
  <c r="J198" i="70"/>
  <c r="L198" i="70"/>
  <c r="O198" i="70" s="1"/>
  <c r="J199" i="70"/>
  <c r="L199" i="70"/>
  <c r="O199" i="70" s="1"/>
  <c r="J291" i="70"/>
  <c r="L291" i="70"/>
  <c r="O291" i="70" s="1"/>
  <c r="J160" i="70"/>
  <c r="L160" i="70"/>
  <c r="O160" i="70" s="1"/>
  <c r="J286" i="70"/>
  <c r="L286" i="70"/>
  <c r="O286" i="70" s="1"/>
  <c r="J214" i="70"/>
  <c r="L214" i="70"/>
  <c r="J295" i="70"/>
  <c r="L295" i="70"/>
  <c r="O295" i="70" s="1"/>
  <c r="J212" i="70"/>
  <c r="L212" i="70"/>
  <c r="O212" i="70" s="1"/>
  <c r="J177" i="70"/>
  <c r="L177" i="70"/>
  <c r="O177" i="70" s="1"/>
  <c r="J276" i="70"/>
  <c r="L276" i="70"/>
  <c r="O276" i="70" s="1"/>
  <c r="J250" i="70"/>
  <c r="L250" i="70"/>
  <c r="M20" i="70"/>
  <c r="L19" i="70"/>
  <c r="J175" i="70"/>
  <c r="L175" i="70"/>
  <c r="J137" i="70"/>
  <c r="L137" i="70"/>
  <c r="O137" i="70" s="1"/>
  <c r="J201" i="70"/>
  <c r="L201" i="70"/>
  <c r="O201" i="70" s="1"/>
  <c r="J135" i="70"/>
  <c r="M248" i="70"/>
  <c r="F143" i="70"/>
  <c r="J27" i="70"/>
  <c r="J13" i="70"/>
  <c r="J88" i="70"/>
  <c r="J219" i="70"/>
  <c r="I218" i="70"/>
  <c r="J37" i="70"/>
  <c r="J194" i="70"/>
  <c r="J294" i="70"/>
  <c r="I293" i="70"/>
  <c r="J153" i="70"/>
  <c r="I66" i="70"/>
  <c r="J278" i="70"/>
  <c r="J16" i="70"/>
  <c r="J230" i="70"/>
  <c r="J98" i="70"/>
  <c r="J95" i="70"/>
  <c r="J50" i="70"/>
  <c r="I43" i="70"/>
  <c r="J20" i="70"/>
  <c r="I19" i="70"/>
  <c r="I215" i="70"/>
  <c r="J217" i="70"/>
  <c r="J23" i="70"/>
  <c r="I22" i="70"/>
  <c r="J211" i="70"/>
  <c r="I148" i="70"/>
  <c r="J149" i="70"/>
  <c r="J285" i="70"/>
  <c r="I284" i="70"/>
  <c r="J10" i="70"/>
  <c r="I9" i="70"/>
  <c r="J248" i="70"/>
  <c r="I247" i="70"/>
  <c r="J132" i="70"/>
  <c r="I130" i="70"/>
  <c r="J108" i="70"/>
  <c r="J92" i="70"/>
  <c r="I91" i="70"/>
  <c r="J34" i="70"/>
  <c r="J102" i="70"/>
  <c r="J232" i="70"/>
  <c r="I154" i="70"/>
  <c r="G19" i="70"/>
  <c r="G102" i="70"/>
  <c r="F150" i="70"/>
  <c r="G108" i="70"/>
  <c r="G66" i="70"/>
  <c r="G27" i="70"/>
  <c r="F43" i="70"/>
  <c r="G50" i="70"/>
  <c r="G154" i="70"/>
  <c r="F91" i="70"/>
  <c r="G218" i="70"/>
  <c r="G208" i="70"/>
  <c r="F9" i="70"/>
  <c r="F22" i="70"/>
  <c r="V57" i="70" l="1"/>
  <c r="Y57" i="70"/>
  <c r="V78" i="70"/>
  <c r="Y78" i="70"/>
  <c r="U45" i="70"/>
  <c r="Y45" i="70" s="1"/>
  <c r="V54" i="70"/>
  <c r="Y54" i="70"/>
  <c r="V31" i="70"/>
  <c r="Y31" i="70"/>
  <c r="V26" i="70"/>
  <c r="Y26" i="70"/>
  <c r="V58" i="70"/>
  <c r="V36" i="70"/>
  <c r="Y36" i="70"/>
  <c r="V147" i="70"/>
  <c r="Y147" i="70"/>
  <c r="B61" i="128"/>
  <c r="D61" i="128" s="1"/>
  <c r="V77" i="70"/>
  <c r="Y77" i="70"/>
  <c r="V60" i="70"/>
  <c r="Y60" i="70"/>
  <c r="V138" i="70"/>
  <c r="Y138" i="70"/>
  <c r="B58" i="128"/>
  <c r="D58" i="128" s="1"/>
  <c r="V80" i="70"/>
  <c r="Y80" i="70"/>
  <c r="V95" i="70"/>
  <c r="Y95" i="70"/>
  <c r="V25" i="70"/>
  <c r="Y25" i="70"/>
  <c r="V33" i="70"/>
  <c r="Y33" i="70"/>
  <c r="V46" i="70"/>
  <c r="Y46" i="70"/>
  <c r="V18" i="70"/>
  <c r="Y18" i="70"/>
  <c r="V79" i="70"/>
  <c r="Y79" i="70"/>
  <c r="V101" i="70"/>
  <c r="Y101" i="70"/>
  <c r="V32" i="70"/>
  <c r="Y32" i="70"/>
  <c r="V81" i="70"/>
  <c r="Y81" i="70"/>
  <c r="V104" i="70"/>
  <c r="Y104" i="70"/>
  <c r="V200" i="70"/>
  <c r="Y200" i="70"/>
  <c r="V15" i="70"/>
  <c r="Y15" i="70"/>
  <c r="V29" i="70"/>
  <c r="Y29" i="70"/>
  <c r="U53" i="70"/>
  <c r="V53" i="70" s="1"/>
  <c r="V105" i="70"/>
  <c r="Y105" i="70"/>
  <c r="B22" i="128"/>
  <c r="D22" i="128" s="1"/>
  <c r="V89" i="70"/>
  <c r="U30" i="70"/>
  <c r="U98" i="70"/>
  <c r="V99" i="70"/>
  <c r="V24" i="70"/>
  <c r="U23" i="70"/>
  <c r="Y23" i="70" s="1"/>
  <c r="V103" i="70"/>
  <c r="U102" i="70"/>
  <c r="U231" i="70"/>
  <c r="V232" i="70"/>
  <c r="V279" i="70"/>
  <c r="U14" i="70"/>
  <c r="Y14" i="70" s="1"/>
  <c r="V82" i="70"/>
  <c r="V249" i="70"/>
  <c r="V196" i="70"/>
  <c r="V28" i="70"/>
  <c r="V109" i="70"/>
  <c r="U205" i="70"/>
  <c r="Y205" i="70" s="1"/>
  <c r="U211" i="70"/>
  <c r="U294" i="70"/>
  <c r="Y294" i="70" s="1"/>
  <c r="V93" i="70"/>
  <c r="U92" i="70"/>
  <c r="Y92" i="70" s="1"/>
  <c r="V11" i="70"/>
  <c r="U145" i="70"/>
  <c r="Y145" i="70" s="1"/>
  <c r="V35" i="70"/>
  <c r="U34" i="70"/>
  <c r="U149" i="70"/>
  <c r="Y149" i="70" s="1"/>
  <c r="V17" i="70"/>
  <c r="U16" i="70"/>
  <c r="Y16" i="70" s="1"/>
  <c r="V20" i="70"/>
  <c r="U19" i="70"/>
  <c r="V67" i="70"/>
  <c r="V39" i="70"/>
  <c r="U37" i="70"/>
  <c r="V106" i="70"/>
  <c r="S33" i="70"/>
  <c r="S46" i="70"/>
  <c r="S18" i="70"/>
  <c r="R41" i="70"/>
  <c r="U41" i="70" s="1"/>
  <c r="S79" i="70"/>
  <c r="S32" i="70"/>
  <c r="S81" i="70"/>
  <c r="S104" i="70"/>
  <c r="S200" i="70"/>
  <c r="S80" i="70"/>
  <c r="R230" i="70"/>
  <c r="U230" i="70" s="1"/>
  <c r="S29" i="70"/>
  <c r="S53" i="70"/>
  <c r="Y53" i="70"/>
  <c r="S105" i="70"/>
  <c r="S58" i="70"/>
  <c r="S101" i="70"/>
  <c r="S15" i="70"/>
  <c r="R137" i="70"/>
  <c r="U137" i="70" s="1"/>
  <c r="S57" i="70"/>
  <c r="S78" i="70"/>
  <c r="S45" i="70"/>
  <c r="S54" i="70"/>
  <c r="S31" i="70"/>
  <c r="S138" i="70"/>
  <c r="S26" i="70"/>
  <c r="S25" i="70"/>
  <c r="S36" i="70"/>
  <c r="S147" i="70"/>
  <c r="S77" i="70"/>
  <c r="S60" i="70"/>
  <c r="J144" i="70"/>
  <c r="R16" i="70"/>
  <c r="R102" i="70"/>
  <c r="R201" i="70"/>
  <c r="U201" i="70" s="1"/>
  <c r="S279" i="70"/>
  <c r="R177" i="70"/>
  <c r="U177" i="70" s="1"/>
  <c r="R195" i="70"/>
  <c r="U195" i="70" s="1"/>
  <c r="L66" i="70"/>
  <c r="M66" i="70" s="1"/>
  <c r="P135" i="70"/>
  <c r="R135" i="70"/>
  <c r="U135" i="70" s="1"/>
  <c r="S149" i="70"/>
  <c r="R148" i="70"/>
  <c r="O239" i="70"/>
  <c r="R240" i="70"/>
  <c r="U240" i="70" s="1"/>
  <c r="Y240" i="70" s="1"/>
  <c r="P110" i="70"/>
  <c r="R110" i="70"/>
  <c r="P196" i="70"/>
  <c r="S196" i="70"/>
  <c r="P41" i="70"/>
  <c r="R13" i="70"/>
  <c r="S14" i="70"/>
  <c r="P156" i="70"/>
  <c r="R156" i="70"/>
  <c r="R34" i="70"/>
  <c r="P291" i="70"/>
  <c r="R291" i="70"/>
  <c r="U291" i="70" s="1"/>
  <c r="P206" i="70"/>
  <c r="R206" i="70"/>
  <c r="U206" i="70" s="1"/>
  <c r="P136" i="70"/>
  <c r="R136" i="70"/>
  <c r="U136" i="70" s="1"/>
  <c r="P141" i="70"/>
  <c r="R141" i="70"/>
  <c r="U141" i="70" s="1"/>
  <c r="V141" i="70" s="1"/>
  <c r="P174" i="70"/>
  <c r="R174" i="70"/>
  <c r="U174" i="70" s="1"/>
  <c r="Y174" i="70" s="1"/>
  <c r="P274" i="70"/>
  <c r="R274" i="70"/>
  <c r="U274" i="70" s="1"/>
  <c r="P290" i="70"/>
  <c r="R290" i="70"/>
  <c r="U290" i="70" s="1"/>
  <c r="P272" i="70"/>
  <c r="R272" i="70"/>
  <c r="U272" i="70" s="1"/>
  <c r="P90" i="70"/>
  <c r="R90" i="70"/>
  <c r="P230" i="70"/>
  <c r="P217" i="70"/>
  <c r="R217" i="70"/>
  <c r="U217" i="70" s="1"/>
  <c r="R92" i="70"/>
  <c r="P249" i="70"/>
  <c r="S249" i="70"/>
  <c r="P212" i="70"/>
  <c r="R212" i="70"/>
  <c r="U212" i="70" s="1"/>
  <c r="P199" i="70"/>
  <c r="R199" i="70"/>
  <c r="U199" i="70" s="1"/>
  <c r="P245" i="70"/>
  <c r="R245" i="70"/>
  <c r="S211" i="70"/>
  <c r="P12" i="70"/>
  <c r="R12" i="70"/>
  <c r="R27" i="70"/>
  <c r="S294" i="70"/>
  <c r="P132" i="70"/>
  <c r="R132" i="70"/>
  <c r="S102" i="70"/>
  <c r="S19" i="70"/>
  <c r="P222" i="70"/>
  <c r="R222" i="70"/>
  <c r="U222" i="70" s="1"/>
  <c r="P160" i="70"/>
  <c r="R160" i="70"/>
  <c r="U160" i="70" s="1"/>
  <c r="P106" i="70"/>
  <c r="S106" i="70"/>
  <c r="R98" i="70"/>
  <c r="S248" i="70"/>
  <c r="P295" i="70"/>
  <c r="R295" i="70"/>
  <c r="U295" i="70" s="1"/>
  <c r="P76" i="70"/>
  <c r="R76" i="70"/>
  <c r="U76" i="70" s="1"/>
  <c r="R144" i="70"/>
  <c r="S145" i="70"/>
  <c r="P51" i="70"/>
  <c r="R51" i="70"/>
  <c r="U51" i="70" s="1"/>
  <c r="Y51" i="70" s="1"/>
  <c r="R23" i="70"/>
  <c r="P223" i="70"/>
  <c r="R223" i="70"/>
  <c r="U223" i="70" s="1"/>
  <c r="P198" i="70"/>
  <c r="R198" i="70"/>
  <c r="U198" i="70" s="1"/>
  <c r="P69" i="70"/>
  <c r="R69" i="70"/>
  <c r="U69" i="70" s="1"/>
  <c r="R277" i="70"/>
  <c r="S278" i="70"/>
  <c r="P30" i="70"/>
  <c r="S30" i="70"/>
  <c r="R37" i="70"/>
  <c r="P286" i="70"/>
  <c r="R286" i="70"/>
  <c r="U286" i="70" s="1"/>
  <c r="S285" i="70"/>
  <c r="P68" i="70"/>
  <c r="R68" i="70"/>
  <c r="P276" i="70"/>
  <c r="R276" i="70"/>
  <c r="U276" i="70" s="1"/>
  <c r="S205" i="70"/>
  <c r="P61" i="70"/>
  <c r="R61" i="70"/>
  <c r="U61" i="70" s="1"/>
  <c r="P82" i="70"/>
  <c r="S82" i="70"/>
  <c r="O194" i="70"/>
  <c r="R194" i="70" s="1"/>
  <c r="I207" i="70"/>
  <c r="O50" i="70"/>
  <c r="O43" i="70" s="1"/>
  <c r="O214" i="70"/>
  <c r="R214" i="70" s="1"/>
  <c r="J208" i="70"/>
  <c r="L208" i="70"/>
  <c r="P99" i="70"/>
  <c r="J172" i="70"/>
  <c r="M294" i="70"/>
  <c r="M132" i="70"/>
  <c r="L148" i="70"/>
  <c r="M148" i="70" s="1"/>
  <c r="M82" i="70"/>
  <c r="M149" i="70"/>
  <c r="M194" i="70"/>
  <c r="L172" i="70"/>
  <c r="M217" i="70"/>
  <c r="O161" i="70"/>
  <c r="R161" i="70" s="1"/>
  <c r="O231" i="70"/>
  <c r="P205" i="70"/>
  <c r="P279" i="70"/>
  <c r="L277" i="70"/>
  <c r="L263" i="70" s="1"/>
  <c r="L193" i="70"/>
  <c r="L192" i="70" s="1"/>
  <c r="O153" i="70"/>
  <c r="O144" i="70"/>
  <c r="P145" i="70"/>
  <c r="J231" i="70"/>
  <c r="J284" i="70"/>
  <c r="J218" i="70"/>
  <c r="J215" i="70"/>
  <c r="I192" i="70"/>
  <c r="J148" i="70"/>
  <c r="I263" i="70"/>
  <c r="I229" i="70" s="1"/>
  <c r="L144" i="70"/>
  <c r="L143" i="70" s="1"/>
  <c r="M145" i="70"/>
  <c r="J66" i="70"/>
  <c r="D64" i="128"/>
  <c r="J293" i="70"/>
  <c r="J243" i="70"/>
  <c r="J154" i="70"/>
  <c r="J247" i="70"/>
  <c r="J19" i="70"/>
  <c r="P240" i="70"/>
  <c r="P239" i="70"/>
  <c r="O270" i="70"/>
  <c r="J277" i="70"/>
  <c r="M239" i="70"/>
  <c r="M270" i="70"/>
  <c r="M278" i="70"/>
  <c r="M230" i="70"/>
  <c r="O10" i="70"/>
  <c r="P10" i="70" s="1"/>
  <c r="P34" i="70"/>
  <c r="P201" i="70"/>
  <c r="P202" i="70"/>
  <c r="M10" i="70"/>
  <c r="M250" i="70"/>
  <c r="O250" i="70"/>
  <c r="R250" i="70" s="1"/>
  <c r="U250" i="70" s="1"/>
  <c r="Y250" i="70" s="1"/>
  <c r="O27" i="70"/>
  <c r="O22" i="70" s="1"/>
  <c r="P23" i="70"/>
  <c r="P137" i="70"/>
  <c r="D65" i="128"/>
  <c r="P177" i="70"/>
  <c r="P294" i="70"/>
  <c r="O293" i="70"/>
  <c r="P98" i="70"/>
  <c r="P19" i="70"/>
  <c r="P102" i="70"/>
  <c r="O175" i="70"/>
  <c r="O284" i="70"/>
  <c r="P285" i="70"/>
  <c r="O243" i="70"/>
  <c r="O88" i="70"/>
  <c r="O300" i="70"/>
  <c r="P248" i="70"/>
  <c r="P211" i="70"/>
  <c r="O216" i="70"/>
  <c r="R216" i="70" s="1"/>
  <c r="O134" i="70"/>
  <c r="R134" i="70" s="1"/>
  <c r="U134" i="70" s="1"/>
  <c r="O91" i="70"/>
  <c r="P92" i="70"/>
  <c r="O13" i="70"/>
  <c r="P13" i="70" s="1"/>
  <c r="P14" i="70"/>
  <c r="P16" i="70"/>
  <c r="P278" i="70"/>
  <c r="P149" i="70"/>
  <c r="O148" i="70"/>
  <c r="O66" i="70"/>
  <c r="P232" i="70"/>
  <c r="O221" i="70"/>
  <c r="R221" i="70" s="1"/>
  <c r="P37" i="70"/>
  <c r="O108" i="70"/>
  <c r="P108" i="70" s="1"/>
  <c r="M92" i="70"/>
  <c r="M102" i="70"/>
  <c r="M134" i="70"/>
  <c r="M201" i="70"/>
  <c r="M160" i="70"/>
  <c r="M222" i="70"/>
  <c r="M177" i="70"/>
  <c r="M291" i="70"/>
  <c r="M249" i="70"/>
  <c r="M214" i="70"/>
  <c r="M98" i="70"/>
  <c r="M135" i="70"/>
  <c r="M202" i="70"/>
  <c r="M276" i="70"/>
  <c r="L130" i="70"/>
  <c r="M161" i="70"/>
  <c r="M88" i="70"/>
  <c r="M137" i="70"/>
  <c r="M274" i="70"/>
  <c r="M205" i="70"/>
  <c r="M290" i="70"/>
  <c r="M212" i="70"/>
  <c r="M199" i="70"/>
  <c r="M206" i="70"/>
  <c r="M13" i="70"/>
  <c r="M16" i="70"/>
  <c r="M198" i="70"/>
  <c r="M279" i="70"/>
  <c r="M286" i="70"/>
  <c r="M295" i="70"/>
  <c r="L91" i="70"/>
  <c r="M37" i="70"/>
  <c r="M300" i="70"/>
  <c r="L284" i="70"/>
  <c r="M196" i="70"/>
  <c r="J143" i="70"/>
  <c r="M159" i="70"/>
  <c r="L154" i="70"/>
  <c r="M245" i="70"/>
  <c r="M272" i="70"/>
  <c r="L247" i="70"/>
  <c r="M231" i="70"/>
  <c r="L6" i="70"/>
  <c r="M221" i="70"/>
  <c r="L218" i="70"/>
  <c r="M216" i="70"/>
  <c r="L215" i="70"/>
  <c r="M175" i="70"/>
  <c r="M23" i="70"/>
  <c r="M195" i="70"/>
  <c r="L293" i="70"/>
  <c r="L9" i="70"/>
  <c r="M19" i="70"/>
  <c r="M50" i="70"/>
  <c r="L43" i="70"/>
  <c r="L27" i="70"/>
  <c r="I6" i="70"/>
  <c r="I150" i="70"/>
  <c r="J22" i="70"/>
  <c r="J193" i="70"/>
  <c r="J43" i="70"/>
  <c r="I42" i="70"/>
  <c r="J9" i="70"/>
  <c r="J91" i="70"/>
  <c r="J130" i="70"/>
  <c r="G43" i="70"/>
  <c r="F42" i="70"/>
  <c r="S41" i="70" l="1"/>
  <c r="V276" i="70"/>
  <c r="Y276" i="70"/>
  <c r="V69" i="70"/>
  <c r="Y69" i="70"/>
  <c r="V212" i="70"/>
  <c r="Y212" i="70"/>
  <c r="V290" i="70"/>
  <c r="Y290" i="70"/>
  <c r="V291" i="70"/>
  <c r="Y291" i="70"/>
  <c r="B71" i="128"/>
  <c r="D71" i="128" s="1"/>
  <c r="Y230" i="70"/>
  <c r="V295" i="70"/>
  <c r="Y295" i="70"/>
  <c r="B13" i="128"/>
  <c r="D13" i="128" s="1"/>
  <c r="Y37" i="70"/>
  <c r="V76" i="70"/>
  <c r="Y76" i="70"/>
  <c r="V198" i="70"/>
  <c r="Y198" i="70"/>
  <c r="V274" i="70"/>
  <c r="Y274" i="70"/>
  <c r="V231" i="70"/>
  <c r="B72" i="128"/>
  <c r="Y231" i="70"/>
  <c r="Y137" i="70"/>
  <c r="B57" i="128"/>
  <c r="D57" i="128" s="1"/>
  <c r="V102" i="70"/>
  <c r="Y102" i="70"/>
  <c r="V223" i="70"/>
  <c r="Y223" i="70"/>
  <c r="V19" i="70"/>
  <c r="B10" i="128"/>
  <c r="D10" i="128" s="1"/>
  <c r="Y19" i="70"/>
  <c r="V286" i="70"/>
  <c r="Y286" i="70"/>
  <c r="V217" i="70"/>
  <c r="Y217" i="70"/>
  <c r="V135" i="70"/>
  <c r="Y135" i="70"/>
  <c r="V45" i="70"/>
  <c r="V160" i="70"/>
  <c r="Y160" i="70"/>
  <c r="V136" i="70"/>
  <c r="Y136" i="70"/>
  <c r="V195" i="70"/>
  <c r="Y195" i="70"/>
  <c r="B14" i="128"/>
  <c r="D14" i="128" s="1"/>
  <c r="Y41" i="70"/>
  <c r="B21" i="128"/>
  <c r="D21" i="128" s="1"/>
  <c r="Y98" i="70"/>
  <c r="V201" i="70"/>
  <c r="Y201" i="70"/>
  <c r="V222" i="70"/>
  <c r="Y222" i="70"/>
  <c r="V177" i="70"/>
  <c r="Y177" i="70"/>
  <c r="B12" i="128"/>
  <c r="D12" i="128" s="1"/>
  <c r="Y34" i="70"/>
  <c r="V30" i="70"/>
  <c r="Y30" i="70"/>
  <c r="V134" i="70"/>
  <c r="Y134" i="70"/>
  <c r="V61" i="70"/>
  <c r="V199" i="70"/>
  <c r="Y199" i="70"/>
  <c r="V272" i="70"/>
  <c r="Y272" i="70"/>
  <c r="V206" i="70"/>
  <c r="Y206" i="70"/>
  <c r="U132" i="70"/>
  <c r="U214" i="70"/>
  <c r="U68" i="70"/>
  <c r="Y68" i="70" s="1"/>
  <c r="V294" i="70"/>
  <c r="U293" i="70"/>
  <c r="Y293" i="70" s="1"/>
  <c r="U156" i="70"/>
  <c r="Y156" i="70" s="1"/>
  <c r="V149" i="70"/>
  <c r="U148" i="70"/>
  <c r="V211" i="70"/>
  <c r="V248" i="70"/>
  <c r="U247" i="70"/>
  <c r="V16" i="70"/>
  <c r="V23" i="70"/>
  <c r="O193" i="70"/>
  <c r="O192" i="70" s="1"/>
  <c r="V174" i="70"/>
  <c r="V137" i="70"/>
  <c r="U194" i="70"/>
  <c r="Y194" i="70" s="1"/>
  <c r="U12" i="70"/>
  <c r="Y12" i="70" s="1"/>
  <c r="U277" i="70"/>
  <c r="V278" i="70"/>
  <c r="V34" i="70"/>
  <c r="V205" i="70"/>
  <c r="V14" i="70"/>
  <c r="U13" i="70"/>
  <c r="S16" i="70"/>
  <c r="V98" i="70"/>
  <c r="V37" i="70"/>
  <c r="V145" i="70"/>
  <c r="U144" i="70"/>
  <c r="V250" i="70"/>
  <c r="U245" i="70"/>
  <c r="Y245" i="70" s="1"/>
  <c r="V41" i="70"/>
  <c r="U27" i="70"/>
  <c r="U22" i="70" s="1"/>
  <c r="U284" i="70"/>
  <c r="V285" i="70"/>
  <c r="U110" i="70"/>
  <c r="Y110" i="70" s="1"/>
  <c r="U91" i="70"/>
  <c r="V92" i="70"/>
  <c r="U90" i="70"/>
  <c r="Y90" i="70" s="1"/>
  <c r="U221" i="70"/>
  <c r="Y221" i="70" s="1"/>
  <c r="U216" i="70"/>
  <c r="Y216" i="70" s="1"/>
  <c r="U161" i="70"/>
  <c r="S136" i="70"/>
  <c r="S137" i="70"/>
  <c r="S160" i="70"/>
  <c r="P66" i="70"/>
  <c r="S61" i="70"/>
  <c r="S222" i="70"/>
  <c r="S195" i="70"/>
  <c r="S231" i="70"/>
  <c r="D72" i="128"/>
  <c r="S199" i="70"/>
  <c r="S272" i="70"/>
  <c r="S206" i="70"/>
  <c r="S177" i="70"/>
  <c r="S134" i="70"/>
  <c r="S76" i="70"/>
  <c r="S276" i="70"/>
  <c r="S69" i="70"/>
  <c r="S212" i="70"/>
  <c r="S290" i="70"/>
  <c r="S291" i="70"/>
  <c r="S201" i="70"/>
  <c r="S295" i="70"/>
  <c r="S141" i="70"/>
  <c r="P88" i="70"/>
  <c r="S198" i="70"/>
  <c r="S274" i="70"/>
  <c r="S223" i="70"/>
  <c r="S286" i="70"/>
  <c r="S217" i="70"/>
  <c r="S135" i="70"/>
  <c r="S98" i="70"/>
  <c r="R91" i="70"/>
  <c r="S37" i="70"/>
  <c r="S34" i="70"/>
  <c r="R154" i="70"/>
  <c r="R284" i="70"/>
  <c r="P194" i="70"/>
  <c r="S132" i="70"/>
  <c r="R130" i="70"/>
  <c r="S68" i="70"/>
  <c r="R66" i="70"/>
  <c r="P50" i="70"/>
  <c r="S110" i="70"/>
  <c r="R108" i="70"/>
  <c r="O172" i="70"/>
  <c r="P172" i="70" s="1"/>
  <c r="R175" i="70"/>
  <c r="P250" i="70"/>
  <c r="P153" i="70"/>
  <c r="R153" i="70"/>
  <c r="R293" i="70"/>
  <c r="S221" i="70"/>
  <c r="R218" i="70"/>
  <c r="S240" i="70"/>
  <c r="R239" i="70"/>
  <c r="O208" i="70"/>
  <c r="P208" i="70" s="1"/>
  <c r="S214" i="70"/>
  <c r="P270" i="70"/>
  <c r="R270" i="70"/>
  <c r="P161" i="70"/>
  <c r="S161" i="70"/>
  <c r="R22" i="70"/>
  <c r="S23" i="70"/>
  <c r="S27" i="70"/>
  <c r="S245" i="70"/>
  <c r="R243" i="70"/>
  <c r="S90" i="70"/>
  <c r="R88" i="70"/>
  <c r="S216" i="70"/>
  <c r="R215" i="70"/>
  <c r="S51" i="70"/>
  <c r="R50" i="70"/>
  <c r="S12" i="70"/>
  <c r="R10" i="70"/>
  <c r="S92" i="70"/>
  <c r="S156" i="70"/>
  <c r="S148" i="70"/>
  <c r="S174" i="70"/>
  <c r="P300" i="70"/>
  <c r="R300" i="70"/>
  <c r="U300" i="70" s="1"/>
  <c r="R143" i="70"/>
  <c r="S144" i="70"/>
  <c r="S230" i="70"/>
  <c r="S13" i="70"/>
  <c r="L207" i="70"/>
  <c r="J207" i="70"/>
  <c r="P214" i="70"/>
  <c r="P144" i="70"/>
  <c r="L150" i="70"/>
  <c r="P148" i="70"/>
  <c r="O277" i="70"/>
  <c r="O263" i="70" s="1"/>
  <c r="L229" i="70"/>
  <c r="O143" i="70"/>
  <c r="P143" i="70" s="1"/>
  <c r="J192" i="70"/>
  <c r="J150" i="70"/>
  <c r="I107" i="70"/>
  <c r="I3" i="70" s="1"/>
  <c r="M144" i="70"/>
  <c r="J6" i="70"/>
  <c r="O247" i="70"/>
  <c r="P175" i="70"/>
  <c r="P195" i="70"/>
  <c r="O42" i="70"/>
  <c r="P43" i="70"/>
  <c r="P221" i="70"/>
  <c r="O218" i="70"/>
  <c r="P218" i="70" s="1"/>
  <c r="P293" i="70"/>
  <c r="O215" i="70"/>
  <c r="P215" i="70" s="1"/>
  <c r="P216" i="70"/>
  <c r="P231" i="70"/>
  <c r="P159" i="70"/>
  <c r="O154" i="70"/>
  <c r="O6" i="70"/>
  <c r="P91" i="70"/>
  <c r="P243" i="70"/>
  <c r="O9" i="70"/>
  <c r="P27" i="70"/>
  <c r="P134" i="70"/>
  <c r="O130" i="70"/>
  <c r="P284" i="70"/>
  <c r="M218" i="70"/>
  <c r="M293" i="70"/>
  <c r="M143" i="70"/>
  <c r="M284" i="70"/>
  <c r="M247" i="70"/>
  <c r="M9" i="70"/>
  <c r="M172" i="70"/>
  <c r="M91" i="70"/>
  <c r="M6" i="70"/>
  <c r="M277" i="70"/>
  <c r="M27" i="70"/>
  <c r="M130" i="70"/>
  <c r="M215" i="70"/>
  <c r="M208" i="70"/>
  <c r="M154" i="70"/>
  <c r="M193" i="70"/>
  <c r="M43" i="70"/>
  <c r="L42" i="70"/>
  <c r="M243" i="70"/>
  <c r="L22" i="70"/>
  <c r="P22" i="70" s="1"/>
  <c r="J42" i="70"/>
  <c r="J263" i="70"/>
  <c r="J229" i="70"/>
  <c r="F107" i="70"/>
  <c r="V277" i="70" l="1"/>
  <c r="Y277" i="70"/>
  <c r="V148" i="70"/>
  <c r="B62" i="128"/>
  <c r="D62" i="128" s="1"/>
  <c r="Y148" i="70"/>
  <c r="V161" i="70"/>
  <c r="Y161" i="70"/>
  <c r="V300" i="70"/>
  <c r="Y300" i="70"/>
  <c r="B83" i="128"/>
  <c r="B60" i="128"/>
  <c r="D60" i="128" s="1"/>
  <c r="Y144" i="70"/>
  <c r="B19" i="128"/>
  <c r="Y91" i="70"/>
  <c r="B11" i="128"/>
  <c r="Y22" i="70"/>
  <c r="V214" i="70"/>
  <c r="Y214" i="70"/>
  <c r="V13" i="70"/>
  <c r="Y13" i="70"/>
  <c r="Y132" i="70"/>
  <c r="B56" i="128"/>
  <c r="D56" i="128" s="1"/>
  <c r="B80" i="128"/>
  <c r="D80" i="128" s="1"/>
  <c r="Y284" i="70"/>
  <c r="B76" i="128"/>
  <c r="Y247" i="70"/>
  <c r="V27" i="70"/>
  <c r="Y27" i="70"/>
  <c r="V245" i="70"/>
  <c r="U243" i="70"/>
  <c r="V156" i="70"/>
  <c r="U154" i="70"/>
  <c r="V91" i="70"/>
  <c r="V293" i="70"/>
  <c r="V110" i="70"/>
  <c r="U108" i="70"/>
  <c r="V22" i="70"/>
  <c r="U143" i="70"/>
  <c r="V144" i="70"/>
  <c r="V68" i="70"/>
  <c r="U66" i="70"/>
  <c r="V51" i="70"/>
  <c r="U50" i="70"/>
  <c r="Y50" i="70" s="1"/>
  <c r="V12" i="70"/>
  <c r="U10" i="70"/>
  <c r="Y10" i="70" s="1"/>
  <c r="V216" i="70"/>
  <c r="U215" i="70"/>
  <c r="U153" i="70"/>
  <c r="Y153" i="70" s="1"/>
  <c r="V284" i="70"/>
  <c r="V230" i="70"/>
  <c r="V194" i="70"/>
  <c r="U193" i="70"/>
  <c r="Y193" i="70" s="1"/>
  <c r="U208" i="70"/>
  <c r="Y208" i="70" s="1"/>
  <c r="V240" i="70"/>
  <c r="U239" i="70"/>
  <c r="U270" i="70"/>
  <c r="Y270" i="70" s="1"/>
  <c r="R172" i="70"/>
  <c r="R150" i="70" s="1"/>
  <c r="U175" i="70"/>
  <c r="Y175" i="70" s="1"/>
  <c r="V221" i="70"/>
  <c r="U218" i="70"/>
  <c r="V132" i="70"/>
  <c r="U130" i="70"/>
  <c r="V90" i="70"/>
  <c r="U88" i="70"/>
  <c r="S108" i="70"/>
  <c r="S300" i="70"/>
  <c r="P9" i="70"/>
  <c r="S175" i="70"/>
  <c r="P6" i="70"/>
  <c r="P247" i="70"/>
  <c r="D76" i="128"/>
  <c r="S243" i="70"/>
  <c r="S293" i="70"/>
  <c r="S22" i="70"/>
  <c r="S284" i="70"/>
  <c r="S66" i="70"/>
  <c r="S239" i="70"/>
  <c r="S91" i="70"/>
  <c r="S88" i="70"/>
  <c r="S143" i="70"/>
  <c r="S154" i="70"/>
  <c r="S218" i="70"/>
  <c r="S130" i="70"/>
  <c r="S10" i="70"/>
  <c r="R9" i="70"/>
  <c r="R6" i="70"/>
  <c r="S153" i="70"/>
  <c r="R43" i="70"/>
  <c r="S50" i="70"/>
  <c r="S250" i="70"/>
  <c r="R247" i="70"/>
  <c r="V247" i="70" s="1"/>
  <c r="R193" i="70"/>
  <c r="S194" i="70"/>
  <c r="R208" i="70"/>
  <c r="S270" i="70"/>
  <c r="R263" i="70"/>
  <c r="S215" i="70"/>
  <c r="S277" i="70"/>
  <c r="O207" i="70"/>
  <c r="P277" i="70"/>
  <c r="I124" i="70"/>
  <c r="O229" i="70"/>
  <c r="F3" i="70"/>
  <c r="F124" i="70"/>
  <c r="P42" i="70"/>
  <c r="O107" i="70"/>
  <c r="O3" i="70" s="1"/>
  <c r="P154" i="70"/>
  <c r="O150" i="70"/>
  <c r="P263" i="70"/>
  <c r="P130" i="70"/>
  <c r="P193" i="70"/>
  <c r="P192" i="70"/>
  <c r="M42" i="70"/>
  <c r="M263" i="70"/>
  <c r="M192" i="70"/>
  <c r="M150" i="70"/>
  <c r="M207" i="70"/>
  <c r="M22" i="70"/>
  <c r="L107" i="70"/>
  <c r="L3" i="70" s="1"/>
  <c r="J107" i="70"/>
  <c r="S172" i="70" l="1"/>
  <c r="D83" i="128"/>
  <c r="V154" i="70"/>
  <c r="Y154" i="70"/>
  <c r="V239" i="70"/>
  <c r="B74" i="128"/>
  <c r="D74" i="128" s="1"/>
  <c r="Y239" i="70"/>
  <c r="V243" i="70"/>
  <c r="B75" i="128"/>
  <c r="D75" i="128" s="1"/>
  <c r="Y243" i="70"/>
  <c r="V66" i="70"/>
  <c r="B17" i="128"/>
  <c r="D17" i="128" s="1"/>
  <c r="Y66" i="70"/>
  <c r="V215" i="70"/>
  <c r="Y215" i="70"/>
  <c r="V88" i="70"/>
  <c r="B18" i="128"/>
  <c r="D18" i="128" s="1"/>
  <c r="Y88" i="70"/>
  <c r="V218" i="70"/>
  <c r="Y218" i="70"/>
  <c r="V108" i="70"/>
  <c r="Y108" i="70"/>
  <c r="B55" i="128"/>
  <c r="D55" i="128" s="1"/>
  <c r="Y130" i="70"/>
  <c r="V143" i="70"/>
  <c r="Y143" i="70"/>
  <c r="D19" i="128"/>
  <c r="B20" i="128"/>
  <c r="D20" i="128" s="1"/>
  <c r="V175" i="70"/>
  <c r="U172" i="70"/>
  <c r="V153" i="70"/>
  <c r="V270" i="70"/>
  <c r="U263" i="70"/>
  <c r="V10" i="70"/>
  <c r="U9" i="70"/>
  <c r="U6" i="70"/>
  <c r="U207" i="70"/>
  <c r="V208" i="70"/>
  <c r="V193" i="70"/>
  <c r="U192" i="70"/>
  <c r="V50" i="70"/>
  <c r="U43" i="70"/>
  <c r="V130" i="70"/>
  <c r="S9" i="70"/>
  <c r="P207" i="70"/>
  <c r="S6" i="70"/>
  <c r="S263" i="70"/>
  <c r="S247" i="70"/>
  <c r="S150" i="70"/>
  <c r="R207" i="70"/>
  <c r="S208" i="70"/>
  <c r="S193" i="70"/>
  <c r="R192" i="70"/>
  <c r="R229" i="70"/>
  <c r="S43" i="70"/>
  <c r="R42" i="70"/>
  <c r="P150" i="70"/>
  <c r="J124" i="70"/>
  <c r="P229" i="70"/>
  <c r="O124" i="70"/>
  <c r="P107" i="70"/>
  <c r="D11" i="128"/>
  <c r="M229" i="70"/>
  <c r="L124" i="70"/>
  <c r="M107" i="70"/>
  <c r="B16" i="128" l="1"/>
  <c r="D16" i="128" s="1"/>
  <c r="Y43" i="70"/>
  <c r="V172" i="70"/>
  <c r="Y172" i="70"/>
  <c r="V263" i="70"/>
  <c r="B78" i="128"/>
  <c r="D78" i="128" s="1"/>
  <c r="Y263" i="70"/>
  <c r="B68" i="128"/>
  <c r="D68" i="128" s="1"/>
  <c r="Y192" i="70"/>
  <c r="V9" i="70"/>
  <c r="B9" i="128"/>
  <c r="D9" i="128" s="1"/>
  <c r="Y9" i="70"/>
  <c r="B69" i="128"/>
  <c r="D69" i="128" s="1"/>
  <c r="Y207" i="70"/>
  <c r="V6" i="70"/>
  <c r="B7" i="128"/>
  <c r="Y6" i="70"/>
  <c r="U229" i="70"/>
  <c r="U150" i="70"/>
  <c r="V207" i="70"/>
  <c r="V192" i="70"/>
  <c r="U42" i="70"/>
  <c r="V43" i="70"/>
  <c r="S207" i="70"/>
  <c r="S192" i="70"/>
  <c r="S229" i="70"/>
  <c r="S42" i="70"/>
  <c r="R107" i="70"/>
  <c r="P124" i="70"/>
  <c r="M124" i="70"/>
  <c r="V229" i="70" l="1"/>
  <c r="B70" i="128"/>
  <c r="Y229" i="70"/>
  <c r="V150" i="70"/>
  <c r="B63" i="128"/>
  <c r="Y150" i="70"/>
  <c r="D7" i="128"/>
  <c r="B15" i="128"/>
  <c r="D15" i="128" s="1"/>
  <c r="Y42" i="70"/>
  <c r="V42" i="70"/>
  <c r="U107" i="70"/>
  <c r="Y107" i="70" s="1"/>
  <c r="R3" i="70"/>
  <c r="S107" i="70"/>
  <c r="R124" i="70"/>
  <c r="B6" i="128" l="1"/>
  <c r="B67" i="128"/>
  <c r="D67" i="128" s="1"/>
  <c r="D63" i="128"/>
  <c r="B54" i="128"/>
  <c r="D70" i="128"/>
  <c r="B82" i="128"/>
  <c r="D82" i="128" s="1"/>
  <c r="U3" i="70"/>
  <c r="V107" i="70"/>
  <c r="U124" i="70"/>
  <c r="Y124" i="70" s="1"/>
  <c r="S124" i="70"/>
  <c r="D54" i="128" l="1"/>
  <c r="B25" i="128"/>
  <c r="D6" i="128"/>
  <c r="V124" i="70"/>
  <c r="G172" i="70" l="1"/>
  <c r="G243" i="70"/>
  <c r="G293" i="70"/>
  <c r="G281" i="70"/>
  <c r="G251" i="70"/>
  <c r="G247" i="70"/>
  <c r="G229" i="70" l="1"/>
  <c r="G284" i="70"/>
  <c r="G235" i="70"/>
  <c r="G37" i="70" l="1"/>
  <c r="G88" i="70"/>
  <c r="G95" i="70"/>
  <c r="G34" i="70"/>
  <c r="G22" i="70" l="1"/>
  <c r="G148" i="70" l="1"/>
  <c r="G296" i="70" l="1"/>
  <c r="G42" i="70" l="1"/>
  <c r="G92" i="70" l="1"/>
  <c r="G98" i="70" l="1"/>
  <c r="G91" i="70" l="1"/>
  <c r="G10" i="70" l="1"/>
  <c r="G215" i="70" l="1"/>
  <c r="G207" i="70" s="1"/>
  <c r="G231" i="70" l="1"/>
  <c r="F140" i="70" l="1"/>
  <c r="I140" i="70" l="1"/>
  <c r="F299" i="70"/>
  <c r="F301" i="70" s="1"/>
  <c r="F302" i="70" s="1"/>
  <c r="G140" i="70"/>
  <c r="G143" i="70"/>
  <c r="L140" i="70" l="1"/>
  <c r="I299" i="70"/>
  <c r="J140" i="70"/>
  <c r="O140" i="70" l="1"/>
  <c r="R140" i="70" s="1"/>
  <c r="L299" i="70"/>
  <c r="L301" i="70" s="1"/>
  <c r="L302" i="70" s="1"/>
  <c r="I301" i="70"/>
  <c r="J301" i="70" s="1"/>
  <c r="J299" i="70"/>
  <c r="M140" i="70"/>
  <c r="G150" i="70"/>
  <c r="U140" i="70" l="1"/>
  <c r="P140" i="70"/>
  <c r="S140" i="70"/>
  <c r="R299" i="70"/>
  <c r="O299" i="70"/>
  <c r="O301" i="70" s="1"/>
  <c r="I302" i="70"/>
  <c r="M301" i="70"/>
  <c r="M299" i="70"/>
  <c r="V140" i="70" l="1"/>
  <c r="U299" i="70"/>
  <c r="Y299" i="70" s="1"/>
  <c r="R301" i="70"/>
  <c r="S299" i="70"/>
  <c r="P299" i="70"/>
  <c r="O302" i="70"/>
  <c r="P301" i="70"/>
  <c r="J302" i="70"/>
  <c r="M302" i="70"/>
  <c r="U301" i="70" l="1"/>
  <c r="V299" i="70"/>
  <c r="S301" i="70"/>
  <c r="R302" i="70"/>
  <c r="P302" i="70"/>
  <c r="G130" i="70"/>
  <c r="G299" i="70" s="1"/>
  <c r="Y301" i="70" l="1"/>
  <c r="B85" i="128"/>
  <c r="V301" i="70"/>
  <c r="U302" i="70"/>
  <c r="Y302" i="70" s="1"/>
  <c r="S302" i="70"/>
  <c r="V302" i="70" l="1"/>
  <c r="G16" i="70" l="1"/>
  <c r="G13" i="70" l="1"/>
  <c r="G9" i="70"/>
  <c r="G6" i="70"/>
  <c r="G107" i="70" l="1"/>
  <c r="G3" i="70" s="1"/>
  <c r="G124" i="70"/>
  <c r="G301" i="70" l="1"/>
  <c r="G30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X181" authorId="0" shapeId="0" xr:uid="{C0143836-E46C-4F99-B8A5-69C0B83FDD69}">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91" authorId="0" shapeId="0" xr:uid="{00000000-0006-0000-0A00-00000E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F291" authorId="0" shapeId="0" xr:uid="{00000000-0006-0000-0A00-00000F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I291" authorId="0" shapeId="0" xr:uid="{70FF6BFE-CBFA-4806-8E64-555052F8CA0B}">
      <text>
        <r>
          <rPr>
            <b/>
            <sz val="9"/>
            <color indexed="81"/>
            <rFont val="Tahoma"/>
            <family val="2"/>
            <charset val="186"/>
          </rPr>
          <t>Sarmīte Mūze:</t>
        </r>
        <r>
          <rPr>
            <sz val="9"/>
            <color indexed="81"/>
            <rFont val="Tahoma"/>
            <family val="2"/>
            <charset val="186"/>
          </rPr>
          <t xml:space="preserve">
Šis ir jāizņem no 0930 un jāliek 0982 algā.
</t>
        </r>
      </text>
    </comment>
    <comment ref="L291" authorId="0" shapeId="0" xr:uid="{282F8E9F-1C9C-4EC9-BFF4-5C2D885728CE}">
      <text>
        <r>
          <rPr>
            <b/>
            <sz val="9"/>
            <color indexed="81"/>
            <rFont val="Tahoma"/>
            <family val="2"/>
            <charset val="186"/>
          </rPr>
          <t>Sarmīte Mūze:</t>
        </r>
        <r>
          <rPr>
            <sz val="9"/>
            <color indexed="81"/>
            <rFont val="Tahoma"/>
            <family val="2"/>
            <charset val="186"/>
          </rPr>
          <t xml:space="preserve">
Šis ir jāizņem no 0930 un jāliek 0982 algā.
</t>
        </r>
      </text>
    </comment>
    <comment ref="O291" authorId="0" shapeId="0" xr:uid="{81293606-0E41-434F-9E0A-344195318263}">
      <text>
        <r>
          <rPr>
            <b/>
            <sz val="9"/>
            <color indexed="81"/>
            <rFont val="Tahoma"/>
            <family val="2"/>
            <charset val="186"/>
          </rPr>
          <t>Sarmīte Mūze:</t>
        </r>
        <r>
          <rPr>
            <sz val="9"/>
            <color indexed="81"/>
            <rFont val="Tahoma"/>
            <family val="2"/>
            <charset val="186"/>
          </rPr>
          <t xml:space="preserve">
Šis ir jāizņem no 0930 un jāliek 0982 algā.
</t>
        </r>
      </text>
    </comment>
    <comment ref="R291" authorId="0" shapeId="0" xr:uid="{1DC12053-312E-444A-A852-16A1C93E6587}">
      <text>
        <r>
          <rPr>
            <b/>
            <sz val="9"/>
            <color indexed="81"/>
            <rFont val="Tahoma"/>
            <family val="2"/>
            <charset val="186"/>
          </rPr>
          <t>Sarmīte Mūze:</t>
        </r>
        <r>
          <rPr>
            <sz val="9"/>
            <color indexed="81"/>
            <rFont val="Tahoma"/>
            <family val="2"/>
            <charset val="186"/>
          </rPr>
          <t xml:space="preserve">
Šis ir jāizņem no 0930 un jāliek 0982 algā.
</t>
        </r>
      </text>
    </comment>
    <comment ref="U291" authorId="0" shapeId="0" xr:uid="{846AA49C-FF82-4069-BE28-16A73053FA73}">
      <text>
        <r>
          <rPr>
            <b/>
            <sz val="9"/>
            <color indexed="81"/>
            <rFont val="Tahoma"/>
            <family val="2"/>
            <charset val="186"/>
          </rPr>
          <t>Sarmīte Mūze:</t>
        </r>
        <r>
          <rPr>
            <sz val="9"/>
            <color indexed="81"/>
            <rFont val="Tahoma"/>
            <family val="2"/>
            <charset val="186"/>
          </rPr>
          <t xml:space="preserve">
Šis ir jāizņem no 0930 un jāliek 0982 algā.
</t>
        </r>
      </text>
    </comment>
    <comment ref="X291" authorId="0" shapeId="0" xr:uid="{E851798F-1597-4D7B-A3B7-40BA5FED72B6}">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<sst xmlns="http://schemas.openxmlformats.org/spreadsheetml/2006/main" count="1202" uniqueCount="941">
  <si>
    <t xml:space="preserve">Ieņēmumu daļa </t>
  </si>
  <si>
    <t xml:space="preserve">N.p.k. </t>
  </si>
  <si>
    <t>Sadaļa</t>
  </si>
  <si>
    <t>Komentāri</t>
  </si>
  <si>
    <t>Komentāri par izpildi</t>
  </si>
  <si>
    <t>Nodokļu ieņēmumi</t>
  </si>
  <si>
    <t>1.1.1.0.</t>
  </si>
  <si>
    <t>1.</t>
  </si>
  <si>
    <t>Iedzīvotāju ienākuma nodoklis</t>
  </si>
  <si>
    <t>PB</t>
  </si>
  <si>
    <t>1.1.</t>
  </si>
  <si>
    <t>01.1.1.2.</t>
  </si>
  <si>
    <t>1.2.</t>
  </si>
  <si>
    <t>pārskata gada</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</si>
  <si>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</si>
  <si>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</si>
  <si>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</si>
  <si>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</si>
  <si>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</si>
  <si>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</si>
  <si>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</si>
  <si>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</si>
  <si>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</si>
  <si>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</si>
  <si>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</si>
  <si>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</si>
  <si>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</si>
  <si>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</si>
  <si>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</si>
  <si>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</si>
  <si>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</si>
  <si>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</si>
  <si>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</si>
  <si>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</si>
  <si>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</si>
  <si>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</si>
  <si>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</si>
  <si>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</si>
  <si>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</si>
  <si>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</si>
  <si>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</si>
  <si>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</si>
  <si>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</si>
  <si>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</si>
  <si>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</si>
  <si>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</si>
  <si>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</si>
  <si>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</si>
  <si>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</si>
  <si>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</si>
  <si>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t>09.4.9.0.</t>
  </si>
  <si>
    <t>6.1.3.</t>
  </si>
  <si>
    <t>9.5.0.0.</t>
  </si>
  <si>
    <t>6.2.</t>
  </si>
  <si>
    <t>pašvaldību nodevas</t>
  </si>
  <si>
    <t>09.5.1.1.</t>
  </si>
  <si>
    <t>6.2.1.</t>
  </si>
  <si>
    <t>09.5.1.4.</t>
  </si>
  <si>
    <t>6.2.2.</t>
  </si>
  <si>
    <t>6.2.3.</t>
  </si>
  <si>
    <t>09.5.1.7.</t>
  </si>
  <si>
    <t>6.2.4.</t>
  </si>
  <si>
    <t>09.5.2.1.</t>
  </si>
  <si>
    <t>6.2.5.</t>
  </si>
  <si>
    <t>09.5.2.9.</t>
  </si>
  <si>
    <t>6.2.6.</t>
  </si>
  <si>
    <t>10.0.0.0.</t>
  </si>
  <si>
    <t>7.</t>
  </si>
  <si>
    <t>Naudas sodi un sankcijas</t>
  </si>
  <si>
    <t>10.1.4.0.</t>
  </si>
  <si>
    <t>7.1.</t>
  </si>
  <si>
    <t>10.1.5.0.</t>
  </si>
  <si>
    <t>7.2.</t>
  </si>
  <si>
    <t>Naudas sodi, ko uzliek par pārkāpumiem ceļu satiksmē</t>
  </si>
  <si>
    <t>12.0.0.0.</t>
  </si>
  <si>
    <t>8.</t>
  </si>
  <si>
    <t>Pārējie nenodokļu ieņēmumi</t>
  </si>
  <si>
    <t>8.1.</t>
  </si>
  <si>
    <t>citi nenodokļu ieņēmumi</t>
  </si>
  <si>
    <t>8.2.</t>
  </si>
  <si>
    <t>8.3.</t>
  </si>
  <si>
    <t>9.</t>
  </si>
  <si>
    <t>Ieņēmumi no pašvaldības īpašuma pārdošana</t>
  </si>
  <si>
    <t>9.1.</t>
  </si>
  <si>
    <t>9.2.</t>
  </si>
  <si>
    <t>10.</t>
  </si>
  <si>
    <t>Valsts budžeta transferti</t>
  </si>
  <si>
    <t>mērķdotācija</t>
  </si>
  <si>
    <t>18.6.2.3.</t>
  </si>
  <si>
    <t>10.1.</t>
  </si>
  <si>
    <t>dotācija mākslas skolas algām</t>
  </si>
  <si>
    <t>18.6.2.4.</t>
  </si>
  <si>
    <t>10.2.</t>
  </si>
  <si>
    <t>dotācija sporta skolai</t>
  </si>
  <si>
    <t>dotācija skolēnu ēdināšanai</t>
  </si>
  <si>
    <t>18.6.2.5.</t>
  </si>
  <si>
    <t>18.6.2.0.</t>
  </si>
  <si>
    <t>dotācijas pedagogu algām (vsk., PII)</t>
  </si>
  <si>
    <t>18.6.2.2.</t>
  </si>
  <si>
    <t>t.sk.: - piecgadīgo bērnu apmācība</t>
  </si>
  <si>
    <t>18.6.2.1.</t>
  </si>
  <si>
    <t>18.6.2.9.</t>
  </si>
  <si>
    <t>18.6.3.1.</t>
  </si>
  <si>
    <t>18.6.2.7.</t>
  </si>
  <si>
    <t>dotācija asistenta pakalpojumu nodrošināšanai</t>
  </si>
  <si>
    <t>pārējās dotācijas</t>
  </si>
  <si>
    <t>18.6.3.6.</t>
  </si>
  <si>
    <t>11.</t>
  </si>
  <si>
    <t>Pašvaldību budžeta transferti</t>
  </si>
  <si>
    <t>19.2.1.0.</t>
  </si>
  <si>
    <t>11.1.</t>
  </si>
  <si>
    <t>no citām pašvaldībām izglītības funkciju nodrošināšanai</t>
  </si>
  <si>
    <t>11.2.</t>
  </si>
  <si>
    <t>12.</t>
  </si>
  <si>
    <t>Budžeta iestāžu ieņēmumi</t>
  </si>
  <si>
    <t>21.3.5.0.</t>
  </si>
  <si>
    <t>12.1.</t>
  </si>
  <si>
    <t>12.1.1.</t>
  </si>
  <si>
    <t>21.3.5.2.</t>
  </si>
  <si>
    <t>12.1.2.</t>
  </si>
  <si>
    <t>21.3.5.9.</t>
  </si>
  <si>
    <t>21.3.8.0.</t>
  </si>
  <si>
    <t>12.2.</t>
  </si>
  <si>
    <t>ieņēmumi par nomu un īri</t>
  </si>
  <si>
    <t>21.3.8.1.</t>
  </si>
  <si>
    <t>12.2.1.</t>
  </si>
  <si>
    <t>21.3.8.4.</t>
  </si>
  <si>
    <t>12.2.2.</t>
  </si>
  <si>
    <t>21.3.9.0.</t>
  </si>
  <si>
    <t>12.3.</t>
  </si>
  <si>
    <t>budžeta iestāžu maksas pakalpojumi</t>
  </si>
  <si>
    <t>12.4.</t>
  </si>
  <si>
    <t>KOPĀ IEŅĒMUMI:</t>
  </si>
  <si>
    <t>13.</t>
  </si>
  <si>
    <t>Naudas līdzekļu atlikums gada sākumā</t>
  </si>
  <si>
    <t>13.1.</t>
  </si>
  <si>
    <t>Naudas atlikums iezīmētiem mērķiem</t>
  </si>
  <si>
    <t>13.2.</t>
  </si>
  <si>
    <t>Naudas atlikums pašvaldības līdzekļi</t>
  </si>
  <si>
    <t xml:space="preserve">14. </t>
  </si>
  <si>
    <t>Valsts Kases kredīti</t>
  </si>
  <si>
    <t>PAVISAM KOPĀ IEŅĒMUMI:</t>
  </si>
  <si>
    <t xml:space="preserve">Izdevumu daļa </t>
  </si>
  <si>
    <t>Vispārējie valdības dienesti</t>
  </si>
  <si>
    <t>pārvalde</t>
  </si>
  <si>
    <t>deputāti</t>
  </si>
  <si>
    <t>1.3.</t>
  </si>
  <si>
    <t>administratīvā komisija</t>
  </si>
  <si>
    <t>1.4.</t>
  </si>
  <si>
    <t>iepirkumu komisija</t>
  </si>
  <si>
    <t>1.5.</t>
  </si>
  <si>
    <t>vēlēšanu komisija</t>
  </si>
  <si>
    <t>1.6.</t>
  </si>
  <si>
    <t>1.7.</t>
  </si>
  <si>
    <t>1.8.</t>
  </si>
  <si>
    <t>aizņēmumu procentu maksājumi</t>
  </si>
  <si>
    <t>Iemaksas PFIF</t>
  </si>
  <si>
    <t>Pārējie vispārēja rakstura transferti</t>
  </si>
  <si>
    <t>Izdevumi neparedzētiem gadījumiem</t>
  </si>
  <si>
    <t>Sabiedriskā kārtība un drošība</t>
  </si>
  <si>
    <t>Sabiedriskās attiecības, laikraksts</t>
  </si>
  <si>
    <t>Pašvaldības teritoriju un mājokļu apsaimniekošana</t>
  </si>
  <si>
    <t>5.1.</t>
  </si>
  <si>
    <t>Būvvalde</t>
  </si>
  <si>
    <t>nodaļa</t>
  </si>
  <si>
    <t>Objektu un teritorijas apsaimniekošana un uzturēšana</t>
  </si>
  <si>
    <t>Atpūta, kultūra un reliģija</t>
  </si>
  <si>
    <t>6.3.</t>
  </si>
  <si>
    <t>Sporta daļa</t>
  </si>
  <si>
    <t>6.4.</t>
  </si>
  <si>
    <t>Evaņģēliski luteriskās draudzes</t>
  </si>
  <si>
    <t>6.5.</t>
  </si>
  <si>
    <t>Sociālā aizsardzība</t>
  </si>
  <si>
    <t>Sociālais dienests</t>
  </si>
  <si>
    <t>Stipendiāti / bezdarbnieki</t>
  </si>
  <si>
    <t>7.3.</t>
  </si>
  <si>
    <t>Bāriņtiesa</t>
  </si>
  <si>
    <t>Izglītība</t>
  </si>
  <si>
    <t>7210 (0940; 0970)</t>
  </si>
  <si>
    <t>Norēķini ar pašvaldību budžetiem par izglītības iestāžu pakalpojumiem</t>
  </si>
  <si>
    <t>Ādažu Pirmsskolas izglītības iestāde</t>
  </si>
  <si>
    <t>8.2.1.</t>
  </si>
  <si>
    <t>pedagogu algas (mērķdotācija)</t>
  </si>
  <si>
    <t>8.2.2.</t>
  </si>
  <si>
    <t>pārējās izmaksas</t>
  </si>
  <si>
    <t>Kadagas PII</t>
  </si>
  <si>
    <t>8.3.1.</t>
  </si>
  <si>
    <t>8.3.2.</t>
  </si>
  <si>
    <t>8.4.</t>
  </si>
  <si>
    <t>Privātās izglītības iestādes</t>
  </si>
  <si>
    <t>ĀBVS</t>
  </si>
  <si>
    <t>8.5.</t>
  </si>
  <si>
    <t>Ādažu vidusskola</t>
  </si>
  <si>
    <t>8.6.</t>
  </si>
  <si>
    <t>8.7.</t>
  </si>
  <si>
    <t>Sporta skola</t>
  </si>
  <si>
    <t>8.8.</t>
  </si>
  <si>
    <t>Ieguldījumi uzņēmumu pamatkapitālā</t>
  </si>
  <si>
    <t>SIA "Ādažu ūdens"</t>
  </si>
  <si>
    <t>SIA "Garkalnes ūdens"</t>
  </si>
  <si>
    <t>KOPĀ IZDEVUMI:</t>
  </si>
  <si>
    <t>Kredītu pamatsummas atmaksa</t>
  </si>
  <si>
    <t>PAVISAM KOPĀ IZDEVUMI:</t>
  </si>
  <si>
    <t>-</t>
  </si>
  <si>
    <t>Naudas līdzekļu atlikums uz gada beigām</t>
  </si>
  <si>
    <t>0110</t>
  </si>
  <si>
    <t>0111</t>
  </si>
  <si>
    <t>0120</t>
  </si>
  <si>
    <t>0130</t>
  </si>
  <si>
    <t>0140</t>
  </si>
  <si>
    <t>0150</t>
  </si>
  <si>
    <t>0490</t>
  </si>
  <si>
    <t>0340</t>
  </si>
  <si>
    <t>0610</t>
  </si>
  <si>
    <t>0630</t>
  </si>
  <si>
    <t>0812</t>
  </si>
  <si>
    <t>0830</t>
  </si>
  <si>
    <t>0880</t>
  </si>
  <si>
    <t>0910</t>
  </si>
  <si>
    <t>0950</t>
  </si>
  <si>
    <t>0965</t>
  </si>
  <si>
    <t>0970</t>
  </si>
  <si>
    <t>Mērķdotācija</t>
  </si>
  <si>
    <t>Pašvaldības finansējums</t>
  </si>
  <si>
    <t>Pabalsti</t>
  </si>
  <si>
    <t>7.1.1.</t>
  </si>
  <si>
    <t>Asistentu pakalpojumi</t>
  </si>
  <si>
    <t>7.1.2.</t>
  </si>
  <si>
    <t>Domes finansējums</t>
  </si>
  <si>
    <t>NVA finansējums</t>
  </si>
  <si>
    <t>0930</t>
  </si>
  <si>
    <t>pārējās komisijas</t>
  </si>
  <si>
    <t>projekts Erasmus+</t>
  </si>
  <si>
    <t>pedagogu algas, grāmatas (mērķdotācija)</t>
  </si>
  <si>
    <t>13.1.0.0.</t>
  </si>
  <si>
    <t>SAM 9.2.4.2. projekts "Pasākumi vietējās sabiedrības veselības veicināšanai Ādažu novadā"</t>
  </si>
  <si>
    <t>Multihalle</t>
  </si>
  <si>
    <t>0981</t>
  </si>
  <si>
    <t>līgumsodi un procentu maksājumi par saistību neizpildi</t>
  </si>
  <si>
    <t>12.3.9.5.</t>
  </si>
  <si>
    <t>19.2.2.0.</t>
  </si>
  <si>
    <t>citi ieņēmumi no citām pašvaldībam</t>
  </si>
  <si>
    <t>ES struktūrfondu līdzekļi un aktivitāšu līdzfinansējumi</t>
  </si>
  <si>
    <t>Valsts budžeta transferti un projektu finansējums</t>
  </si>
  <si>
    <t>VISA projekts "Atbalsts izglītojamo individuālo kompetenču attīstībai"</t>
  </si>
  <si>
    <t>SAM 9311 Deinstitucionalizācija - Dienas centrs</t>
  </si>
  <si>
    <t>0956</t>
  </si>
  <si>
    <t>7.4.</t>
  </si>
  <si>
    <t>dotācija sociālajiem darbiniekiem, kuri strādā ar ģimenēm un bērniem</t>
  </si>
  <si>
    <t>18.6.3.4</t>
  </si>
  <si>
    <t xml:space="preserve">18.6.3.13. </t>
  </si>
  <si>
    <t xml:space="preserve">18.6.3.14.  </t>
  </si>
  <si>
    <t>sākumskolas uzturēšanas izmaksas</t>
  </si>
  <si>
    <t xml:space="preserve">Komentāri </t>
  </si>
  <si>
    <t>projekts "Skolas soma"</t>
  </si>
  <si>
    <t>dotācija māksliniecisko kolektīvu vadītāju atalgojumam</t>
  </si>
  <si>
    <t>18.6.2.6.1.</t>
  </si>
  <si>
    <t>Pārējās privātās vidējās izglītības iestādes</t>
  </si>
  <si>
    <t>ēdināšana (mērķdotācija)</t>
  </si>
  <si>
    <t>sākumskolas ēdināšana (mērķdotācija)</t>
  </si>
  <si>
    <t>18.6.2.10.; 18.6.2.11</t>
  </si>
  <si>
    <t>0911</t>
  </si>
  <si>
    <t>0921</t>
  </si>
  <si>
    <t>valsts dotācija ceļu uzturēšanai</t>
  </si>
  <si>
    <t>18.6.2.9.;</t>
  </si>
  <si>
    <t>0951</t>
  </si>
  <si>
    <t>0952</t>
  </si>
  <si>
    <t xml:space="preserve">PII </t>
  </si>
  <si>
    <t>-  uzturēšana</t>
  </si>
  <si>
    <t>t.sk.: - par civilstāvokļa aktu reģistrēšanu, grozīšanu un papildināšanu</t>
  </si>
  <si>
    <t>t.sk.: - pārējās valsts nodevas, kuras ieskaita pašvaldību budžetā</t>
  </si>
  <si>
    <t>t.sk.: - nodeva par domes izstrādāto oficiālo dokumentu saņemšanu</t>
  </si>
  <si>
    <t>t.sk.: - nodeva par tirdzniecību publiskās vietās</t>
  </si>
  <si>
    <t>t.sk.: - nodeva par reklāmas, afišu un sludinājumu izvietošanu publiskās vietās</t>
  </si>
  <si>
    <t>t.sk.: - nodeva par būvatļaujas saņemšanu</t>
  </si>
  <si>
    <t>t.sk.: - pārējās nodevas</t>
  </si>
  <si>
    <t>t.sk.: - skolotāju algām</t>
  </si>
  <si>
    <t>t.sk.: - interešu izglītība</t>
  </si>
  <si>
    <t>t.sk.: - nodeva par izklaidējoša rakstura pasākumu sarīkošanu publiskās vietās</t>
  </si>
  <si>
    <t>12.4.1.</t>
  </si>
  <si>
    <t>12.4.2.</t>
  </si>
  <si>
    <t>12.4.3.</t>
  </si>
  <si>
    <t>12.5.</t>
  </si>
  <si>
    <t>1.9.</t>
  </si>
  <si>
    <t>Autoceļu fonds</t>
  </si>
  <si>
    <t>CKS</t>
  </si>
  <si>
    <t>Pašvaldības aģentūra "Carnikavas Komunālserviss"</t>
  </si>
  <si>
    <t>Projekts "Sabiedrība ar dvēseli"</t>
  </si>
  <si>
    <t>Pirmsskolas izglītības iestāde "Riekstiņš"</t>
  </si>
  <si>
    <t>Sociālā centra "Kadiķis" uzturēšana</t>
  </si>
  <si>
    <t>Carnikava</t>
  </si>
  <si>
    <t>Kultūra</t>
  </si>
  <si>
    <t>Pirmsskolas izglītības iestādes "Piejūra"</t>
  </si>
  <si>
    <t>7.1.3.</t>
  </si>
  <si>
    <t>Projekts "Skolas soma" Ādaži</t>
  </si>
  <si>
    <t>ESF projekts Karjeras atbalsts vispārējās un profesionālās izglītības iestādēs ©</t>
  </si>
  <si>
    <t>ES Padomes projekts LIFE COHABIT ©</t>
  </si>
  <si>
    <t>ESF projekts Atbalsts priekšlaicīgas mācību pārtraukšanas samazināšanai ©</t>
  </si>
  <si>
    <t>SAM 5.5.1. Kultūras objektu būvniecība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</si>
  <si>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</si>
  <si>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</si>
  <si>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</si>
  <si>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</si>
  <si>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</si>
  <si>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</si>
  <si>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</si>
  <si>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</si>
  <si>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</si>
  <si>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ieņēmumi no zvejas tiesību nomas</t>
  </si>
  <si>
    <t>Informācijas tehnoloģiju nodaļa, vispārējas nozīmes dienestu darbība un pakalpojumi - datortīkla uzturēšana ©</t>
  </si>
  <si>
    <t>Pārrobežu EST-LAT projekts "Militārais mantojums ©</t>
  </si>
  <si>
    <t>Tautas nams "Ozolaine" ©</t>
  </si>
  <si>
    <t>SAM 5.5.1. Kultūras objektu būvniecība (maksājumi projekta partneriem) ©</t>
  </si>
  <si>
    <t>ES projekts Eiropa pilsoņiem (diskriminētām personām) ©</t>
  </si>
  <si>
    <t>Ādažu pašvaldības apvienotais budžets</t>
  </si>
  <si>
    <t>Ādaži</t>
  </si>
  <si>
    <t>ERASMUS + projekti</t>
  </si>
  <si>
    <t>0952.1</t>
  </si>
  <si>
    <t>0954</t>
  </si>
  <si>
    <t>0957</t>
  </si>
  <si>
    <t>09824</t>
  </si>
  <si>
    <t>09011</t>
  </si>
  <si>
    <t>0901; 650_0901</t>
  </si>
  <si>
    <t>0902; 650_0902</t>
  </si>
  <si>
    <t>09021</t>
  </si>
  <si>
    <t>0982</t>
  </si>
  <si>
    <t>09821</t>
  </si>
  <si>
    <t>09822</t>
  </si>
  <si>
    <t>0982; 0650_0982</t>
  </si>
  <si>
    <t>0932</t>
  </si>
  <si>
    <t>0931</t>
  </si>
  <si>
    <t>ĀND</t>
  </si>
  <si>
    <t>7.5.</t>
  </si>
  <si>
    <t>0831</t>
  </si>
  <si>
    <t>0170</t>
  </si>
  <si>
    <t>0670</t>
  </si>
  <si>
    <t>Projekts "Skolas soma" Carnikava</t>
  </si>
  <si>
    <t>Teritorijas plānošanas nodaļa</t>
  </si>
  <si>
    <t>Attīstības un projektu nodaļa</t>
  </si>
  <si>
    <t>P/A "Carnikavas komunālserviss" teritorijas un īpašumu apsaimniekošana</t>
  </si>
  <si>
    <t xml:space="preserve">Ādažu kultūras centrs </t>
  </si>
  <si>
    <t xml:space="preserve">Ādažu bibliotēka </t>
  </si>
  <si>
    <t xml:space="preserve">Carnikavas bibliotēka </t>
  </si>
  <si>
    <t xml:space="preserve">Sociālās funkcijas nodrošināšana </t>
  </si>
  <si>
    <t>”Mobilitātes punkta infrastruktūras izveidošana Rīgas metropoles areālā – “Carnikava””</t>
  </si>
  <si>
    <t>Maģistrālā  veloceļa izbūve Rīga-Carnikava</t>
  </si>
  <si>
    <t>mācību vides labiekārtošana</t>
  </si>
  <si>
    <t>Nodokļi un maksājumi par tiesībām lietot atsevišķas preces</t>
  </si>
  <si>
    <t>Ekonomiskā darbība</t>
  </si>
  <si>
    <t>Dabas resursu nodokļa izlietojums</t>
  </si>
  <si>
    <t>Vides aizsardzība</t>
  </si>
  <si>
    <t>6.4.1.</t>
  </si>
  <si>
    <t>6.4.2.</t>
  </si>
  <si>
    <t>6.4.6.</t>
  </si>
  <si>
    <t>6.4.7.</t>
  </si>
  <si>
    <t>6.4.8.</t>
  </si>
  <si>
    <t>6.4.9.</t>
  </si>
  <si>
    <t>7.6.</t>
  </si>
  <si>
    <t>7.8.</t>
  </si>
  <si>
    <t>7.9.</t>
  </si>
  <si>
    <t>8.1.1.</t>
  </si>
  <si>
    <t>8.1.2.</t>
  </si>
  <si>
    <t>8.1.3.</t>
  </si>
  <si>
    <t>8.1.5.</t>
  </si>
  <si>
    <t>8.1.6.</t>
  </si>
  <si>
    <t>8.3.3.</t>
  </si>
  <si>
    <t>9.2.1.</t>
  </si>
  <si>
    <t>9.2.2.</t>
  </si>
  <si>
    <t>9.3.</t>
  </si>
  <si>
    <t>9.3.1.</t>
  </si>
  <si>
    <t>9.3.2.</t>
  </si>
  <si>
    <t>9.4.</t>
  </si>
  <si>
    <t>9.4.1.</t>
  </si>
  <si>
    <t>9.4.2.</t>
  </si>
  <si>
    <t>9.5.</t>
  </si>
  <si>
    <t>9.5.1.</t>
  </si>
  <si>
    <t>9.5.2.</t>
  </si>
  <si>
    <t>9.6.</t>
  </si>
  <si>
    <t>9.6.1.</t>
  </si>
  <si>
    <t>9.6.2.</t>
  </si>
  <si>
    <t>9.6.3.</t>
  </si>
  <si>
    <t>9.7.</t>
  </si>
  <si>
    <t>9.7.1.</t>
  </si>
  <si>
    <t>9.7.2.</t>
  </si>
  <si>
    <t>9.7.3.</t>
  </si>
  <si>
    <t>9.7.4.</t>
  </si>
  <si>
    <t>9.7.5.</t>
  </si>
  <si>
    <t>9.7.6.</t>
  </si>
  <si>
    <t>9.9.</t>
  </si>
  <si>
    <t>9.9.1.</t>
  </si>
  <si>
    <t>9.9.2.</t>
  </si>
  <si>
    <t>9.9.3.</t>
  </si>
  <si>
    <t>9.9.4.</t>
  </si>
  <si>
    <t>9.9.5.</t>
  </si>
  <si>
    <t>9.9.6.</t>
  </si>
  <si>
    <t>9.9.7.</t>
  </si>
  <si>
    <t>9.9.8.</t>
  </si>
  <si>
    <t>9.10.</t>
  </si>
  <si>
    <t>9.10.1.</t>
  </si>
  <si>
    <t>9.10.2.</t>
  </si>
  <si>
    <t>9.11.</t>
  </si>
  <si>
    <t>9.11.1.</t>
  </si>
  <si>
    <t>9.11.2.</t>
  </si>
  <si>
    <t>9.12.</t>
  </si>
  <si>
    <t>9.13.</t>
  </si>
  <si>
    <t>9.14.</t>
  </si>
  <si>
    <t>9.15.</t>
  </si>
  <si>
    <t>9.16.</t>
  </si>
  <si>
    <t>9.17.</t>
  </si>
  <si>
    <t>Sabiedrisko attiecību nodaļa</t>
  </si>
  <si>
    <t>0841.3</t>
  </si>
  <si>
    <t>0841.2</t>
  </si>
  <si>
    <t>1014.1</t>
  </si>
  <si>
    <t>0510</t>
  </si>
  <si>
    <t>0420</t>
  </si>
  <si>
    <t>0633.1</t>
  </si>
  <si>
    <t>0633.2</t>
  </si>
  <si>
    <t>0841.1</t>
  </si>
  <si>
    <t>1013.1</t>
  </si>
  <si>
    <t>1., 2., 3., 4., 5.1.</t>
  </si>
  <si>
    <t>1., 2., 3., 4.</t>
  </si>
  <si>
    <t>Nekustamā īpašuma nodokļu ieņēmumi</t>
  </si>
  <si>
    <t>Dabas resursu nodoklis</t>
  </si>
  <si>
    <t>5.5.3.1.</t>
  </si>
  <si>
    <t>5.4.1.0.</t>
  </si>
  <si>
    <t>10.1.1.</t>
  </si>
  <si>
    <t>10.1.2.</t>
  </si>
  <si>
    <t>10.1.3.</t>
  </si>
  <si>
    <t>10.1.4.</t>
  </si>
  <si>
    <t>10.1.5.</t>
  </si>
  <si>
    <t xml:space="preserve">  10.1.5.1.</t>
  </si>
  <si>
    <t xml:space="preserve">  10.1.5.2.</t>
  </si>
  <si>
    <t xml:space="preserve">  10.1.5.3.</t>
  </si>
  <si>
    <t>10.1.6.</t>
  </si>
  <si>
    <t>10.1.7.</t>
  </si>
  <si>
    <t>10.1.8.</t>
  </si>
  <si>
    <t>10.1.9.</t>
  </si>
  <si>
    <t>10.1.10.</t>
  </si>
  <si>
    <t>10.1.11.</t>
  </si>
  <si>
    <t>10.2.1.</t>
  </si>
  <si>
    <t>10.2.2.</t>
  </si>
  <si>
    <t>10.2.3.</t>
  </si>
  <si>
    <t>10.2.4.</t>
  </si>
  <si>
    <t>10.2.5.</t>
  </si>
  <si>
    <t>10.2.6.</t>
  </si>
  <si>
    <t>10.2.8.</t>
  </si>
  <si>
    <t>10.2.10.</t>
  </si>
  <si>
    <t>10.2.11.</t>
  </si>
  <si>
    <t>18.6.4.0.</t>
  </si>
  <si>
    <t>IIN budžeta dotācija</t>
  </si>
  <si>
    <t>10.3.</t>
  </si>
  <si>
    <t>0620</t>
  </si>
  <si>
    <t>0633.4</t>
  </si>
  <si>
    <t>0634</t>
  </si>
  <si>
    <t>0844.1</t>
  </si>
  <si>
    <t>0844.2</t>
  </si>
  <si>
    <t>0420 (18.6.2.9.)</t>
  </si>
  <si>
    <t>F40321210</t>
  </si>
  <si>
    <t>0933</t>
  </si>
  <si>
    <t>09651</t>
  </si>
  <si>
    <t>0920</t>
  </si>
  <si>
    <t>09825</t>
  </si>
  <si>
    <t>0660</t>
  </si>
  <si>
    <t>Ādažu vēstis</t>
  </si>
  <si>
    <t>4.1.1.</t>
  </si>
  <si>
    <t>4.1.2.</t>
  </si>
  <si>
    <t>Iedzīvotāju iniciatīvas un konkursi.</t>
  </si>
  <si>
    <t>10.2.13.</t>
  </si>
  <si>
    <t>10.2.14.</t>
  </si>
  <si>
    <t>10.2.15.</t>
  </si>
  <si>
    <t>0630.2</t>
  </si>
  <si>
    <t>0630.1</t>
  </si>
  <si>
    <t>9.7.7.</t>
  </si>
  <si>
    <t>Carnikavas stadiona rekonstrukcija</t>
  </si>
  <si>
    <t>09823</t>
  </si>
  <si>
    <t>Dotācijas Ukrainas pilsoņu atbalstam</t>
  </si>
  <si>
    <t xml:space="preserve">  10.1.4.1.</t>
  </si>
  <si>
    <t xml:space="preserve">  10.1.4.2.</t>
  </si>
  <si>
    <t>t.sk.: - dotācija mācību grāmatām</t>
  </si>
  <si>
    <t>dotācija mācību līdzekļiem</t>
  </si>
  <si>
    <t>t.sk.: - dotācija digitālajiem mācību līdzekļiem</t>
  </si>
  <si>
    <t>10.2.16.</t>
  </si>
  <si>
    <t>21.3.8.9.</t>
  </si>
  <si>
    <t>7.10.</t>
  </si>
  <si>
    <t xml:space="preserve"> ”Mobilitātes punkta infrastruktūras izveidošana Rīgas metropoles areālā – “Carnikava””</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</si>
  <si>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</si>
  <si>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</si>
  <si>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</si>
  <si>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Ādažu vidusskolas ēkas B korpusa un savienojuma daļas starp korpusiem (C un B) fasādes atjaunošana</t>
  </si>
  <si>
    <t>Ķiršu ielas III kārta no Saules ielas līdz Attekas ielai 0.17km</t>
  </si>
  <si>
    <t>Projekts "Eiropas pilsētu iniciatīva"</t>
  </si>
  <si>
    <t>Dotācijas "Energoresursu atbalsts"</t>
  </si>
  <si>
    <t>10</t>
  </si>
  <si>
    <t>Valsts finansējums projektu konkursā "Atbalsts jaunatnes politikas īstenošanai vietējā līmenī"  projekts "Mobilais darbs ar jaunatni Ādažu novadā"</t>
  </si>
  <si>
    <t>TEP “Atjaunojamo energoresursu izmantošana Ādažu novadā” (EUCF)</t>
  </si>
  <si>
    <t>SAM 5.1.1. Pretplūdu pasākumi Ādažu centra polderī, Ādažu novadā</t>
  </si>
  <si>
    <t>0632.5</t>
  </si>
  <si>
    <t>14.1.</t>
  </si>
  <si>
    <t>14.2.</t>
  </si>
  <si>
    <t>14.3.</t>
  </si>
  <si>
    <t>14.4.</t>
  </si>
  <si>
    <t>14.5.</t>
  </si>
  <si>
    <t>14.6.</t>
  </si>
  <si>
    <t>Plūdu risku projekts</t>
  </si>
  <si>
    <t>Dotācija nodarbinātības pasākumiem</t>
  </si>
  <si>
    <t>SAM 9311 Deinstitucionalizācija - Dienas centrs - specializētās darbnīcas</t>
  </si>
  <si>
    <t>Dienas centrs - pakalpojumi (Ā)</t>
  </si>
  <si>
    <t>10.2.9.</t>
  </si>
  <si>
    <t>10.2.12.</t>
  </si>
  <si>
    <t>10.2.17.</t>
  </si>
  <si>
    <t>10.2.18.</t>
  </si>
  <si>
    <t>10.2.19.</t>
  </si>
  <si>
    <t>DI centra uzturēšanas izdevumi</t>
  </si>
  <si>
    <t>DI centra pakalpojumi (projekts)</t>
  </si>
  <si>
    <t>Ādažu novada  Mākslu skola</t>
  </si>
  <si>
    <t>DI projekts- specializētās darbnīcas</t>
  </si>
  <si>
    <t>0633.5</t>
  </si>
  <si>
    <t>Ģimenes ārsta prakses izveide_Garā iela 20 (ERAF, SAM 9.3.2. 4.kārta)</t>
  </si>
  <si>
    <t>ieņēmumi no vecāku maksām (PII)</t>
  </si>
  <si>
    <t>ieņēmumi no vecāku maksām (ĀMMS; BJSS)</t>
  </si>
  <si>
    <t>21.3.9.3.</t>
  </si>
  <si>
    <t>ieņēmumi no biļešu realizācijas</t>
  </si>
  <si>
    <t>maksa par izglītības pakalpojumiem</t>
  </si>
  <si>
    <t>pārējie ieņēmumi/stāvvietu ieņēmumi</t>
  </si>
  <si>
    <t>09.5.1.2.</t>
  </si>
  <si>
    <t>KA</t>
  </si>
  <si>
    <t>9.4.3.</t>
  </si>
  <si>
    <t>uzturēšanas izmaksas (CKS)</t>
  </si>
  <si>
    <t>9.5.3.</t>
  </si>
  <si>
    <t>CKS_apsaimniek</t>
  </si>
  <si>
    <t>Muzejs un Carnikavas novadpētniecības centrs</t>
  </si>
  <si>
    <t>0843</t>
  </si>
  <si>
    <t>1014.3</t>
  </si>
  <si>
    <t>6.4.3.</t>
  </si>
  <si>
    <t>6.4.4.</t>
  </si>
  <si>
    <t>6.4.5.</t>
  </si>
  <si>
    <t>6.4.10.</t>
  </si>
  <si>
    <t xml:space="preserve">Nekustamā īpašumas nodaļa </t>
  </si>
  <si>
    <t>10.2.20.</t>
  </si>
  <si>
    <t>14.10.</t>
  </si>
  <si>
    <t>14.11.</t>
  </si>
  <si>
    <t>14.12.</t>
  </si>
  <si>
    <t>EKII projekts</t>
  </si>
  <si>
    <t>Katlu mājas pārbūve Carnikavā, Tulpju iela 5</t>
  </si>
  <si>
    <t>Draudzības iela posmā no Saules ielai līdz Podnieku ielai ar ietvi 0.35km</t>
  </si>
  <si>
    <t>9.8.</t>
  </si>
  <si>
    <t>Dotācija CKS teritorijas uzturēšanai</t>
  </si>
  <si>
    <t>Dotācija CKS ceļu uzturēšanai</t>
  </si>
  <si>
    <t>Teritorijas uzturēšana (Dome)</t>
  </si>
  <si>
    <t>10.1.12.</t>
  </si>
  <si>
    <t>10.1.13.</t>
  </si>
  <si>
    <t>10.1.14.</t>
  </si>
  <si>
    <t>Izmaiņa 23.03.2023. - 26.01.2023.</t>
  </si>
  <si>
    <t>Saskaņā ar projekta NP</t>
  </si>
  <si>
    <t>Tiek ieskaitīts reizi ceturksnī.</t>
  </si>
  <si>
    <t>Realizē CKS</t>
  </si>
  <si>
    <t>6.5.1.</t>
  </si>
  <si>
    <t>6.5.2.</t>
  </si>
  <si>
    <t>6.5.3.</t>
  </si>
  <si>
    <t>6.5.4.</t>
  </si>
  <si>
    <t>6.5.5.</t>
  </si>
  <si>
    <t>6.5.6.</t>
  </si>
  <si>
    <t>6.5.7.</t>
  </si>
  <si>
    <t>6.5.8.</t>
  </si>
  <si>
    <t>6.5.9.</t>
  </si>
  <si>
    <t>6.5.10.</t>
  </si>
  <si>
    <t>6.5.11.</t>
  </si>
  <si>
    <t>6.5.12.</t>
  </si>
  <si>
    <t>6.5.13.</t>
  </si>
  <si>
    <t>6.5.14.</t>
  </si>
  <si>
    <t>Par projekta gaitu ziņo izpilddirektors.</t>
  </si>
  <si>
    <t>Par projekta gaitu ziņo CKS.</t>
  </si>
  <si>
    <t>Lielākās izmaksas maijā - Gaujas svētki, pasākumi siltajā sezonā.</t>
  </si>
  <si>
    <t>Lielākās izmaksas - Nēģu svētki, pasākumi siltajā sezonā.</t>
  </si>
  <si>
    <t>Pedagogiem atvaļinājumi vasarā.</t>
  </si>
  <si>
    <t>Precizēta projekta NP</t>
  </si>
  <si>
    <t>08412</t>
  </si>
  <si>
    <t>18.6.3.20.</t>
  </si>
  <si>
    <t>Periods:</t>
  </si>
  <si>
    <t>IEŅĒMUMI</t>
  </si>
  <si>
    <t>IEŅĒMUMI kopā</t>
  </si>
  <si>
    <t>1. Nodokļu ieņēmumi</t>
  </si>
  <si>
    <t>1.1. Iedzīvotāju ienākuma nodoklis</t>
  </si>
  <si>
    <t>1.2. Nekustamā īpašuma nodokļu ieņēmumi</t>
  </si>
  <si>
    <t>1.3. Dabas resursu nodoklis</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</si>
  <si>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</si>
  <si>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</si>
  <si>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</si>
  <si>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</si>
  <si>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</si>
  <si>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</si>
  <si>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7. Pašvaldību budžeta transferti</t>
  </si>
  <si>
    <t>8. Budžeta iestāžu ieņēmumi</t>
  </si>
  <si>
    <t>IZDEVUMI</t>
  </si>
  <si>
    <t>IZDEVUMI kopā</t>
  </si>
  <si>
    <t>1. Vispārējie valdības dienesti</t>
  </si>
  <si>
    <t>2. Sabiedriskā kārtība un drošība (bāze)</t>
  </si>
  <si>
    <t>3. Sabiedriskās attiecības, laikraksts</t>
  </si>
  <si>
    <t>4. Autoceļu fonds</t>
  </si>
  <si>
    <t>5. Vides aizsardzība (DRN izlietojums)</t>
  </si>
  <si>
    <t>6. Pašv. teritoriju un mājokļu apsaimniekošana</t>
  </si>
  <si>
    <t>7. Atpūta, kultūra un reliģija</t>
  </si>
  <si>
    <t>8. Sociālā aizsardzība</t>
  </si>
  <si>
    <t>9. Izglītība</t>
  </si>
  <si>
    <t>10. Kredītu pamatsummas atmaksa</t>
  </si>
  <si>
    <t>Rēķins par visu gadu gada sākumā, var nomaksāt 4os maksājumos.</t>
  </si>
  <si>
    <t>Pēc faktiskās izpildes.</t>
  </si>
  <si>
    <t>Šīs apkures sezonas kompensācijas beigušās.</t>
  </si>
  <si>
    <t>Par projektiem ziņo IDR</t>
  </si>
  <si>
    <t>Ziņo CKS</t>
  </si>
  <si>
    <t>Lielākās plāna pozīcijas bērnu radošās nometnes vasarā.</t>
  </si>
  <si>
    <t>1.1. Pārvalde, deputāti, komisijas</t>
  </si>
  <si>
    <t>1.2. Aizņēmumu procentu maksājumi</t>
  </si>
  <si>
    <t>1.3. Iemaksas PFIF</t>
  </si>
  <si>
    <t>6.2. CKS komunālie pakalpojumi</t>
  </si>
  <si>
    <t>6.3. Teritorijas uzturēšana</t>
  </si>
  <si>
    <t>6.4. Projekti</t>
  </si>
  <si>
    <t>6.2. ES struktūrfondu līdzekļi un aktivitāšu līdzfin.</t>
  </si>
  <si>
    <t>1. Izpilde tuvu plānotajam.</t>
  </si>
  <si>
    <t>8.2. Ieņēmumi par nomu un īri</t>
  </si>
  <si>
    <t>1.2. NĪN rēķins par visu gadu gada sākumā, var nomaksāt 4 maksājumos.</t>
  </si>
  <si>
    <t>6.1. APN, NĪN, TPN, Būvvalde</t>
  </si>
  <si>
    <t>6.2. Ziņo CKS.  Šī pozīcija atspoguļojas gan ieņēmumos, gan izdevumos.</t>
  </si>
  <si>
    <t>6.4.  Atbilstoši projektu NP. Par projektu gaitu sīkāk ziņos izpilddirektors.</t>
  </si>
  <si>
    <t>9.6. Privātās izglītības iestādes</t>
  </si>
  <si>
    <t>9.7. Carnikavas pamatskola</t>
  </si>
  <si>
    <t>9.8. Ādažu vidusskola</t>
  </si>
  <si>
    <t>9.9. Ādažu novada  Mākslu skola</t>
  </si>
  <si>
    <t>9.10. Sporta skola</t>
  </si>
  <si>
    <t xml:space="preserve">9.11. Izglītības un jauniešu lietu pārvalde </t>
  </si>
  <si>
    <t>9.12. Projekti</t>
  </si>
  <si>
    <t>9.2. Ādažu PII "Strautiņš"</t>
  </si>
  <si>
    <t>9.3. Kadagas PII "Mežavēji"</t>
  </si>
  <si>
    <t>9.4. Carnikavas PII "Riekstiņš"</t>
  </si>
  <si>
    <t>9.5. Siguļu PII "Piejūra"</t>
  </si>
  <si>
    <t>9.1. Norēķini ar pašvaldībām par izglītības iestāžu pakalp.</t>
  </si>
  <si>
    <t>5. Pašvaldības DRN maksājums. Parasti tiek novirzīts kapitālieguldījumiem nevis uzturēšanas izdevumiem.</t>
  </si>
  <si>
    <t>Līdzfinansējums skolēnu dalībai konkursos</t>
  </si>
  <si>
    <t>Izglītības un jaunatnes nodaļa</t>
  </si>
  <si>
    <t>0633.6</t>
  </si>
  <si>
    <t>Tūrisms</t>
  </si>
  <si>
    <t>ANM pasākuma "Atbalsta pasākumi cilvēkiem ar invaliditāti mājokļu vides pieejamības nodrošināšanai" projekts</t>
  </si>
  <si>
    <t>Ādažu vidusskolas ēkas A korpusa, savienojuma daļas starp korpusiem (A un B), kā arī, vidusskolas centrālās daļas, tai skaitā torņa fasādes atjaunošana.</t>
  </si>
  <si>
    <t>Pastaigu taka gar Baltezera kanālu</t>
  </si>
  <si>
    <t>0632.6</t>
  </si>
  <si>
    <t>LIFE NewBauhaus projekts</t>
  </si>
  <si>
    <t>Krastupes ielas projekts</t>
  </si>
  <si>
    <t>Tirgus laukuma lietus kanalizācijas izbūve Ādažos</t>
  </si>
  <si>
    <t>Dzirnupes ielas tilta projekts, Carnikava</t>
  </si>
  <si>
    <t xml:space="preserve">Pārējās privātās PII </t>
  </si>
  <si>
    <t>LAD, Jūras Zeme projekts, Mākslu skolas ārtelpas projekts Garā iela 20, Carnikavā</t>
  </si>
  <si>
    <t>Publiskās ārtelpas izveide Gaujas ielā 31 Ādažos</t>
  </si>
  <si>
    <t>0648</t>
  </si>
  <si>
    <t>Attekas ielas turpinājums 0,5 km - projektēšana</t>
  </si>
  <si>
    <t>Valsts finansējums projektu konkursā "Atbalsts jaunatnes politikas īstenošanai vietējā līmenī" Projekts "Mobilais darbs ar jaunatni Ādažu novadā"</t>
  </si>
  <si>
    <t>Projekts par energokopienām. Magliano Alpi pašvaldības Itālijā CERV Town Twinning programmas projektsa ietvaros</t>
  </si>
  <si>
    <t>Projekts jauniešu asociāciju federācija Eiropas mobilitātei. CERV programmas projekts "YOUTth and democracy: empowering Europe's next generation"</t>
  </si>
  <si>
    <t>21.3.9.4.</t>
  </si>
  <si>
    <t>21.3.9.9.; CKS</t>
  </si>
  <si>
    <t>AM līdzfinansējums Vecštāles ceļa rekonstrukcijai</t>
  </si>
  <si>
    <t>7.1.4.</t>
  </si>
  <si>
    <t>9.18.</t>
  </si>
  <si>
    <t>9.18.1.</t>
  </si>
  <si>
    <t>9.18.2.</t>
  </si>
  <si>
    <t>Jaunas pirmsskolas izglītības iestādes Podniekos</t>
  </si>
  <si>
    <t>9.9.9.</t>
  </si>
  <si>
    <t xml:space="preserve">ESF projekts Atbalsts priekšlaicīgas mācību pārtraukšanas samazināšanai © </t>
  </si>
  <si>
    <t>10.1.15.</t>
  </si>
  <si>
    <t>2024. gada budžets</t>
  </si>
  <si>
    <t>projekti Erasmus+; NordPlus</t>
  </si>
  <si>
    <t>Viršu ielas/atzars uz Sproģu ielu asfaltbetona seguma atjaunošana posmā no Dzērveņu ielas līdz Serģu iela (980 m)</t>
  </si>
  <si>
    <t>Vecštāles ceļa rekonstrukcija</t>
  </si>
  <si>
    <t xml:space="preserve">Apgaismes stabi Attekas ielas savienojumā no Ķiršu līdz Draudzības ielai. </t>
  </si>
  <si>
    <t>6.4.11.</t>
  </si>
  <si>
    <t>6.4.12.</t>
  </si>
  <si>
    <t>6.4.13.</t>
  </si>
  <si>
    <t>6.4.14.</t>
  </si>
  <si>
    <t>25.01.2024. grozījumi</t>
  </si>
  <si>
    <t>Izmaiņa 25.01.2024. - 28.12.2023.</t>
  </si>
  <si>
    <t>10.2.7.</t>
  </si>
  <si>
    <t>Finansējums Piekrastes apsaimniekošanai ieskaitīts 2023.gada beigās (stāv KA)</t>
  </si>
  <si>
    <t>Mērķdotācijas KA</t>
  </si>
  <si>
    <t>2024. gads</t>
  </si>
  <si>
    <t>- uzturēšanas izmaksas (CKS)</t>
  </si>
  <si>
    <t>Atalgojums, kas pāriet uz CKS</t>
  </si>
  <si>
    <t>9.9.10.</t>
  </si>
  <si>
    <t>9.9.11.</t>
  </si>
  <si>
    <t>9.9.11.1.</t>
  </si>
  <si>
    <t>9.9.11.2.</t>
  </si>
  <si>
    <t>9.9.11.3.</t>
  </si>
  <si>
    <t>sākumskolas uzturēšanas izmaksas (CKS)</t>
  </si>
  <si>
    <t>9.3.3.</t>
  </si>
  <si>
    <t>9.2.3.</t>
  </si>
  <si>
    <t>7.8.1.</t>
  </si>
  <si>
    <t>7.8.2.</t>
  </si>
  <si>
    <t>-  sporta funkcijas nodrošināšana</t>
  </si>
  <si>
    <t>Decembra rēķins izrakstīts 30.12., samaksa pārceļas uz 2024.gadu</t>
  </si>
  <si>
    <t>Decembra rēķins izrakstīts 30.12., samaksa pārceļas uz 2024.gadu, pārcelts 2023.gada aizņēmuma neizņemtais atlikums.</t>
  </si>
  <si>
    <t>DI projekta KA</t>
  </si>
  <si>
    <t>Uzkopšanas gada maksa ielikta CKS, bet janvāra maksājums vēl jāveic caur policijas budžetu</t>
  </si>
  <si>
    <t>Precizēts sadalījums starp pašvaldību un MD</t>
  </si>
  <si>
    <t>Precizēta aizņēmumu summa pēc līguma summas pārcelšanas no 2023.gada</t>
  </si>
  <si>
    <t>precizēts KA, VK aizņēmuma summa un atlikušais ienākošais ERAF finansējums</t>
  </si>
  <si>
    <t>Atalgojums, kas pāriet uz CKS un algas korekcija, precizējot MD</t>
  </si>
  <si>
    <t>Atalgojums, kas pāriet uz CKS; atalgojuma korekcija, dalot likes MD</t>
  </si>
  <si>
    <t>Precizēta dotācija +59'292, papildus dotācija par pārņemtajiem ceļiem EUR 1'248</t>
  </si>
  <si>
    <t>Atalgojuma pieaugums pēc MD apstiprināšanas un algu tarifikācijas</t>
  </si>
  <si>
    <t>KA, precizēta MD</t>
  </si>
  <si>
    <t>Precizēta MD</t>
  </si>
  <si>
    <t>Atalgojums, kas pāriet uz CKS; atalgojuma korekcija, dalot likmes MD</t>
  </si>
  <si>
    <t>KA EUR 1'093, precizēta dotācija +59'292, papildus dotācija par pārņemtajiem ceļiem EUR 1'248</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</si>
  <si>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</si>
  <si>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Dalība atveseļošanas un noturības mehānisma pasākumā “Atbalsta pasākumi cilvēkiem ar invaliditāti mājokļu vides pieejamības nodrošināšanai”</t>
  </si>
  <si>
    <t>AND trūkstošais finansējums uz, ko jāatmaksā citām pašv.</t>
  </si>
  <si>
    <t>Saskaņā ar projekta nosacījumiem, tiks ieskaitīts avanss EUR 18'299</t>
  </si>
  <si>
    <t>Valsts finansējums parakstu vākšanai tautas nobalsošanas ierosināšanai par apturēto likumu “Grozījumi Notariāta likumā”</t>
  </si>
  <si>
    <t>EUR 37'335 Atskaitīts LAD finansējums Salas dambim (jāatgriež kredīts)
EUR 133'640 Atskaitīts LAD finansējums Lilastes stāvlaukumam (jāatgriež kredīts) + 67, lai nosegtu 2024. visu pamatsummu</t>
  </si>
  <si>
    <t>0630; 0903</t>
  </si>
  <si>
    <t>Jaunas pirmsskolas izglītības iestādes Podniekos būvniecība</t>
  </si>
  <si>
    <t>0903</t>
  </si>
  <si>
    <t>I.cet. 21%, II.cet.23%. III.cet.28%, IV.cet. 28%</t>
  </si>
  <si>
    <t>KA nepalielina izdevumus, bet samazina plānotos ieņēmumsu</t>
  </si>
  <si>
    <t>KA nepalielina izdevumus, bet samazina plānotos ieņēmumus</t>
  </si>
  <si>
    <t>Grīdas kopšanas ierīces iegādi un Nosūces uzstādīšanu realizēs CKS</t>
  </si>
  <si>
    <t>Prezizēta MD un Mērķdotācijas KA</t>
  </si>
  <si>
    <t>1) KA - EUR 13'000 drošības nauda CKS (jāatmaksā).
2) Uzkopšanas gada maksa ielikta CKS, bet janvāra maksājums vēl jāveic caur policijas budžetu. (EUR 645).
3) Noslēdzies iepirkums remontam Garā iela 20 ārsta prakse. Summa par EUR 1'835 lielāka.</t>
  </si>
  <si>
    <t>9.7.1.2.</t>
  </si>
  <si>
    <t>9.7.1.3.</t>
  </si>
  <si>
    <t>9.7.1.1.</t>
  </si>
  <si>
    <t>MD pedagogiem</t>
  </si>
  <si>
    <t>MD interešu izglītība</t>
  </si>
  <si>
    <t>MD mācību līdzekļiem</t>
  </si>
  <si>
    <t>9.9.1.1.</t>
  </si>
  <si>
    <t>9.9.1.2.</t>
  </si>
  <si>
    <t>9.9.1.3.</t>
  </si>
  <si>
    <t>MD mācību līdzekļiem 2024.gadam</t>
  </si>
  <si>
    <t>KA (VK aizņēmums) un uz 2024.gadu pārceļamā summa, jo būvnieks navarēja pabeigt projektu, saskaņā ar līguma termiņiem</t>
  </si>
  <si>
    <t>0631.1</t>
  </si>
  <si>
    <t>Precizēta MD un pašvaldības finansējums atalgojumam</t>
  </si>
  <si>
    <t xml:space="preserve">Precizēta MD </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</si>
  <si>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</si>
  <si>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</si>
  <si>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Jauns līgums 2024.gadam.</t>
  </si>
  <si>
    <t>Izmaiņa 27.03.2024. -25.01.2024.</t>
  </si>
  <si>
    <t>Koriģēts interešu izgl. finansējuma sadalījums EUR 49'310 no privātajiem īstenotājiem uz pašvald. Iestādēm un ĀBVS. (uz ĀVS EUR 22'060; uz CPS EUR 18425; uz ĀBVS EUR 8'825)</t>
  </si>
  <si>
    <t>Precizēta dotācija par papildus pārņemtajiem ceļiem EUR 3966</t>
  </si>
  <si>
    <t>12.3.9.9.; 8.3.9.0.; 8.6.1.2.</t>
  </si>
  <si>
    <t>Konta atlikuma nakts depozīta ieņēmumi.</t>
  </si>
  <si>
    <t>Uz 06.03. IIN izpilde lielāka par plānoto šajā periodā.</t>
  </si>
  <si>
    <t>Uz 06.03. IIN izpilde lielāka par plānoto šajā periodā, līdz ar to arī palielinās iemaksas izlīdzināšanas fondā.</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</si>
  <si>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</si>
  <si>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EUR 13'315 no dotācijas ceļu uzturēšanai uz Pašvaldības policiju ātruma kontroles mērierīces iegādei.</t>
  </si>
  <si>
    <t>Liepu alejas rekonstrukcija</t>
  </si>
  <si>
    <t>Viršu ielas prognozētās palielinātās izmaksas</t>
  </si>
  <si>
    <t>MD mācību līdzekļiem 2024.gadam (sadalās starp izgl. iestādēm)</t>
  </si>
  <si>
    <t>MD 2024.gadam māc. līdz.iegāde</t>
  </si>
  <si>
    <t>- pedagogu algas, māc. līdzekļi (mērķdotācija)</t>
  </si>
  <si>
    <t>1) EUR 10'919 no CKS teritorijas kopšanas nodaļas uz CKS AVS uzturēšanas nodaļu.
2) EUR 146'203 ĀVS uzturēšana, ko veic CKS</t>
  </si>
  <si>
    <t>EUR 146'203 ĀVS uzturēšana, ko veic CKS</t>
  </si>
  <si>
    <t>1) EUR 6'705 no CKS teritorijas kopšanas nodaļas uz CKS AVS PII uzturēšanas nodaļu.
2) EUR 6'000 ĀVS uzturēšana, ko veic CKS</t>
  </si>
  <si>
    <t>EUR 6'000 ĀVS uzturēšana, ko veic CKS</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</si>
  <si>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</si>
  <si>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EUR 19'453 no CKS teritorijas kopšanas nodaļas uz CKS AVS sākumskolas uzturēšanas nodaļu.
2) EUR 58'159 ĀVS sākumskolas uzturēšana, ko veic CKS</t>
  </si>
  <si>
    <t>EUR 58'159 ĀVS sākumskolas uzturēšana, ko veic CKS</t>
  </si>
  <si>
    <t>EUR 43'878 Sporta centra uzturēšana, ko veic CKS</t>
  </si>
  <si>
    <t>EUR 145'959 ĀPII uzturēšana, ko veic CKS</t>
  </si>
  <si>
    <t>EUR 64'977 KPII uzturēšana, ko veic CKS</t>
  </si>
  <si>
    <t>EUR 27'100 Erasmus, NordPlus finansējums attiecināms uz Carnikavas pamatskolu nevis Ādažu vidusskolu</t>
  </si>
  <si>
    <t>28.03.2024. grozījumi</t>
  </si>
  <si>
    <t>Izmaiņa 28.03.2024. -25.01.2024.</t>
  </si>
  <si>
    <t>Pēc lēmuma precizēta naudas plūsma.</t>
  </si>
  <si>
    <t>Saņemts gala maksājums, kas tiks izmantots kā priekšfinansējums jaunajiem Veselības projektiem</t>
  </si>
  <si>
    <t>Saņemts pozitīvs FM lēmums aizdevuma piešķiršanai.</t>
  </si>
  <si>
    <t>ziedojumi</t>
  </si>
  <si>
    <t>Pašvaldības DRN maksājums</t>
  </si>
  <si>
    <t>EUR 1 037 000 nekustamā īpašuma Liepnieki iegāde</t>
  </si>
  <si>
    <t>Projekts noslēdzies, konta atlikums.</t>
  </si>
  <si>
    <t>Ziņo IDR.</t>
  </si>
  <si>
    <t>0632.7</t>
  </si>
  <si>
    <t>Soda nauda trenažieru iepirkumam EUR 2'509; CKS EUR 4'104</t>
  </si>
  <si>
    <t>1.1. IIN atbilstoši plānotajam.</t>
  </si>
  <si>
    <t>1.3. DRN plāns bija sastādīts balstoties uz 2023.gada izpildi.</t>
  </si>
  <si>
    <t>8. Lielāko daļu sastāda CKS Ieņēmumi no dzīvokļu un komunālajiem pakalpojumiem. Šī pozīcija atspoguļojas gan ieņēmumos, gan izdevumos.</t>
  </si>
  <si>
    <t>1. Kopumā izpilde tuvu plānotajam.</t>
  </si>
  <si>
    <t>1.2. Atbilstoši plānam.</t>
  </si>
  <si>
    <t>1.3. Atbilstoši plānam.</t>
  </si>
  <si>
    <t>4. Realizē CKS. Atbilstoši plānam.</t>
  </si>
  <si>
    <t>6.3. Ziņo CKS.</t>
  </si>
  <si>
    <t>Ekonomija uz neaizpildītajām vakancēm</t>
  </si>
  <si>
    <t>Saņemta nauda no izsolēm. Kopsummā izpilde par EUR 23'095 lielāka kā gada plāns.</t>
  </si>
  <si>
    <t>10. Atbilstoši plānotajam. Gada sākumā veiktas 2 aiņēmumu pirmstermiņ atmaksas no ieskaitītā eiropas projektu pēcfinansējuma līdzekļiem.</t>
  </si>
  <si>
    <t>25.04.2024. grozījumi</t>
  </si>
  <si>
    <t>Izmaiņa 25.04.2024. -28.03.2024.</t>
  </si>
  <si>
    <t>Latvijas Jaunatnes Olimpiāde Valmierā - NENOTIKS</t>
  </si>
  <si>
    <t>CVK finansējums Eiropas parlamenta vēlēšanu nodrošināšanai</t>
  </si>
  <si>
    <t>EUR 660 no finansējuma publiskajām apspriešanām, reklāmām uz sadaļu"Ādažu vēstis" izplatīšanas izmaksu pieaugumam.</t>
  </si>
  <si>
    <t>Pēc naudas plūsmas 2024.gadā mazāks finansējuma apjoms. No mobilitātes punkta proejekta EUR 5'000 uzņēmējdarbības konkuram izmaksu iegumu analīzes veikšanai un EUR 26'640 tehniskā projekta izstrādāšanai.</t>
  </si>
  <si>
    <t>1) - EUR 7'349 ekonomija uz neaizpildītajām vakancēm;
2) No mobilitātes punkta projekta EUR 5'000 uzņēmējdarbības konkuram izmaksu iegumu analīzes veikšanai un EUR 26'640 tehniskā projekta izstrādāšanai.</t>
  </si>
  <si>
    <t>Procentu ieņēmumi no nakts depozīta (šobrīd + EUR 9'309 pret plānoto).</t>
  </si>
  <si>
    <t>Kļavu ielā divkārtas virsmas apstrāde 0.35km</t>
  </si>
  <si>
    <t>Atbalstīts zemsvītras projekts</t>
  </si>
  <si>
    <t>+ EUR 8'500 atbalstīts zemsv. aktivit. - Lielās zāles grīdas seguma remonts</t>
  </si>
  <si>
    <t>Mežmalas ielas seguma vienkāršotā atjaunošana, 0.22km, Alderi</t>
  </si>
  <si>
    <t>+ EUR 21'000 atbalstīts zemsv. aktivit. - 3 uzlādes skapju iegāde; 16 datoru iegāde obligātā mācību procesa nodrošināšanai</t>
  </si>
  <si>
    <t>1) - EUR 9'076 Ekonomija uz neaizpildītajām vakancēm;
2) + EUR 3'500 atbalstīts zemsv. aktivit. - VW LT 46 hidromanipulatora kapitālais remonts;
3) + EUR 11'000 atbalstīts zemsv. aktivit. - (Mākslu skolas starpsienu izbūve)</t>
  </si>
  <si>
    <t>+ EUR 4'000 atbalstīts zemsv. aktivit. - (EUR 11'000 sienu un durvju aiļu izbūve ar durvju uzst. Garā 20 (pie CKS), EUR 4'000 mēbeļu un aprīkojuma iegāde</t>
  </si>
  <si>
    <t>27.06.2024. grozījumi</t>
  </si>
  <si>
    <t>Izmaiņa 27.06.2024. -25.04.2024.</t>
  </si>
  <si>
    <t>EUR 926 Sporta centra uzturēšana, ko veic CKS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</si>
  <si>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</si>
  <si>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8.3.4.</t>
  </si>
  <si>
    <t>DI centra uzturēšanas izdevumi (CKS)</t>
  </si>
  <si>
    <t>EUR 3'745 DI centra uzturēšana, ko veic CKS</t>
  </si>
  <si>
    <t>8.1.7.</t>
  </si>
  <si>
    <t>Uzturēšanas izdevumi (CKS)</t>
  </si>
  <si>
    <t>EUR 1'186 Soc. dienesta uzturēšana, ko veic CKS</t>
  </si>
  <si>
    <t>EUR 276 Ādažu bibliotēkas uzturēšana, ko veic CKS</t>
  </si>
  <si>
    <t>EUR 62 Carnikavas bibliotēkas uzturēšana, ko veic CKS</t>
  </si>
  <si>
    <t>EUR 102 uzturēšana, ko veic CKS</t>
  </si>
  <si>
    <t>EUR 28 Kadiķis uzturēšana, ko veic CKS</t>
  </si>
  <si>
    <t>EUR 165 t/n Ozolaine uzturēšana, ko veic CKS</t>
  </si>
  <si>
    <t>Stadiona labiekārtošanas darbi veikti caur CKS, pārcelts EUR 6'629 uz CKS teritorijas labiekārtošanas sadaļu.</t>
  </si>
  <si>
    <t>8.9.</t>
  </si>
  <si>
    <t>EUR 44'284 - ANM pasākuma "Atbalsta pasākumi cilvēkiem ar invaliditāti mājokļu vides pieejamības nodrošināšanai" projekts - Pārcelts uz jaunu struktūru 1018</t>
  </si>
  <si>
    <t xml:space="preserve">Saskaņā ar 28.03.2024. lēmumu Nr. 119, ieņēmumu palielinājums pārcelts arī uz izdevumu sadaļu GS rīkošanai. (EUR 21'000 (EUR 7'000 tirdzniecības nodevas; EUR 9'000 ieņēmumi par telpu nomu; 5'000 pārējie ieņēmumi)). </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</si>
  <si>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</si>
  <si>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Atlikta saimnieciskās darbības nodalīšana no CKS EUR 680'342 (ieņēmumu un izdevumu sadaļā)</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</si>
  <si>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</si>
  <si>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EUR 7'811 ĀPII uzturēšana, ko veic CKS</t>
  </si>
  <si>
    <t>Noslēdzies iepirkums uzņēmējdarbības konkursa tehniskā projekta izstrādāšanai par summu EUR 23'293 (aprīļa grozījumos šim mērķim tika pārcelti EUR 26'640 no mobilitātes punkta projekta). Starpība EUR 3'347 atgriezts mobilitātes projektam.</t>
  </si>
  <si>
    <t>EUR 50'687 aizņēmumu % maksājumu plānotās kopsummas samazinājums uz projekta Pastaigu taka gar Baltezera kanālu budžetu (30.05.2024. ĀND lēmums # 185)</t>
  </si>
  <si>
    <t>EUR 22'000 no ieņēmumu palielinājuma (KA % ieņēmumu palielinājums). (30.05.2024. ĀND lēmums # 185)
EUR 50'687 no aizņēmumu % maksājumu plānotās kopsummas.</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</si>
  <si>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</si>
  <si>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EUR 5'801 no Attīstības nodaļas (ekonomija uz vakancēm) uz projektu Mākslu skolas ārtelpas labiekārtošana (30.05.2024. ĀND lēmums # 223)</t>
  </si>
  <si>
    <t>Procentu ieņēmumi no nakts depozīta. (Saskaņā ar 30.05.2024. lēmumu Nr. 185 novirzīts projektam pastaigu celiņa izbūve gar Gaujas-Baltezera kanālu)</t>
  </si>
  <si>
    <t>EUR 3'150 no Ādažu vidusskolas PII uz PII Riekstiņš izglītojamo skaita palielinājumam. Saskaņā ar 30.05.2024. lēmumu Nr. 216 "Par izglītojamo skaita palielināšanu PII "Riekstiņš"</t>
  </si>
  <si>
    <t>Iespējams šeit veidojas ~ 200'000 euro rezerve (Aprūpe mājās bērniem invalīdiem (kaut ko MK nepieņēma) un uz skolēnu ēdināšanu, bet to tad būtu prātīgāk novirzīt pašvaldību savst norēķ par audzēkņiem (30.06.75% izpilde)līdzfinansējumam PPII</t>
  </si>
  <si>
    <t xml:space="preserve">EUR 44'284 - ANM pasākuma "Atbalsta pasākumi cilvēkiem ar invaliditāti mājokļu vides pieejamības nodrošināšanai" projekts - jūnijā pārcelts uz jaunu struktūru 1018 - jāceļ no izceltā projekta nevis attīst. daļas. 
</t>
  </si>
  <si>
    <t>6.4.15.</t>
  </si>
  <si>
    <t>6.4.16.</t>
  </si>
  <si>
    <t>0631.2</t>
  </si>
  <si>
    <t>6.5.6.1</t>
  </si>
  <si>
    <t>6.5.6.2.</t>
  </si>
  <si>
    <t>6.5.6.3.</t>
  </si>
  <si>
    <t>6.5.15.</t>
  </si>
  <si>
    <t>0634.1</t>
  </si>
  <si>
    <t>Jaunais plūdu projekts - 2.1.3.2. "Nacionālas nozīmes plūdu un krasta erozijas pasākumi" 1.daļa</t>
  </si>
  <si>
    <t xml:space="preserve">EUR 120'000 - Jaunais plūdu projekts - Pārcelts uz atsevišķu struktūru 0634.1; 
</t>
  </si>
  <si>
    <t xml:space="preserve">EUR 85'085 - Krastupes ielas projekts - Pārcelts uz atsevišķu struktūru 0631.2; 
</t>
  </si>
  <si>
    <t>Par projekta gaitu ziņo IDR (LAD saņemtais finansējums iesaldēts )</t>
  </si>
  <si>
    <t>Maksājumi tiek veikti 3x gadā.</t>
  </si>
  <si>
    <t xml:space="preserve">Par projekta gaitu ziņo izpilddirektors. </t>
  </si>
  <si>
    <r>
      <t>Par projekta gaitu ziņo izpilddirektors.</t>
    </r>
    <r>
      <rPr>
        <sz val="11"/>
        <color rgb="FFFF0000"/>
        <rFont val="Times New Roman"/>
        <family val="1"/>
        <charset val="186"/>
      </rPr>
      <t xml:space="preserve"> (pabeigts, bet maza izpilde. Kur grāmatojas?????)</t>
    </r>
  </si>
  <si>
    <t>8.1. Maksa par izglītības pakalpojumiem u.c. ieņēmumi</t>
  </si>
  <si>
    <t>8.3. CKS ieņēmumi no dzīvokļu un komunālajiem pakalpojumiem</t>
  </si>
  <si>
    <t>6. Izpilde atbilstoši plānotajam.</t>
  </si>
  <si>
    <t>1.1. Izpilde tuvu plānotajam. Ekonomija uz komisiju atalgojuma, kur plānots saskaņā ar nolikumiem atļautās stunds.</t>
  </si>
  <si>
    <t>3. Tuvu plānotajam. Izdevumi par kalendāru izgatavošanu visam novadam paredzēta gada beigās.</t>
  </si>
  <si>
    <t xml:space="preserve">    9.12. projekti - izpilde 21%. Carnikavas stadiona rekonstrukcija - uz 31.03. projekts noslēdzies un samaksāts kopsummā 2024.gadā EUR 114'786. Lielākā pozīcija "Jaunas pirmsskolas izglītības iestādes Podniekos būvniecība" EUR 637'343, kur uz 30.06. izpilde EUR 47'916 (8%).</t>
  </si>
  <si>
    <t>29.08.2024. grozījumi</t>
  </si>
  <si>
    <t>Izmaiņa 29.08.2024. -27.06.2024.</t>
  </si>
  <si>
    <t>Palielinājums, balstoties uz faktisko izpildi.</t>
  </si>
  <si>
    <t>Balstoties uz precizētajiem aprēķiniem.</t>
  </si>
  <si>
    <t>Balstoties uz faktisko izpildi un precizētajiem aprēķiniem.</t>
  </si>
  <si>
    <t>EUR 2400 uzlādes stacijām piedāvāto nekustamo īpašumu novētēšanai (25.07.2024. domes lēmums)</t>
  </si>
  <si>
    <t>Papildus līdzekļi klaiņojošo dzīvnieku veterinājajai aprūpei.</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</si>
  <si>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</si>
  <si>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0940.2</t>
  </si>
  <si>
    <t>0940.3</t>
  </si>
  <si>
    <t>EUR 5'600 tualešu remontam uz CKS uzturēšanas izmaksu pozīciju</t>
  </si>
  <si>
    <t>Līgums ar CFLA nav noslēgts, līdz ar to zināms, ka projektēšana pilnā apmērā jāmaksā no pašvaldības.</t>
  </si>
  <si>
    <t>EUR 15'000 no plānotajiem līdzekļiem Draudzības ielas rekonstrukcijai uz Kļavu ielas divkāršās virsmas apstrādes veikšanu. (08.08.2024. protokollēmums)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</si>
  <si>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</si>
  <si>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1) Iedzīvotāju līdzfinansējums Mežmalas ielas atjaunošanai EUR 31'000.
2) No Attekas ielas projektēšanas EUR 10'022 Mežmalas ielas atjaunošanai pašvaldības līdzfinansējums.</t>
  </si>
  <si>
    <t>EUR 4'600 no tāmēšanas darbiem paredzētā finansējuma uz PII "Mežavēji" ēkas un telpu remontdarbiem.</t>
  </si>
  <si>
    <t>Strautiņš terases sienu remontam EUR 2'978 no Garās ielas 20 remontiem paredzētajiem līdzekļiem uz PII "Strautiņš" terases balsta sienu remontdarbiem un EUR 11'222 (iekš. groz.) no plānotā piekļuves sisitēmas automatizācijas izmaksām.</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</si>
  <si>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</si>
  <si>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1) Energoefektivitātes pasākumu daudzdzīvokļu mājām un pagalmu labiekārtošanai - līdzfinansējums papildus EUR 13'000.
2) Tā kā Gaujas 16 netiek vēl pieslēgta centrālai apkurei, tad atlikušie EUR 6'000 uz apkures apmaksu, ko maksā dome nevis CKS.</t>
  </si>
  <si>
    <t>Precizēta projektu naudas plūsma, balstoties uz noslēgtajiem līgumiem - izdevumos zem Carnikavas vidusskolas</t>
  </si>
  <si>
    <t>1) Procentu ieņēmumi no nakts depozīta (šobrīd + EUR 26'000 pret plānoto).
2) Iedzīvotāju līdzfinansējums Mežmalas ielas atjaunošanai EUR 31'000. (0645)</t>
  </si>
  <si>
    <t>Carnikavas vidusskola</t>
  </si>
  <si>
    <t>Balstoties uz prognozēm, ka IIN gada griezumā varētu būt lielāks kā sākotnēji plānots. Saskaņā ar lēmumu par finanšu un ekonomisko aprēķinu jaunās skolas būvniecībai tiks novirzīts šim mērķim.</t>
  </si>
  <si>
    <t>Balstoties uz faktisko izpildi veidojas ekonomija, kas tiks novirzīts katlu mājas remontam.</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</si>
  <si>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</si>
  <si>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Precizēta naudas plūsma</t>
  </si>
  <si>
    <t>Precizēts CFLA avansa apjoms.</t>
  </si>
  <si>
    <t>EUR 8'000 Blusu kroga tehniskajai apsekošanai. (EUR 5'000 no AP nodaļas talgojuma ekonomijas, EUR 1'500 no Novadpētniecības centra un EUR 1'500 no tūrisma sadaļas).</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</si>
  <si>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
5) EUR 8'000 Blusu kroga tehniskajai apsekošanai. (EUR 5'000 no AP nodaļas talgojuma ekonomijas, EUR 1'500 no Novadpētniecības centra un EUR 1'500 no tūrisma sadaļas).</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</si>
  <si>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</si>
  <si>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6. No Attekas ielas projektēšanas EUR 19'000 Gāzes katla remontam.
7. Tā kā Gaujas 16 netiek vēl pieslēgta centrālai apkurei, tad atlikušie EUR 6'000 uz apkures apmaksu, ko maksā dome nevis CKS.</t>
  </si>
  <si>
    <t>30.09.2024. fakts</t>
  </si>
  <si>
    <t>30.09.2024. fakts (%) pret 2024. plānu</t>
  </si>
  <si>
    <t>Noslēgts aizņēmuma līgums ar VK</t>
  </si>
  <si>
    <t>Norēķini notiek 3x gadā.</t>
  </si>
  <si>
    <t>Pabeigts.</t>
  </si>
  <si>
    <t>24.10.2024. grozījumi</t>
  </si>
  <si>
    <t>Izmaiņa 24.10.2024. -29.08.2024.</t>
  </si>
  <si>
    <t>Precizēts mērķdotācijas apjoms sept.-dec.</t>
  </si>
  <si>
    <t>MD pedagogiem, māc. grāmatām</t>
  </si>
  <si>
    <t>1) EUR 12'000 Ādažu vidusskolas ēkas C korpusa otrā stāva tualešu pārbūve (bērnudārza pārbūve). Realizēs CKS - pārcelts no EKK 5250 uz EKK 7230.
2) EUR 2'300 paskaidrojuma raksts siltināšanai (līgums ar CKS) no EKK 5250 uz EKK 7230.</t>
  </si>
  <si>
    <t>2) EUR 2'300 paskaidrojuma raksts siltināšanai (līgums ar CKS) no EKK 5250 uz EKK 7230.</t>
  </si>
  <si>
    <t>1) EUR 12'000 Ādažu vidusskolas ēkas C korpusa otrā stāva tualešu pārbūve (bērnudārza pārbūve). Realizēs CKS - pārcelts no EKK 5250 uz EKK 7230.</t>
  </si>
  <si>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t>
  </si>
  <si>
    <r>
      <rPr>
        <b/>
        <u/>
        <sz val="11"/>
        <rFont val="Times New Roman"/>
        <family val="1"/>
        <charset val="186"/>
      </rPr>
      <t>Iekš. groz.:</t>
    </r>
    <r>
      <rPr>
        <sz val="11"/>
        <rFont val="Times New Roman"/>
        <family val="1"/>
        <charset val="186"/>
      </rPr>
      <t xml:space="preserve"> EKK korekcija EUR 30'000 no EKK 6411 "Samaksa par aprūpi mājās"uz EKK 6419 "Samaksa par pārējiem sociālajiem pakalpojumiem saskaņā ar pašvaldību saistošajiem noteikumiem"</t>
    </r>
  </si>
  <si>
    <r>
      <rPr>
        <b/>
        <sz val="11"/>
        <rFont val="Times New Roman"/>
        <family val="1"/>
        <charset val="186"/>
      </rPr>
      <t>Iekš. groz.:</t>
    </r>
    <r>
      <rPr>
        <sz val="11"/>
        <rFont val="Times New Roman"/>
        <family val="1"/>
        <charset val="186"/>
      </rPr>
      <t xml:space="preserve"> EKK korekcija 1) “Ādažu novada ainavu plāns, tematiskais plānojums” - Tas ir ilgtspējas dokuments kas ir jau pabeigts. Tāpēc šim mērķim 2024.gadā plānotie EUR 38’526 jāpārceļ no EKK 2239 uz EKK ir 5110 “Attīstības pasākumi un programmas”.
2)  “Ādažu novada transporta attīstības plans” - Tas ir ilgtspējas dokuments līdz 2037.gadam, kas norādīts iepirkuma tehniskajā specifikācijā. Tāpēc šim mērķim 2024.gadā plānotie EUR 40’600 jāpārceļ no EKK 2239 uz EKK ir 5140 “Nemateriālo ieguldījumu izveidošana”.</t>
    </r>
  </si>
  <si>
    <t>Precizēts mērķdotācijas apjoms</t>
  </si>
  <si>
    <t>EUR 89 565 - % ieņēmumi no nakts depozīta; 
EUR 31 000 - iedzīvotāju līdzfinansējums par Mežmalas ielu;
EUR 30 153 - nodrošinājuma maksa par izsolēm.</t>
  </si>
  <si>
    <t>RPR Reemigrācijas konkurss EUR 18 000;
Soc. pabalsti pēc faktiskājām izmaksām EUR 72 858;
CVK finansējums EP vēlēšanām EUR 47 233;
Bezdarbnieku atlīdzība, koord.darba samaksa EUR 17 448;
VB dotācija KAC uzturēšanai EUR 8147.</t>
  </si>
  <si>
    <t>Labklājības ministrijas kompensācija par supervīzijām</t>
  </si>
  <si>
    <t xml:space="preserve">Procentu ieņēmumi no nakts depozīta (šobrīd + EUR 10'000 pret plānoto).
Plāna palielinājums, balstoties uz faktisko izpildi.
</t>
  </si>
  <si>
    <t>Plāna palielinājums, balstoties uz faktisko izpildi.</t>
  </si>
  <si>
    <t>Ieņēmumu pārpilde par maksas stāvvietām (CKS)</t>
  </si>
  <si>
    <t>1) Saskaņā ar  Domes 26.09.2024. lēmumu Nr.383 "Par ēku nojaukšanu pašvaldības īpašumā Balto ceriņu ielā 6A, Gaujā" EUR 4'000 no “Teritorijas uzturēšana (Dome)” EKK 2223 uz "Dotācija CKS teritorijas uzturēšanai" EKK 7230
2) Saskaņā ar  Domes 26.09.2024. lēmumu Nr.384 "Par ēku nojaukšanu pašvaldības īpašumā Salnu ielā 7, Gaujā" EUR 4'000 no “Teritorijas uzturēšana (Dome)” EKK 2223 uz "Dotācija CKS teritorijas uzturēšanai" EKK 7230.
3) EUR 7'164 no gāzes katla nomaiņai (Rīgas ielā 12, Carnikavā) plānotajiem līdzekļiem iespējams novirzīt minerālmateriālu iegādei.
4)  EUR 12'386 no gāzes katla nomaiņai (Rīgas ielā 12, Carnikavā) plānotajiem līdzekļiem iespējams novirzīt ziemas uzturēšanas pakalpojumiem</t>
  </si>
  <si>
    <t>1) Ieņēmumu pārpilde par maksas stāvvietām (CKS) minerālmateriālu iegādei ceļu uzturāšanai (CKS).
2) EUR 12'386 no gāzes katla nomaiņai (Rīgas ielā 12, Carnikavā) plānotajiem līdzekļiem (0645) iespējams novirzīt ziemas uzturēšanas pakalpojumiem (0649)
2)  EUR 7'164 no gāzes katla nomaiņai (Rīgas ielā 12, Carnikavā) plānotajiem līdzekļiem (0645) iespējams novirzīt minerālmateriālu iegādei (0649).</t>
  </si>
  <si>
    <t xml:space="preserve">Tika konstatēta kļūda budžeta tāmes pievienotajā atalgojumu aprēķina tabulā, tāpēc pēc noslēdzošās 2024. gada mērķdotācijas pedagogu darba samaksai uzzināšanas (09.-12.2024.) var konstatēt, ka nav iespējams pārcelt darbiniekus uz valsts finansējumu, tādā veidā samazinot pašvaldības finansējumu. Tāpat tagad  var konstatēt nepieciešamo finansējumu.   </t>
  </si>
  <si>
    <t>EUR 10'721 atjaunošanas darbu garantijas remontu summas pārsniegums EUR 10'721 no CKS sadaļā paredzētās remontu rezerves un PII ēkas vērtības palielinājumu EKK 5240</t>
  </si>
  <si>
    <t>2024.g. 3 ceturkšņi</t>
  </si>
  <si>
    <t>Kopējā ieņēmumu izpilde pret plānoto ir 75%, jeb EUR 40'193’617</t>
  </si>
  <si>
    <t>2. Izpilde tuvu kopējam plānam, taču tā kā šai ieņēmumu sadaļai ir mainīga naudas plūsma, tad plānot ievērojumu palielinājumu nav pamata.</t>
  </si>
  <si>
    <t xml:space="preserve">3.Šobrīd izpilde pret oktobra grozījumiem 102%, taču naudas sodu ieņēmumi nav prognozējami. </t>
  </si>
  <si>
    <t>4. Saņemts EUR  89 565 - procentu ieņēmumi no nakts depozīta; EUR 30'153 - nodrošinājuma maksa par izsolēm, bet no šī daļa būs jāatmaksā izsoļu dalībniekiem, kuri neiegādājās īpašumu. EUR 31'000 iedzīvotāju līdzfinansējums par Mežmalas ielu.</t>
  </si>
  <si>
    <r>
      <t xml:space="preserve">5. Saņemta nauda no izsolēm. Kopsummā izpilde par </t>
    </r>
    <r>
      <rPr>
        <b/>
        <sz val="10"/>
        <rFont val="Arial"/>
        <family val="2"/>
        <charset val="186"/>
      </rPr>
      <t>EUR 30'123 lielāka</t>
    </r>
    <r>
      <rPr>
        <sz val="10"/>
        <rFont val="Arial"/>
        <family val="2"/>
        <charset val="186"/>
      </rPr>
      <t xml:space="preserve"> kā gada plāns.</t>
    </r>
  </si>
  <si>
    <t>6.1. Pedagogu algām vidēji 72%, kas ir lielākā pozīcija šajā sadaļā.</t>
  </si>
  <si>
    <t>7. Maksājumi tiek veikti 3 reizes gadā, vēl jābūt 1am maksājumam. Šobrīd izpilde 65%.</t>
  </si>
  <si>
    <t>8.1. Izpilde atbilstoši pl;anotajam, gada pēdējā ceturksnī izpilde varētu būt lielāka, jo sākas aktīvais telpu nomas periods nodarbību vadīšanai.</t>
  </si>
  <si>
    <t>8.2. Iespējama lielāka izpilde.</t>
  </si>
  <si>
    <t>8.3. CKS ieņēmumi no dzīvokļu un komunālajiem pakalpojumiem 62%.</t>
  </si>
  <si>
    <t>2. Tuvu plānotajam. Liela pozīcja EUR 12'000 - vēl nav veikti norēķini par videonovērošanas iekārtu servera iegādi.</t>
  </si>
  <si>
    <t xml:space="preserve">6. Kopējā izpilde 59%. </t>
  </si>
  <si>
    <t>6.1. Izpilde 68%. Gada sākumā veikta investīcija - zemes iegāde par EUR 1'037'000 apmērā.</t>
  </si>
  <si>
    <t>7.  Kopējā izpilde 69%. Projekts "Kultūras objektu būvniecība" noslēdzies un veikta naudas līdzekļu atmaksa projektu partneriem EUR 195'754 apmērā. Ādažu kultūras centrs 71% - lielākās izmaksas maijā - Gaujas svētki. TN Ozolaine 74% - Nēģu svētki augustā, pasākumi siltajā sezonā.</t>
  </si>
  <si>
    <t>8. Kopējā izpilde 53%. Dotācijas "Energoresursu atbalsts" 0% - šobrīd nav plānotas, tad jākoriģē par šādu summu gan ieņēmumi, gan izdevumi.
Sadaļa pabalsti izpilde 56%. Iespējams, ka šeit būs ekonomija ~ EUR 100'000. (Aprūpe mājās bērniem invalīdiem (MK nav pieņemts) un uz skolēnu ēdināšanu.</t>
  </si>
  <si>
    <t>9. Kopējā izpilde 60%. Izglītības iestāžu atalgojuma sadaļā lielākā izpilde vasaras mēnešos, kad lielākā daļa darbinieku dodas atvaļinājumā.</t>
  </si>
  <si>
    <t xml:space="preserve">   9.1. Norēķini ar pašvaldībām par izglītības iestāžu pakalp. - izpilde 67%. Norēķini notiek 3x gadā. </t>
  </si>
  <si>
    <t xml:space="preserve">9.2. - 9.5. Ādažu PII izpilde izpilde vidēji 60%. </t>
  </si>
  <si>
    <t>9.6. Privātās izglītības iestādes. Izpilde 73%, atbilstoši plānam.</t>
  </si>
  <si>
    <t>9.8. Ādažu vidusskola 56% - projekts Ādažu vidusskolas ēkas A korpusa, savienojuma daļas starp korpusiem (A un B), kā arī, vidusskolas centrālās daļas, tai skaitā torņa fasādes atjaunošana. EUR 870 000 - vēl nav veikti maksājumi, aizņēmuma līgums ir noslēgts.</t>
  </si>
  <si>
    <t>9.10. Sporta skola 58%.</t>
  </si>
  <si>
    <t>9.11. Izglītības un jauniešu lietu pārvalde 68% - lielākās plāna pozīcijas bērnu radošās nometnes vasarā un rudenī.</t>
  </si>
  <si>
    <t>6.2. Saskaņā ar projektu NP. Izpilde 56%. Par projektu gaitu sīkāk ziņos izpilddirektors.</t>
  </si>
  <si>
    <t>9.7. Carnikavas vidusskola - izpilde 64 %, no 01.09. skola darbojas kā vidusskola.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</si>
</sst>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_-&quot;€&quot;\ * #,##0.00_-;\-&quot;€&quot;\ * #,##0.00_-;_-&quot;€&quot;\ * &quot;-&quot;??_-;_-@_-"/>
    <numFmt numFmtId="165" formatCode="_-&quot;Ls&quot;\ * #,##0.00_-;\-&quot;Ls&quot;\ * #,##0.00_-;_-&quot;Ls&quot;\ * &quot;-&quot;??_-;_-@_-"/>
    <numFmt numFmtId="166" formatCode="_-* #,##0_-;\-* #,##0_-;_-* &quot;-&quot;??_-;_-@_-"/>
    <numFmt numFmtId="167" formatCode="0.0%"/>
    <numFmt numFmtId="168" formatCode="[$-426]General"/>
    <numFmt numFmtId="169" formatCode="[$-426]0%"/>
    <numFmt numFmtId="170" formatCode="&quot; &quot;#,##0.00&quot; &quot;;&quot;-&quot;#,##0.00&quot; &quot;;&quot; -&quot;#&quot; &quot;;&quot; &quot;@&quot; &quot;"/>
    <numFmt numFmtId="172" formatCode="[&lt;=9999999]###\-####;\(###\)\ ###\-####"/>
    <numFmt numFmtId="173" formatCode="_-* #,##0.00\ [$EUR]_-;\-* #,##0.00\ [$EUR]_-;_-* &quot;-&quot;??\ [$EUR]_-;_-@_-"/>
    <numFmt numFmtId="175" formatCode="_-&quot;€&quot;* #,##0.00_-;\-&quot;€&quot;* #,##0.00_-;_-&quot;€&quot;* &quot;-&quot;??_-;_-@_-"/>
  </numFmts>
  <fonts count="121"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indexed="10"/>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1"/>
      <color indexed="8"/>
      <name val="Times New Roman"/>
      <family val="1"/>
      <charset val="186"/>
    </font>
    <font>
      <sz val="10"/>
      <name val="Times New Roman"/>
      <family val="1"/>
      <charset val="186"/>
    </font>
    <font>
      <i/>
      <sz val="11"/>
      <color theme="3"/>
      <name val="Times New Roman"/>
      <family val="1"/>
      <charset val="186"/>
    </font>
    <font>
      <sz val="10"/>
      <color rgb="FFFF0000"/>
      <name val="Times New Roman"/>
      <family val="1"/>
      <charset val="186"/>
    </font>
    <font>
      <i/>
      <sz val="11"/>
      <name val="Times New Roman"/>
      <family val="1"/>
      <charset val="186"/>
    </font>
    <font>
      <sz val="8"/>
      <name val="Arial"/>
      <family val="2"/>
      <charset val="186"/>
    </font>
    <font>
      <sz val="8"/>
      <color indexed="10"/>
      <name val="Tahoma"/>
      <family val="2"/>
      <charset val="186"/>
    </font>
    <font>
      <sz val="9"/>
      <color indexed="8"/>
      <name val="Arial"/>
      <family val="2"/>
      <charset val="186"/>
    </font>
    <font>
      <sz val="9"/>
      <color rgb="FF006100"/>
      <name val="Arial"/>
      <family val="2"/>
      <charset val="186"/>
    </font>
    <font>
      <sz val="12"/>
      <name val="Times New Roman"/>
      <family val="1"/>
      <charset val="186"/>
    </font>
    <font>
      <b/>
      <sz val="11"/>
      <color theme="1"/>
      <name val="Calibri"/>
      <family val="2"/>
      <charset val="186"/>
      <scheme val="minor"/>
    </font>
    <font>
      <u/>
      <sz val="11"/>
      <color theme="10"/>
      <name val="Calibri"/>
      <family val="2"/>
      <charset val="186"/>
      <scheme val="minor"/>
    </font>
    <font>
      <sz val="11"/>
      <color rgb="FF000000"/>
      <name val="Calibri"/>
      <family val="2"/>
    </font>
    <font>
      <b/>
      <sz val="10"/>
      <name val="Arial"/>
      <family val="2"/>
      <charset val="186"/>
    </font>
    <font>
      <sz val="10"/>
      <color rgb="FFFF0000"/>
      <name val="Arial"/>
      <family val="2"/>
      <charset val="186"/>
    </font>
    <font>
      <sz val="10"/>
      <color theme="1"/>
      <name val="Arial"/>
      <family val="2"/>
      <charset val="186"/>
    </font>
    <font>
      <sz val="10"/>
      <name val="Arial"/>
      <family val="2"/>
    </font>
    <font>
      <b/>
      <sz val="11"/>
      <name val="Times New Roman"/>
      <family val="1"/>
    </font>
    <font>
      <i/>
      <sz val="11"/>
      <color rgb="FFFF0000"/>
      <name val="Times New Roman"/>
      <family val="1"/>
      <charset val="186"/>
    </font>
    <font>
      <sz val="9"/>
      <color indexed="81"/>
      <name val="Tahoma"/>
      <family val="2"/>
      <charset val="186"/>
    </font>
    <font>
      <b/>
      <sz val="9"/>
      <color indexed="81"/>
      <name val="Tahoma"/>
      <family val="2"/>
      <charset val="186"/>
    </font>
    <font>
      <sz val="10"/>
      <name val="Arial"/>
      <family val="2"/>
      <charset val="186"/>
    </font>
    <font>
      <sz val="11"/>
      <color theme="1"/>
      <name val="Arial"/>
      <family val="2"/>
      <charset val="186"/>
    </font>
    <font>
      <b/>
      <sz val="20"/>
      <color indexed="8"/>
      <name val="Times New Roman"/>
      <family val="1"/>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sz val="11"/>
      <color rgb="FF7030A0"/>
      <name val="Times New Roman"/>
      <family val="1"/>
      <charset val="186"/>
    </font>
    <font>
      <sz val="10"/>
      <name val="Helv"/>
    </font>
    <font>
      <u/>
      <sz val="9"/>
      <color theme="10"/>
      <name val="Arial"/>
      <family val="2"/>
      <charset val="186"/>
    </font>
    <font>
      <b/>
      <sz val="11"/>
      <name val="Calibri"/>
      <family val="2"/>
      <scheme val="minor"/>
    </font>
    <font>
      <b/>
      <sz val="11"/>
      <color rgb="FF7030A0"/>
      <name val="Times New Roman"/>
      <family val="1"/>
      <charset val="186"/>
    </font>
    <font>
      <sz val="11"/>
      <color rgb="FF9C5700"/>
      <name val="Calibri"/>
      <family val="2"/>
      <charset val="186"/>
      <scheme val="minor"/>
    </font>
    <font>
      <u/>
      <sz val="11"/>
      <color theme="10"/>
      <name val="Calibri"/>
      <family val="2"/>
      <charset val="186"/>
    </font>
    <font>
      <b/>
      <sz val="18"/>
      <name val="Calibri"/>
      <family val="2"/>
      <scheme val="minor"/>
    </font>
    <font>
      <sz val="28"/>
      <color theme="0" tint="-0.499984740745262"/>
      <name val="Calibri Light"/>
      <family val="2"/>
      <scheme val="major"/>
    </font>
    <font>
      <b/>
      <i/>
      <sz val="11"/>
      <name val="Calibri"/>
      <family val="2"/>
      <scheme val="minor"/>
    </font>
    <font>
      <i/>
      <sz val="11"/>
      <name val="Calibri"/>
      <family val="2"/>
      <scheme val="minor"/>
    </font>
    <font>
      <b/>
      <sz val="10"/>
      <color theme="1"/>
      <name val="Arial"/>
      <family val="2"/>
      <charset val="186"/>
    </font>
    <font>
      <sz val="11"/>
      <color rgb="FF000000"/>
      <name val="Calibri"/>
      <family val="2"/>
      <charset val="1"/>
    </font>
    <font>
      <i/>
      <sz val="11"/>
      <color indexed="8"/>
      <name val="Times New Roman"/>
      <family val="1"/>
      <charset val="186"/>
    </font>
    <font>
      <b/>
      <u/>
      <sz val="11"/>
      <name val="Times New Roman"/>
      <family val="1"/>
      <charset val="186"/>
    </font>
    <font>
      <u/>
      <sz val="11"/>
      <name val="Times New Roman"/>
      <family val="1"/>
      <charset val="186"/>
    </font>
    <font>
      <u/>
      <sz val="10"/>
      <name val="Arial"/>
      <family val="2"/>
      <charset val="186"/>
    </font>
    <font>
      <sz val="11"/>
      <color theme="9" tint="-0.249977111117893"/>
      <name val="Times New Roman"/>
      <family val="1"/>
      <charset val="186"/>
    </font>
    <font>
      <b/>
      <sz val="20"/>
      <name val="Times New Roman"/>
      <family val="1"/>
      <charset val="186"/>
    </font>
    <font>
      <b/>
      <i/>
      <u/>
      <sz val="11"/>
      <name val="Times New Roman"/>
      <family val="1"/>
      <charset val="186"/>
    </font>
  </fonts>
  <fills count="53">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rgb="FF00B0F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7"/>
        <bgColor indexed="64"/>
      </patternFill>
    </fill>
  </fills>
  <borders count="8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76">
    <xf numFmtId="0" fontId="0" fillId="0" borderId="0"/>
    <xf numFmtId="43" fontId="54" fillId="0" borderId="0" applyFont="0" applyFill="0" applyBorder="0" applyAlignment="0" applyProtection="0"/>
    <xf numFmtId="9" fontId="54" fillId="0" borderId="0" applyFont="0" applyFill="0" applyBorder="0" applyAlignment="0" applyProtection="0"/>
    <xf numFmtId="0" fontId="46" fillId="0" borderId="0"/>
    <xf numFmtId="9" fontId="52" fillId="0" borderId="0" applyFont="0" applyFill="0" applyBorder="0" applyAlignment="0" applyProtection="0"/>
    <xf numFmtId="43" fontId="52" fillId="0" borderId="0" applyFont="0" applyFill="0" applyBorder="0" applyAlignment="0" applyProtection="0"/>
    <xf numFmtId="9" fontId="52" fillId="0" borderId="0" applyFont="0" applyFill="0" applyBorder="0" applyAlignment="0" applyProtection="0"/>
    <xf numFmtId="0" fontId="55" fillId="0" borderId="0"/>
    <xf numFmtId="43" fontId="52" fillId="0" borderId="0" applyFont="0" applyFill="0" applyBorder="0" applyAlignment="0" applyProtection="0"/>
    <xf numFmtId="9" fontId="52" fillId="0" borderId="0" applyFont="0" applyFill="0" applyBorder="0" applyAlignment="0" applyProtection="0"/>
    <xf numFmtId="0" fontId="55" fillId="0" borderId="0"/>
    <xf numFmtId="43" fontId="55" fillId="0" borderId="0" applyFont="0" applyFill="0" applyBorder="0" applyAlignment="0" applyProtection="0"/>
    <xf numFmtId="43" fontId="52" fillId="0" borderId="0" applyFont="0" applyFill="0" applyBorder="0" applyAlignment="0" applyProtection="0"/>
    <xf numFmtId="0" fontId="45" fillId="0" borderId="0"/>
    <xf numFmtId="9" fontId="55" fillId="0" borderId="0" applyFont="0" applyFill="0" applyBorder="0" applyAlignment="0" applyProtection="0"/>
    <xf numFmtId="43" fontId="52" fillId="0" borderId="0" applyFont="0" applyFill="0" applyBorder="0" applyAlignment="0" applyProtection="0"/>
    <xf numFmtId="0" fontId="52" fillId="0" borderId="0"/>
    <xf numFmtId="43" fontId="52" fillId="0" borderId="0" applyFont="0" applyFill="0" applyBorder="0" applyAlignment="0" applyProtection="0"/>
    <xf numFmtId="0" fontId="59" fillId="0" borderId="0"/>
    <xf numFmtId="43" fontId="54" fillId="0" borderId="0" applyFont="0" applyFill="0" applyBorder="0" applyAlignment="0" applyProtection="0"/>
    <xf numFmtId="43" fontId="52" fillId="0" borderId="0" applyFont="0" applyFill="0" applyBorder="0" applyAlignment="0" applyProtection="0"/>
    <xf numFmtId="165" fontId="54" fillId="0" borderId="0" applyFont="0" applyFill="0" applyBorder="0" applyAlignment="0" applyProtection="0"/>
    <xf numFmtId="43" fontId="52" fillId="0" borderId="0" applyFont="0" applyFill="0" applyBorder="0" applyAlignment="0" applyProtection="0"/>
    <xf numFmtId="43" fontId="65" fillId="0" borderId="0" applyFont="0" applyFill="0" applyBorder="0" applyAlignment="0" applyProtection="0"/>
    <xf numFmtId="43" fontId="45" fillId="0" borderId="0" applyFont="0" applyFill="0" applyBorder="0" applyAlignment="0" applyProtection="0"/>
    <xf numFmtId="43" fontId="52" fillId="0" borderId="0" applyFont="0" applyFill="0" applyBorder="0" applyAlignment="0" applyProtection="0"/>
    <xf numFmtId="0" fontId="45" fillId="0" borderId="0"/>
    <xf numFmtId="0" fontId="66" fillId="2" borderId="0" applyNumberFormat="0" applyBorder="0" applyAlignment="0" applyProtection="0"/>
    <xf numFmtId="0" fontId="55" fillId="0" borderId="0"/>
    <xf numFmtId="43" fontId="55" fillId="0" borderId="0" applyFont="0" applyFill="0" applyBorder="0" applyAlignment="0" applyProtection="0"/>
    <xf numFmtId="43" fontId="55" fillId="0" borderId="0" applyFont="0" applyFill="0" applyBorder="0" applyAlignment="0" applyProtection="0"/>
    <xf numFmtId="9" fontId="55" fillId="0" borderId="0" applyFont="0" applyFill="0" applyBorder="0" applyAlignment="0" applyProtection="0"/>
    <xf numFmtId="0" fontId="44" fillId="0" borderId="0"/>
    <xf numFmtId="0" fontId="43" fillId="0" borderId="0"/>
    <xf numFmtId="9" fontId="43" fillId="0" borderId="0" applyFont="0" applyFill="0" applyBorder="0" applyAlignment="0" applyProtection="0"/>
    <xf numFmtId="0" fontId="43" fillId="0" borderId="0"/>
    <xf numFmtId="43" fontId="52" fillId="0" borderId="0" applyFont="0" applyFill="0" applyBorder="0" applyAlignment="0" applyProtection="0"/>
    <xf numFmtId="0" fontId="52" fillId="0" borderId="0"/>
    <xf numFmtId="0" fontId="52" fillId="0" borderId="0"/>
    <xf numFmtId="43" fontId="43" fillId="0" borderId="0" applyFont="0" applyFill="0" applyBorder="0" applyAlignment="0" applyProtection="0"/>
    <xf numFmtId="0" fontId="67" fillId="0" borderId="0"/>
    <xf numFmtId="0" fontId="69" fillId="0" borderId="0" applyNumberFormat="0" applyFill="0" applyBorder="0" applyAlignment="0" applyProtection="0"/>
    <xf numFmtId="0" fontId="55" fillId="0" borderId="0" applyNumberFormat="0" applyFill="0" applyBorder="0" applyAlignment="0" applyProtection="0"/>
    <xf numFmtId="0" fontId="42" fillId="0" borderId="0"/>
    <xf numFmtId="0" fontId="42" fillId="0" borderId="0"/>
    <xf numFmtId="0" fontId="52" fillId="0" borderId="0"/>
    <xf numFmtId="0" fontId="52" fillId="0" borderId="0"/>
    <xf numFmtId="0" fontId="55" fillId="0" borderId="0"/>
    <xf numFmtId="0" fontId="41" fillId="0" borderId="0"/>
    <xf numFmtId="43" fontId="41" fillId="0" borderId="0" applyFont="0" applyFill="0" applyBorder="0" applyAlignment="0" applyProtection="0"/>
    <xf numFmtId="43" fontId="54" fillId="0" borderId="0" applyFont="0" applyFill="0" applyBorder="0" applyAlignment="0" applyProtection="0"/>
    <xf numFmtId="0" fontId="55" fillId="0" borderId="0"/>
    <xf numFmtId="0" fontId="41" fillId="0" borderId="0"/>
    <xf numFmtId="0" fontId="74" fillId="0" borderId="0"/>
    <xf numFmtId="168" fontId="70" fillId="0" borderId="0"/>
    <xf numFmtId="0" fontId="40" fillId="0" borderId="0"/>
    <xf numFmtId="9" fontId="40" fillId="0" borderId="0" applyFont="0" applyFill="0" applyBorder="0" applyAlignment="0" applyProtection="0"/>
    <xf numFmtId="43" fontId="54" fillId="0" borderId="0" applyFont="0" applyFill="0" applyBorder="0" applyAlignment="0" applyProtection="0"/>
    <xf numFmtId="43" fontId="65" fillId="0" borderId="0" applyFont="0" applyFill="0" applyBorder="0" applyAlignment="0" applyProtection="0"/>
    <xf numFmtId="43" fontId="40" fillId="0" borderId="0" applyFont="0" applyFill="0" applyBorder="0" applyAlignment="0" applyProtection="0"/>
    <xf numFmtId="43" fontId="55" fillId="0" borderId="0" applyFont="0" applyFill="0" applyBorder="0" applyAlignment="0" applyProtection="0"/>
    <xf numFmtId="43" fontId="52" fillId="0" borderId="0" applyFont="0" applyFill="0" applyBorder="0" applyAlignment="0" applyProtection="0"/>
    <xf numFmtId="0" fontId="40" fillId="0" borderId="0"/>
    <xf numFmtId="43" fontId="40" fillId="0" borderId="0" applyFont="0" applyFill="0" applyBorder="0" applyAlignment="0" applyProtection="0"/>
    <xf numFmtId="0" fontId="39" fillId="0" borderId="0"/>
    <xf numFmtId="0" fontId="38" fillId="0" borderId="0"/>
    <xf numFmtId="0" fontId="37" fillId="0" borderId="0"/>
    <xf numFmtId="43" fontId="37" fillId="0" borderId="0" applyFont="0" applyFill="0" applyBorder="0" applyAlignment="0" applyProtection="0"/>
    <xf numFmtId="169" fontId="70" fillId="0" borderId="0" applyBorder="0" applyProtection="0"/>
    <xf numFmtId="170" fontId="70" fillId="0" borderId="0" applyBorder="0" applyProtection="0"/>
    <xf numFmtId="0" fontId="55" fillId="0" borderId="0"/>
    <xf numFmtId="0" fontId="36" fillId="0" borderId="0"/>
    <xf numFmtId="43" fontId="36" fillId="0" borderId="0" applyFont="0" applyFill="0" applyBorder="0" applyAlignment="0" applyProtection="0"/>
    <xf numFmtId="9" fontId="36" fillId="0" borderId="0" applyFont="0" applyFill="0" applyBorder="0" applyAlignment="0" applyProtection="0"/>
    <xf numFmtId="0" fontId="35" fillId="0" borderId="0"/>
    <xf numFmtId="43" fontId="35" fillId="0" borderId="0" applyFont="0" applyFill="0" applyBorder="0" applyAlignment="0" applyProtection="0"/>
    <xf numFmtId="0" fontId="79" fillId="0" borderId="0"/>
    <xf numFmtId="0" fontId="34" fillId="0" borderId="0"/>
    <xf numFmtId="43" fontId="34"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xf numFmtId="43" fontId="54" fillId="0" borderId="0" applyFont="0" applyFill="0" applyBorder="0" applyAlignment="0" applyProtection="0"/>
    <xf numFmtId="0" fontId="33" fillId="0" borderId="0"/>
    <xf numFmtId="0" fontId="32" fillId="0" borderId="0"/>
    <xf numFmtId="0" fontId="31" fillId="0" borderId="0"/>
    <xf numFmtId="0" fontId="83" fillId="0" borderId="0" applyNumberFormat="0" applyProtection="0">
      <alignment vertical="top"/>
    </xf>
    <xf numFmtId="0" fontId="74" fillId="0" borderId="0"/>
    <xf numFmtId="43" fontId="31" fillId="0" borderId="0" applyFont="0" applyFill="0" applyBorder="0" applyAlignment="0" applyProtection="0"/>
    <xf numFmtId="0" fontId="31" fillId="0" borderId="0"/>
    <xf numFmtId="0" fontId="30" fillId="0" borderId="0"/>
    <xf numFmtId="0" fontId="29" fillId="0" borderId="0"/>
    <xf numFmtId="0" fontId="84" fillId="0" borderId="0" applyNumberFormat="0" applyFill="0" applyBorder="0" applyAlignment="0" applyProtection="0"/>
    <xf numFmtId="0" fontId="85" fillId="0" borderId="0"/>
    <xf numFmtId="0" fontId="27" fillId="0" borderId="0"/>
    <xf numFmtId="0" fontId="27" fillId="0" borderId="0"/>
    <xf numFmtId="9" fontId="55" fillId="0" borderId="0" applyFont="0" applyFill="0" applyBorder="0" applyAlignment="0" applyProtection="0"/>
    <xf numFmtId="0" fontId="26" fillId="0" borderId="0"/>
    <xf numFmtId="0" fontId="55" fillId="0" borderId="0"/>
    <xf numFmtId="43" fontId="55" fillId="0" borderId="0" applyFont="0" applyFill="0" applyBorder="0" applyAlignment="0" applyProtection="0"/>
    <xf numFmtId="43" fontId="26" fillId="0" borderId="0" applyFont="0" applyFill="0" applyBorder="0" applyAlignment="0" applyProtection="0"/>
    <xf numFmtId="0" fontId="54" fillId="0" borderId="0"/>
    <xf numFmtId="0" fontId="87" fillId="0" borderId="0" applyNumberFormat="0" applyFill="0" applyBorder="0" applyAlignment="0" applyProtection="0"/>
    <xf numFmtId="0" fontId="88" fillId="0" borderId="30" applyNumberFormat="0" applyFill="0" applyAlignment="0" applyProtection="0"/>
    <xf numFmtId="0" fontId="89" fillId="0" borderId="31" applyNumberFormat="0" applyFill="0" applyAlignment="0" applyProtection="0"/>
    <xf numFmtId="0" fontId="90" fillId="0" borderId="32" applyNumberFormat="0" applyFill="0" applyAlignment="0" applyProtection="0"/>
    <xf numFmtId="0" fontId="90" fillId="0" borderId="0" applyNumberFormat="0" applyFill="0" applyBorder="0" applyAlignment="0" applyProtection="0"/>
    <xf numFmtId="0" fontId="91" fillId="2" borderId="0" applyNumberFormat="0" applyBorder="0" applyAlignment="0" applyProtection="0"/>
    <xf numFmtId="0" fontId="92" fillId="20" borderId="0" applyNumberFormat="0" applyBorder="0" applyAlignment="0" applyProtection="0"/>
    <xf numFmtId="0" fontId="93" fillId="21" borderId="0" applyNumberFormat="0" applyBorder="0" applyAlignment="0" applyProtection="0"/>
    <xf numFmtId="0" fontId="94" fillId="22" borderId="33" applyNumberFormat="0" applyAlignment="0" applyProtection="0"/>
    <xf numFmtId="0" fontId="95" fillId="23" borderId="34" applyNumberFormat="0" applyAlignment="0" applyProtection="0"/>
    <xf numFmtId="0" fontId="96" fillId="23" borderId="33" applyNumberFormat="0" applyAlignment="0" applyProtection="0"/>
    <xf numFmtId="0" fontId="97" fillId="0" borderId="35" applyNumberFormat="0" applyFill="0" applyAlignment="0" applyProtection="0"/>
    <xf numFmtId="0" fontId="98" fillId="24" borderId="36" applyNumberFormat="0" applyAlignment="0" applyProtection="0"/>
    <xf numFmtId="0" fontId="47" fillId="0" borderId="0" applyNumberFormat="0" applyFill="0" applyBorder="0" applyAlignment="0" applyProtection="0"/>
    <xf numFmtId="0" fontId="99" fillId="0" borderId="0" applyNumberFormat="0" applyFill="0" applyBorder="0" applyAlignment="0" applyProtection="0"/>
    <xf numFmtId="0" fontId="68" fillId="0" borderId="38" applyNumberFormat="0" applyFill="0" applyAlignment="0" applyProtection="0"/>
    <xf numFmtId="0" fontId="100"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00" fillId="29" borderId="0" applyNumberFormat="0" applyBorder="0" applyAlignment="0" applyProtection="0"/>
    <xf numFmtId="0" fontId="100"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00" fillId="33" borderId="0" applyNumberFormat="0" applyBorder="0" applyAlignment="0" applyProtection="0"/>
    <xf numFmtId="0" fontId="100"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00" fillId="37" borderId="0" applyNumberFormat="0" applyBorder="0" applyAlignment="0" applyProtection="0"/>
    <xf numFmtId="0" fontId="100"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100" fillId="41" borderId="0" applyNumberFormat="0" applyBorder="0" applyAlignment="0" applyProtection="0"/>
    <xf numFmtId="0" fontId="100"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100" fillId="45" borderId="0" applyNumberFormat="0" applyBorder="0" applyAlignment="0" applyProtection="0"/>
    <xf numFmtId="0" fontId="100"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100" fillId="49" borderId="0" applyNumberFormat="0" applyBorder="0" applyAlignment="0" applyProtection="0"/>
    <xf numFmtId="0" fontId="24" fillId="0" borderId="0"/>
    <xf numFmtId="0" fontId="24" fillId="25" borderId="37" applyNumberFormat="0" applyFont="0" applyAlignment="0" applyProtection="0"/>
    <xf numFmtId="0" fontId="23" fillId="0" borderId="0"/>
    <xf numFmtId="43" fontId="23" fillId="0" borderId="0" applyFont="0" applyFill="0" applyBorder="0" applyAlignment="0" applyProtection="0"/>
    <xf numFmtId="43" fontId="85" fillId="0" borderId="0" applyFont="0" applyFill="0" applyBorder="0" applyAlignment="0" applyProtection="0"/>
    <xf numFmtId="0" fontId="22" fillId="0" borderId="0"/>
    <xf numFmtId="0" fontId="22" fillId="25" borderId="37" applyNumberFormat="0" applyFont="0" applyAlignment="0" applyProtection="0"/>
    <xf numFmtId="0" fontId="22" fillId="27" borderId="0" applyNumberFormat="0" applyBorder="0" applyAlignment="0" applyProtection="0"/>
    <xf numFmtId="0" fontId="22" fillId="28"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64" fillId="0" borderId="0" pivotButton="1"/>
    <xf numFmtId="43" fontId="64" fillId="0" borderId="0" applyFont="0" applyFill="0" applyBorder="0" applyAlignment="0" applyProtection="0"/>
    <xf numFmtId="0" fontId="85" fillId="0" borderId="0"/>
    <xf numFmtId="0" fontId="80" fillId="0" borderId="0"/>
    <xf numFmtId="0" fontId="55" fillId="0" borderId="0"/>
    <xf numFmtId="43" fontId="55" fillId="0" borderId="0" applyFont="0" applyFill="0" applyBorder="0" applyAlignment="0" applyProtection="0"/>
    <xf numFmtId="0" fontId="21" fillId="0" borderId="0"/>
    <xf numFmtId="0" fontId="55" fillId="0" borderId="0" applyBorder="0"/>
    <xf numFmtId="0" fontId="21" fillId="0" borderId="0"/>
    <xf numFmtId="0" fontId="102" fillId="0" borderId="0"/>
    <xf numFmtId="0" fontId="54" fillId="0" borderId="0"/>
    <xf numFmtId="9" fontId="54" fillId="0" borderId="0" applyFont="0" applyFill="0" applyBorder="0" applyAlignment="0" applyProtection="0"/>
    <xf numFmtId="0" fontId="20" fillId="0" borderId="0"/>
    <xf numFmtId="0" fontId="103" fillId="0" borderId="0" applyNumberFormat="0" applyFill="0" applyBorder="0" applyAlignment="0" applyProtection="0"/>
    <xf numFmtId="0" fontId="19" fillId="0" borderId="0"/>
    <xf numFmtId="0" fontId="18" fillId="0" borderId="0"/>
    <xf numFmtId="0" fontId="106" fillId="21" borderId="0" applyNumberFormat="0" applyBorder="0" applyAlignment="0" applyProtection="0"/>
    <xf numFmtId="0" fontId="18" fillId="25" borderId="37" applyNumberFormat="0" applyFont="0" applyAlignment="0" applyProtection="0"/>
    <xf numFmtId="0" fontId="18"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7" fillId="0" borderId="0"/>
    <xf numFmtId="0" fontId="107" fillId="0" borderId="0" applyNumberFormat="0" applyFill="0" applyBorder="0" applyAlignment="0" applyProtection="0">
      <alignment vertical="top"/>
      <protection locked="0"/>
    </xf>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4" fillId="0" borderId="0"/>
    <xf numFmtId="0" fontId="108" fillId="0" borderId="0">
      <alignment horizontal="left" wrapText="1"/>
    </xf>
    <xf numFmtId="0" fontId="109" fillId="0" borderId="0">
      <alignment horizontal="right"/>
    </xf>
    <xf numFmtId="0" fontId="86" fillId="0" borderId="0">
      <alignment horizontal="left" wrapText="1"/>
    </xf>
    <xf numFmtId="0" fontId="110" fillId="0" borderId="0">
      <alignment vertical="top" wrapText="1"/>
    </xf>
    <xf numFmtId="0" fontId="104" fillId="0" borderId="0">
      <alignment horizontal="right" indent="1"/>
    </xf>
    <xf numFmtId="14" fontId="86" fillId="0" borderId="0" applyFont="0" applyFill="0" applyBorder="0" applyAlignment="0" applyProtection="0">
      <alignment horizontal="left"/>
    </xf>
    <xf numFmtId="172" fontId="86" fillId="0" borderId="0" applyFont="0" applyFill="0" applyBorder="0" applyProtection="0">
      <alignment horizontal="left" vertical="top" wrapText="1"/>
    </xf>
    <xf numFmtId="0" fontId="104" fillId="0" borderId="0">
      <alignment horizontal="left" vertical="top"/>
    </xf>
    <xf numFmtId="0" fontId="111" fillId="0" borderId="0">
      <alignment horizontal="right" indent="1"/>
    </xf>
    <xf numFmtId="0" fontId="86" fillId="0" borderId="0">
      <alignment horizontal="left" vertical="top" wrapText="1"/>
    </xf>
    <xf numFmtId="173" fontId="86" fillId="0" borderId="0" applyFont="0" applyFill="0" applyBorder="0" applyProtection="0">
      <alignment horizontal="right"/>
    </xf>
    <xf numFmtId="0" fontId="104" fillId="0" borderId="0">
      <alignment horizontal="center" wrapText="1"/>
    </xf>
    <xf numFmtId="0" fontId="13" fillId="0" borderId="0"/>
    <xf numFmtId="43" fontId="13" fillId="0" borderId="0" applyFont="0" applyFill="0" applyBorder="0" applyAlignment="0" applyProtection="0"/>
    <xf numFmtId="0" fontId="11" fillId="0" borderId="0"/>
    <xf numFmtId="0" fontId="106" fillId="21" borderId="0" applyNumberFormat="0" applyBorder="0" applyAlignment="0" applyProtection="0"/>
    <xf numFmtId="0" fontId="11" fillId="25" borderId="37" applyNumberFormat="0" applyFont="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9"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3" borderId="0" applyNumberFormat="0" applyBorder="0" applyAlignment="0" applyProtection="0"/>
    <xf numFmtId="0" fontId="11" fillId="44" borderId="0" applyNumberFormat="0" applyBorder="0" applyAlignment="0" applyProtection="0"/>
    <xf numFmtId="0" fontId="11" fillId="45" borderId="0" applyNumberFormat="0" applyBorder="0" applyAlignment="0" applyProtection="0"/>
    <xf numFmtId="0" fontId="11" fillId="47" borderId="0" applyNumberFormat="0" applyBorder="0" applyAlignment="0" applyProtection="0"/>
    <xf numFmtId="0" fontId="11" fillId="48" borderId="0" applyNumberFormat="0" applyBorder="0" applyAlignment="0" applyProtection="0"/>
    <xf numFmtId="0" fontId="11" fillId="49" borderId="0" applyNumberFormat="0" applyBorder="0" applyAlignment="0" applyProtection="0"/>
    <xf numFmtId="0" fontId="10" fillId="0" borderId="0"/>
    <xf numFmtId="0" fontId="10" fillId="0" borderId="0"/>
    <xf numFmtId="0" fontId="10" fillId="0" borderId="0"/>
    <xf numFmtId="175" fontId="54" fillId="0" borderId="0" applyFont="0" applyFill="0" applyBorder="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2" fillId="25" borderId="37" applyNumberFormat="0" applyFont="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113" fillId="0" borderId="0"/>
    <xf numFmtId="43" fontId="85" fillId="0" borderId="0" applyFont="0" applyFill="0" applyBorder="0" applyAlignment="0" applyProtection="0"/>
    <xf numFmtId="0" fontId="54" fillId="0" borderId="0"/>
    <xf numFmtId="43" fontId="54" fillId="0" borderId="0" applyFont="0" applyFill="0" applyBorder="0" applyAlignment="0" applyProtection="0"/>
  </cellStyleXfs>
  <cellXfs count="588">
    <xf numFmtId="0" fontId="0" fillId="0" borderId="0" xfId="0"/>
    <xf numFmtId="9" fontId="48" fillId="0" borderId="0" xfId="4" applyFont="1"/>
    <xf numFmtId="0" fontId="48" fillId="0" borderId="0" xfId="43" applyFont="1"/>
    <xf numFmtId="0" fontId="48" fillId="0" borderId="0" xfId="43" applyFont="1" applyAlignment="1">
      <alignment wrapText="1"/>
    </xf>
    <xf numFmtId="0" fontId="53" fillId="0" borderId="0" xfId="43" applyFont="1"/>
    <xf numFmtId="0" fontId="51" fillId="0" borderId="0" xfId="43" applyFont="1"/>
    <xf numFmtId="0" fontId="53" fillId="0" borderId="1" xfId="43" applyFont="1" applyBorder="1" applyAlignment="1">
      <alignment horizontal="center" vertical="center"/>
    </xf>
    <xf numFmtId="0" fontId="53" fillId="0" borderId="2" xfId="43" applyFont="1" applyBorder="1" applyAlignment="1">
      <alignment horizontal="center" vertical="center" wrapText="1"/>
    </xf>
    <xf numFmtId="3" fontId="53" fillId="3" borderId="4" xfId="43" applyNumberFormat="1" applyFont="1" applyFill="1" applyBorder="1"/>
    <xf numFmtId="3" fontId="53" fillId="4" borderId="4" xfId="43" applyNumberFormat="1" applyFont="1" applyFill="1" applyBorder="1"/>
    <xf numFmtId="0" fontId="58" fillId="0" borderId="0" xfId="43" applyFont="1"/>
    <xf numFmtId="3" fontId="48" fillId="0" borderId="7" xfId="43" applyNumberFormat="1" applyFont="1" applyBorder="1"/>
    <xf numFmtId="3" fontId="50" fillId="0" borderId="7" xfId="43" applyNumberFormat="1" applyFont="1" applyBorder="1"/>
    <xf numFmtId="3" fontId="53" fillId="4" borderId="7" xfId="43" applyNumberFormat="1" applyFont="1" applyFill="1" applyBorder="1"/>
    <xf numFmtId="3" fontId="48" fillId="6" borderId="7" xfId="43" applyNumberFormat="1" applyFont="1" applyFill="1" applyBorder="1"/>
    <xf numFmtId="3" fontId="59" fillId="8" borderId="7" xfId="43" applyNumberFormat="1" applyFont="1" applyFill="1" applyBorder="1"/>
    <xf numFmtId="0" fontId="59" fillId="0" borderId="0" xfId="43" applyFont="1"/>
    <xf numFmtId="0" fontId="50" fillId="0" borderId="0" xfId="43" applyFont="1"/>
    <xf numFmtId="3" fontId="48" fillId="3" borderId="7" xfId="43" applyNumberFormat="1" applyFont="1" applyFill="1" applyBorder="1"/>
    <xf numFmtId="0" fontId="49" fillId="0" borderId="0" xfId="43" applyFont="1"/>
    <xf numFmtId="0" fontId="53" fillId="0" borderId="9" xfId="43" applyFont="1" applyBorder="1"/>
    <xf numFmtId="0" fontId="53" fillId="0" borderId="10" xfId="43" applyFont="1" applyBorder="1" applyAlignment="1">
      <alignment horizontal="right" wrapText="1"/>
    </xf>
    <xf numFmtId="49" fontId="48" fillId="0" borderId="6" xfId="43" applyNumberFormat="1" applyFont="1" applyBorder="1" applyAlignment="1">
      <alignment horizontal="left" wrapText="1" indent="4"/>
    </xf>
    <xf numFmtId="3" fontId="53" fillId="4" borderId="12" xfId="43" applyNumberFormat="1" applyFont="1" applyFill="1" applyBorder="1"/>
    <xf numFmtId="3" fontId="53" fillId="3" borderId="7" xfId="43" applyNumberFormat="1" applyFont="1" applyFill="1" applyBorder="1"/>
    <xf numFmtId="49" fontId="48" fillId="0" borderId="5" xfId="43" applyNumberFormat="1" applyFont="1" applyBorder="1" applyAlignment="1">
      <alignment horizontal="left" indent="2"/>
    </xf>
    <xf numFmtId="0" fontId="48" fillId="0" borderId="0" xfId="43" applyFont="1" applyAlignment="1">
      <alignment horizontal="right"/>
    </xf>
    <xf numFmtId="0" fontId="48" fillId="6" borderId="0" xfId="43" applyFont="1" applyFill="1"/>
    <xf numFmtId="49" fontId="53" fillId="0" borderId="9" xfId="43" applyNumberFormat="1" applyFont="1" applyBorder="1"/>
    <xf numFmtId="3" fontId="53" fillId="0" borderId="13" xfId="43" applyNumberFormat="1" applyFont="1" applyBorder="1"/>
    <xf numFmtId="3" fontId="53" fillId="0" borderId="14" xfId="43" applyNumberFormat="1" applyFont="1" applyBorder="1"/>
    <xf numFmtId="49" fontId="53" fillId="4" borderId="15" xfId="43" applyNumberFormat="1" applyFont="1" applyFill="1" applyBorder="1" applyAlignment="1">
      <alignment horizontal="center"/>
    </xf>
    <xf numFmtId="3" fontId="53" fillId="4" borderId="17" xfId="43" applyNumberFormat="1" applyFont="1" applyFill="1" applyBorder="1"/>
    <xf numFmtId="3" fontId="53" fillId="0" borderId="0" xfId="43" applyNumberFormat="1" applyFont="1"/>
    <xf numFmtId="0" fontId="58" fillId="5" borderId="0" xfId="43" applyFont="1" applyFill="1"/>
    <xf numFmtId="3" fontId="48" fillId="5" borderId="7" xfId="43" applyNumberFormat="1" applyFont="1" applyFill="1" applyBorder="1"/>
    <xf numFmtId="166" fontId="48" fillId="3" borderId="7" xfId="1" applyNumberFormat="1" applyFont="1" applyFill="1" applyBorder="1"/>
    <xf numFmtId="166" fontId="48" fillId="5" borderId="7" xfId="1" applyNumberFormat="1" applyFont="1" applyFill="1" applyBorder="1"/>
    <xf numFmtId="3" fontId="48" fillId="0" borderId="0" xfId="43" applyNumberFormat="1" applyFont="1"/>
    <xf numFmtId="3" fontId="53" fillId="0" borderId="3" xfId="43" applyNumberFormat="1" applyFont="1" applyBorder="1"/>
    <xf numFmtId="3" fontId="53" fillId="0" borderId="11" xfId="43" applyNumberFormat="1" applyFont="1" applyBorder="1"/>
    <xf numFmtId="3" fontId="48" fillId="0" borderId="27" xfId="43" applyNumberFormat="1" applyFont="1" applyBorder="1"/>
    <xf numFmtId="166" fontId="53" fillId="0" borderId="0" xfId="5" applyNumberFormat="1" applyFont="1"/>
    <xf numFmtId="0" fontId="53" fillId="0" borderId="3" xfId="7" applyFont="1" applyBorder="1" applyAlignment="1">
      <alignment horizontal="center" vertical="center" wrapText="1"/>
    </xf>
    <xf numFmtId="3" fontId="48" fillId="7" borderId="7" xfId="43" applyNumberFormat="1" applyFont="1" applyFill="1" applyBorder="1"/>
    <xf numFmtId="10" fontId="48" fillId="0" borderId="0" xfId="9" applyNumberFormat="1" applyFont="1"/>
    <xf numFmtId="9" fontId="53" fillId="0" borderId="3" xfId="4" applyFont="1" applyBorder="1" applyAlignment="1">
      <alignment horizontal="center" vertical="center" wrapText="1"/>
    </xf>
    <xf numFmtId="0" fontId="28" fillId="0" borderId="0" xfId="43" applyFont="1"/>
    <xf numFmtId="0" fontId="25" fillId="0" borderId="0" xfId="43" applyFont="1"/>
    <xf numFmtId="3" fontId="48" fillId="11" borderId="7" xfId="43" applyNumberFormat="1" applyFont="1" applyFill="1" applyBorder="1"/>
    <xf numFmtId="166" fontId="48" fillId="6" borderId="7" xfId="1" applyNumberFormat="1" applyFont="1" applyFill="1" applyBorder="1"/>
    <xf numFmtId="3" fontId="48" fillId="5" borderId="43" xfId="43" applyNumberFormat="1" applyFont="1" applyFill="1" applyBorder="1"/>
    <xf numFmtId="3" fontId="48" fillId="0" borderId="43" xfId="43" applyNumberFormat="1" applyFont="1" applyBorder="1"/>
    <xf numFmtId="166" fontId="53" fillId="3" borderId="4" xfId="1" applyNumberFormat="1" applyFont="1" applyFill="1" applyBorder="1"/>
    <xf numFmtId="0" fontId="42" fillId="0" borderId="0" xfId="43"/>
    <xf numFmtId="3" fontId="53" fillId="4" borderId="42" xfId="43" applyNumberFormat="1" applyFont="1" applyFill="1" applyBorder="1"/>
    <xf numFmtId="0" fontId="53" fillId="0" borderId="18" xfId="43" applyFont="1" applyBorder="1"/>
    <xf numFmtId="0" fontId="81" fillId="0" borderId="0" xfId="83" applyFont="1"/>
    <xf numFmtId="0" fontId="48" fillId="0" borderId="0" xfId="43" quotePrefix="1" applyFont="1"/>
    <xf numFmtId="0" fontId="51" fillId="0" borderId="0" xfId="43" quotePrefix="1" applyFont="1"/>
    <xf numFmtId="0" fontId="58" fillId="0" borderId="0" xfId="43" quotePrefix="1" applyFont="1"/>
    <xf numFmtId="3" fontId="48" fillId="3" borderId="27" xfId="43" applyNumberFormat="1" applyFont="1" applyFill="1" applyBorder="1"/>
    <xf numFmtId="0" fontId="48" fillId="6" borderId="0" xfId="43" quotePrefix="1" applyFont="1" applyFill="1"/>
    <xf numFmtId="0" fontId="53" fillId="3" borderId="45" xfId="43" applyFont="1" applyFill="1" applyBorder="1"/>
    <xf numFmtId="0" fontId="53" fillId="3" borderId="49" xfId="43" applyFont="1" applyFill="1" applyBorder="1" applyAlignment="1">
      <alignment wrapText="1"/>
    </xf>
    <xf numFmtId="0" fontId="53" fillId="4" borderId="45" xfId="43" quotePrefix="1" applyFont="1" applyFill="1" applyBorder="1"/>
    <xf numFmtId="0" fontId="53" fillId="4" borderId="49" xfId="43" applyFont="1" applyFill="1" applyBorder="1" applyAlignment="1">
      <alignment wrapText="1"/>
    </xf>
    <xf numFmtId="0" fontId="48" fillId="0" borderId="53" xfId="43" applyFont="1" applyBorder="1" applyAlignment="1">
      <alignment horizontal="left" indent="1"/>
    </xf>
    <xf numFmtId="0" fontId="48" fillId="0" borderId="47" xfId="43" applyFont="1" applyBorder="1" applyAlignment="1">
      <alignment horizontal="left" wrapText="1" indent="2"/>
    </xf>
    <xf numFmtId="0" fontId="53" fillId="4" borderId="53" xfId="43" applyFont="1" applyFill="1" applyBorder="1"/>
    <xf numFmtId="0" fontId="53" fillId="4" borderId="47" xfId="43" applyFont="1" applyFill="1" applyBorder="1" applyAlignment="1">
      <alignment wrapText="1"/>
    </xf>
    <xf numFmtId="0" fontId="59" fillId="0" borderId="53" xfId="43" applyFont="1" applyBorder="1" applyAlignment="1">
      <alignment horizontal="left" indent="2"/>
    </xf>
    <xf numFmtId="0" fontId="59" fillId="0" borderId="47" xfId="43" applyFont="1" applyBorder="1" applyAlignment="1">
      <alignment horizontal="left" wrapText="1" indent="3"/>
    </xf>
    <xf numFmtId="0" fontId="53" fillId="4" borderId="53" xfId="43" quotePrefix="1" applyFont="1" applyFill="1" applyBorder="1"/>
    <xf numFmtId="0" fontId="48" fillId="3" borderId="53" xfId="43" applyFont="1" applyFill="1" applyBorder="1" applyAlignment="1">
      <alignment horizontal="left" indent="1"/>
    </xf>
    <xf numFmtId="0" fontId="48" fillId="6" borderId="53" xfId="43" applyFont="1" applyFill="1" applyBorder="1" applyAlignment="1">
      <alignment horizontal="left" indent="2"/>
    </xf>
    <xf numFmtId="0" fontId="48" fillId="6" borderId="47" xfId="43" applyFont="1" applyFill="1" applyBorder="1" applyAlignment="1">
      <alignment horizontal="left" wrapText="1" indent="3"/>
    </xf>
    <xf numFmtId="0" fontId="53" fillId="0" borderId="44" xfId="43" quotePrefix="1" applyFont="1" applyBorder="1"/>
    <xf numFmtId="49" fontId="53" fillId="4" borderId="39" xfId="43" applyNumberFormat="1" applyFont="1" applyFill="1" applyBorder="1" applyAlignment="1">
      <alignment horizontal="left" indent="2"/>
    </xf>
    <xf numFmtId="49" fontId="48" fillId="3" borderId="53" xfId="43" applyNumberFormat="1" applyFont="1" applyFill="1" applyBorder="1" applyAlignment="1">
      <alignment horizontal="left" indent="1"/>
    </xf>
    <xf numFmtId="49" fontId="53" fillId="4" borderId="53" xfId="43" applyNumberFormat="1" applyFont="1" applyFill="1" applyBorder="1"/>
    <xf numFmtId="49" fontId="48" fillId="0" borderId="53" xfId="43" applyNumberFormat="1" applyFont="1" applyBorder="1" applyAlignment="1">
      <alignment horizontal="left" indent="2"/>
    </xf>
    <xf numFmtId="0" fontId="58" fillId="5" borderId="47" xfId="43" applyFont="1" applyFill="1" applyBorder="1" applyAlignment="1">
      <alignment horizontal="left" indent="2"/>
    </xf>
    <xf numFmtId="0" fontId="58" fillId="0" borderId="47" xfId="43" applyFont="1" applyBorder="1" applyAlignment="1">
      <alignment horizontal="left" indent="2"/>
    </xf>
    <xf numFmtId="49" fontId="53" fillId="3" borderId="53" xfId="43" applyNumberFormat="1" applyFont="1" applyFill="1" applyBorder="1" applyAlignment="1">
      <alignment horizontal="left" indent="1"/>
    </xf>
    <xf numFmtId="49" fontId="48" fillId="6" borderId="53" xfId="43" applyNumberFormat="1" applyFont="1" applyFill="1" applyBorder="1" applyAlignment="1">
      <alignment horizontal="left" indent="2"/>
    </xf>
    <xf numFmtId="49" fontId="48" fillId="0" borderId="53" xfId="43" applyNumberFormat="1" applyFont="1" applyBorder="1" applyAlignment="1">
      <alignment horizontal="left" indent="3"/>
    </xf>
    <xf numFmtId="49" fontId="75" fillId="3" borderId="53" xfId="43" applyNumberFormat="1" applyFont="1" applyFill="1" applyBorder="1" applyAlignment="1">
      <alignment horizontal="left" indent="1"/>
    </xf>
    <xf numFmtId="0" fontId="57" fillId="0" borderId="0" xfId="43" applyFont="1"/>
    <xf numFmtId="49" fontId="53" fillId="0" borderId="53" xfId="43" applyNumberFormat="1" applyFont="1" applyBorder="1" applyAlignment="1">
      <alignment horizontal="left" indent="2"/>
    </xf>
    <xf numFmtId="3" fontId="48" fillId="5" borderId="57" xfId="43" applyNumberFormat="1" applyFont="1" applyFill="1" applyBorder="1"/>
    <xf numFmtId="3" fontId="48" fillId="0" borderId="57" xfId="43" applyNumberFormat="1" applyFont="1" applyBorder="1"/>
    <xf numFmtId="3" fontId="48" fillId="0" borderId="59" xfId="43" applyNumberFormat="1" applyFont="1" applyBorder="1"/>
    <xf numFmtId="3" fontId="48" fillId="3" borderId="57" xfId="43" applyNumberFormat="1" applyFont="1" applyFill="1" applyBorder="1"/>
    <xf numFmtId="166" fontId="50" fillId="0" borderId="0" xfId="1" applyNumberFormat="1" applyFont="1"/>
    <xf numFmtId="3" fontId="48" fillId="19" borderId="43" xfId="43" applyNumberFormat="1" applyFont="1" applyFill="1" applyBorder="1"/>
    <xf numFmtId="3" fontId="101" fillId="3" borderId="7" xfId="43" applyNumberFormat="1" applyFont="1" applyFill="1" applyBorder="1"/>
    <xf numFmtId="3" fontId="105" fillId="4" borderId="12" xfId="43" applyNumberFormat="1" applyFont="1" applyFill="1" applyBorder="1"/>
    <xf numFmtId="0" fontId="103" fillId="0" borderId="0" xfId="173"/>
    <xf numFmtId="166" fontId="48" fillId="0" borderId="0" xfId="1" applyNumberFormat="1" applyFont="1"/>
    <xf numFmtId="0" fontId="59" fillId="0" borderId="58" xfId="43" applyFont="1" applyBorder="1" applyAlignment="1">
      <alignment horizontal="left" indent="2"/>
    </xf>
    <xf numFmtId="0" fontId="48" fillId="0" borderId="66" xfId="43" applyFont="1" applyBorder="1" applyAlignment="1">
      <alignment horizontal="left" wrapText="1" indent="2"/>
    </xf>
    <xf numFmtId="49" fontId="48" fillId="3" borderId="58" xfId="43" applyNumberFormat="1" applyFont="1" applyFill="1" applyBorder="1" applyAlignment="1">
      <alignment horizontal="left" indent="1"/>
    </xf>
    <xf numFmtId="3" fontId="53" fillId="3" borderId="54" xfId="43" applyNumberFormat="1" applyFont="1" applyFill="1" applyBorder="1"/>
    <xf numFmtId="3" fontId="53" fillId="0" borderId="7" xfId="43" applyNumberFormat="1" applyFont="1" applyBorder="1"/>
    <xf numFmtId="49" fontId="48" fillId="17" borderId="53" xfId="43" applyNumberFormat="1" applyFont="1" applyFill="1" applyBorder="1" applyAlignment="1">
      <alignment horizontal="left" indent="2"/>
    </xf>
    <xf numFmtId="49" fontId="48" fillId="17" borderId="58" xfId="43" applyNumberFormat="1" applyFont="1" applyFill="1" applyBorder="1" applyAlignment="1">
      <alignment horizontal="left" indent="2"/>
    </xf>
    <xf numFmtId="49" fontId="48" fillId="17" borderId="53" xfId="43" applyNumberFormat="1" applyFont="1" applyFill="1" applyBorder="1" applyAlignment="1">
      <alignment horizontal="left" indent="1"/>
    </xf>
    <xf numFmtId="0" fontId="58" fillId="17" borderId="47" xfId="43" applyFont="1" applyFill="1" applyBorder="1" applyAlignment="1">
      <alignment horizontal="left" indent="2"/>
    </xf>
    <xf numFmtId="0" fontId="48" fillId="6" borderId="58" xfId="43" applyFont="1" applyFill="1" applyBorder="1" applyAlignment="1">
      <alignment horizontal="left" indent="2"/>
    </xf>
    <xf numFmtId="3" fontId="48" fillId="0" borderId="54" xfId="43" applyNumberFormat="1" applyFont="1" applyBorder="1"/>
    <xf numFmtId="0" fontId="48" fillId="6" borderId="66" xfId="43" applyFont="1" applyFill="1" applyBorder="1" applyAlignment="1">
      <alignment horizontal="left" wrapText="1" indent="3"/>
    </xf>
    <xf numFmtId="0" fontId="101" fillId="0" borderId="0" xfId="43" applyFont="1" applyAlignment="1">
      <alignment wrapText="1"/>
    </xf>
    <xf numFmtId="3" fontId="101" fillId="0" borderId="0" xfId="43" applyNumberFormat="1" applyFont="1"/>
    <xf numFmtId="166" fontId="105" fillId="0" borderId="0" xfId="5" applyNumberFormat="1" applyFont="1"/>
    <xf numFmtId="10" fontId="101" fillId="0" borderId="0" xfId="9" applyNumberFormat="1" applyFont="1"/>
    <xf numFmtId="0" fontId="101" fillId="0" borderId="0" xfId="43" applyFont="1"/>
    <xf numFmtId="49" fontId="48" fillId="0" borderId="58" xfId="43" applyNumberFormat="1" applyFont="1" applyBorder="1" applyAlignment="1">
      <alignment horizontal="left" indent="2"/>
    </xf>
    <xf numFmtId="166" fontId="53" fillId="0" borderId="0" xfId="1" applyNumberFormat="1" applyFont="1"/>
    <xf numFmtId="0" fontId="48" fillId="6" borderId="69" xfId="43" applyFont="1" applyFill="1" applyBorder="1" applyAlignment="1">
      <alignment horizontal="left" indent="2"/>
    </xf>
    <xf numFmtId="49" fontId="62" fillId="0" borderId="58" xfId="43" applyNumberFormat="1" applyFont="1" applyBorder="1" applyAlignment="1">
      <alignment horizontal="left" indent="3"/>
    </xf>
    <xf numFmtId="0" fontId="59" fillId="0" borderId="71" xfId="43" applyFont="1" applyBorder="1" applyAlignment="1">
      <alignment horizontal="left" indent="2"/>
    </xf>
    <xf numFmtId="3" fontId="48" fillId="0" borderId="72" xfId="43" applyNumberFormat="1" applyFont="1" applyBorder="1"/>
    <xf numFmtId="9" fontId="48" fillId="0" borderId="0" xfId="4" applyFont="1" applyAlignment="1">
      <alignment wrapText="1"/>
    </xf>
    <xf numFmtId="1" fontId="48" fillId="0" borderId="0" xfId="4" applyNumberFormat="1" applyFont="1" applyFill="1"/>
    <xf numFmtId="9" fontId="48" fillId="3" borderId="4" xfId="4" applyFont="1" applyFill="1" applyBorder="1" applyAlignment="1">
      <alignment wrapText="1"/>
    </xf>
    <xf numFmtId="9" fontId="53" fillId="4" borderId="4" xfId="4" applyFont="1" applyFill="1" applyBorder="1"/>
    <xf numFmtId="9" fontId="48" fillId="0" borderId="7" xfId="4" applyFont="1" applyFill="1" applyBorder="1"/>
    <xf numFmtId="9" fontId="48" fillId="0" borderId="27" xfId="4" applyFont="1" applyFill="1" applyBorder="1"/>
    <xf numFmtId="9" fontId="53" fillId="4" borderId="7" xfId="4" applyFont="1" applyFill="1" applyBorder="1"/>
    <xf numFmtId="9" fontId="48" fillId="0" borderId="7" xfId="4" applyFont="1" applyBorder="1"/>
    <xf numFmtId="9" fontId="48" fillId="0" borderId="8" xfId="4" applyFont="1" applyFill="1" applyBorder="1"/>
    <xf numFmtId="9" fontId="48" fillId="0" borderId="8" xfId="4" applyFont="1" applyFill="1" applyBorder="1" applyAlignment="1">
      <alignment wrapText="1"/>
    </xf>
    <xf numFmtId="9" fontId="48" fillId="0" borderId="43" xfId="4" applyFont="1" applyBorder="1"/>
    <xf numFmtId="9" fontId="48" fillId="4" borderId="7" xfId="4" applyFont="1" applyFill="1" applyBorder="1" applyAlignment="1">
      <alignment wrapText="1"/>
    </xf>
    <xf numFmtId="9" fontId="48" fillId="0" borderId="7" xfId="4" applyFont="1" applyFill="1" applyBorder="1" applyAlignment="1">
      <alignment wrapText="1"/>
    </xf>
    <xf numFmtId="9" fontId="48" fillId="0" borderId="43" xfId="4" applyFont="1" applyFill="1" applyBorder="1"/>
    <xf numFmtId="9" fontId="48" fillId="0" borderId="57" xfId="4" applyFont="1" applyFill="1" applyBorder="1" applyAlignment="1">
      <alignment wrapText="1"/>
    </xf>
    <xf numFmtId="3" fontId="48" fillId="7" borderId="7" xfId="43" applyNumberFormat="1" applyFont="1" applyFill="1" applyBorder="1" applyAlignment="1">
      <alignment wrapText="1"/>
    </xf>
    <xf numFmtId="9" fontId="59" fillId="8" borderId="7" xfId="4" applyFont="1" applyFill="1" applyBorder="1" applyAlignment="1">
      <alignment wrapText="1"/>
    </xf>
    <xf numFmtId="3" fontId="59" fillId="9" borderId="7" xfId="43" applyNumberFormat="1" applyFont="1" applyFill="1" applyBorder="1"/>
    <xf numFmtId="9" fontId="59" fillId="9" borderId="7" xfId="4" applyFont="1" applyFill="1" applyBorder="1"/>
    <xf numFmtId="9" fontId="48" fillId="0" borderId="57" xfId="4" applyFont="1" applyFill="1" applyBorder="1"/>
    <xf numFmtId="9" fontId="48" fillId="0" borderId="72" xfId="4" applyFont="1" applyFill="1" applyBorder="1"/>
    <xf numFmtId="9" fontId="48" fillId="0" borderId="43" xfId="4" applyFont="1" applyFill="1" applyBorder="1" applyAlignment="1">
      <alignment wrapText="1"/>
    </xf>
    <xf numFmtId="9" fontId="48" fillId="3" borderId="7" xfId="4" applyFont="1" applyFill="1" applyBorder="1" applyAlignment="1">
      <alignment wrapText="1"/>
    </xf>
    <xf numFmtId="9" fontId="48" fillId="5" borderId="7" xfId="4" applyFont="1" applyFill="1" applyBorder="1" applyAlignment="1">
      <alignment wrapText="1"/>
    </xf>
    <xf numFmtId="9" fontId="48" fillId="0" borderId="29" xfId="4" applyFont="1" applyFill="1" applyBorder="1"/>
    <xf numFmtId="9" fontId="48" fillId="0" borderId="24" xfId="4" applyFont="1" applyFill="1" applyBorder="1" applyAlignment="1">
      <alignment wrapText="1"/>
    </xf>
    <xf numFmtId="9" fontId="48" fillId="0" borderId="26" xfId="4" applyFont="1" applyFill="1" applyBorder="1"/>
    <xf numFmtId="9" fontId="48" fillId="0" borderId="28" xfId="4" applyFont="1" applyFill="1" applyBorder="1"/>
    <xf numFmtId="9" fontId="48" fillId="0" borderId="42" xfId="4" applyFont="1" applyFill="1" applyBorder="1"/>
    <xf numFmtId="9" fontId="48" fillId="0" borderId="59" xfId="4" applyFont="1" applyFill="1" applyBorder="1"/>
    <xf numFmtId="9" fontId="48" fillId="0" borderId="68" xfId="4" applyFont="1" applyFill="1" applyBorder="1"/>
    <xf numFmtId="1" fontId="48" fillId="0" borderId="7" xfId="4" applyNumberFormat="1" applyFont="1" applyFill="1" applyBorder="1"/>
    <xf numFmtId="9" fontId="53" fillId="0" borderId="3" xfId="4" applyFont="1" applyBorder="1"/>
    <xf numFmtId="9" fontId="53" fillId="0" borderId="11" xfId="4" applyFont="1" applyFill="1" applyBorder="1"/>
    <xf numFmtId="3" fontId="48" fillId="0" borderId="65" xfId="43" applyNumberFormat="1" applyFont="1" applyBorder="1"/>
    <xf numFmtId="9" fontId="48" fillId="0" borderId="60" xfId="4" applyFont="1" applyFill="1" applyBorder="1" applyAlignment="1">
      <alignment wrapText="1"/>
    </xf>
    <xf numFmtId="3" fontId="48" fillId="0" borderId="41" xfId="43" applyNumberFormat="1" applyFont="1" applyBorder="1"/>
    <xf numFmtId="9" fontId="48" fillId="0" borderId="46" xfId="4" applyFont="1" applyFill="1" applyBorder="1"/>
    <xf numFmtId="9" fontId="48" fillId="0" borderId="60" xfId="4" applyFont="1" applyFill="1" applyBorder="1"/>
    <xf numFmtId="3" fontId="48" fillId="0" borderId="55" xfId="43" applyNumberFormat="1" applyFont="1" applyBorder="1"/>
    <xf numFmtId="9" fontId="53" fillId="0" borderId="11" xfId="4" applyFont="1" applyBorder="1"/>
    <xf numFmtId="9" fontId="53" fillId="4" borderId="12" xfId="4" applyFont="1" applyFill="1" applyBorder="1"/>
    <xf numFmtId="9" fontId="48" fillId="3" borderId="7" xfId="4" applyFont="1" applyFill="1" applyBorder="1"/>
    <xf numFmtId="9" fontId="48" fillId="3" borderId="27" xfId="4" applyFont="1" applyFill="1" applyBorder="1" applyAlignment="1">
      <alignment wrapText="1"/>
    </xf>
    <xf numFmtId="3" fontId="48" fillId="3" borderId="43" xfId="43" applyNumberFormat="1" applyFont="1" applyFill="1" applyBorder="1"/>
    <xf numFmtId="9" fontId="48" fillId="3" borderId="43" xfId="4" applyFont="1" applyFill="1" applyBorder="1" applyAlignment="1">
      <alignment wrapText="1"/>
    </xf>
    <xf numFmtId="9" fontId="48" fillId="3" borderId="57" xfId="4" applyFont="1" applyFill="1" applyBorder="1"/>
    <xf numFmtId="9" fontId="48" fillId="0" borderId="7" xfId="4" applyFont="1" applyBorder="1" applyAlignment="1">
      <alignment wrapText="1"/>
    </xf>
    <xf numFmtId="9" fontId="48" fillId="0" borderId="43" xfId="4" applyFont="1" applyBorder="1" applyAlignment="1">
      <alignment wrapText="1"/>
    </xf>
    <xf numFmtId="9" fontId="48" fillId="0" borderId="57" xfId="4" applyFont="1" applyBorder="1" applyAlignment="1">
      <alignment wrapText="1"/>
    </xf>
    <xf numFmtId="9" fontId="53" fillId="3" borderId="7" xfId="4" applyFont="1" applyFill="1" applyBorder="1"/>
    <xf numFmtId="9" fontId="48" fillId="0" borderId="22" xfId="4" applyFont="1" applyBorder="1" applyAlignment="1">
      <alignment wrapText="1"/>
    </xf>
    <xf numFmtId="9" fontId="48" fillId="0" borderId="25" xfId="4" applyFont="1" applyBorder="1" applyAlignment="1">
      <alignment wrapText="1"/>
    </xf>
    <xf numFmtId="9" fontId="62" fillId="3" borderId="7" xfId="4" applyFont="1" applyFill="1" applyBorder="1" applyAlignment="1">
      <alignment wrapText="1"/>
    </xf>
    <xf numFmtId="9" fontId="62" fillId="3" borderId="27" xfId="4" applyFont="1" applyFill="1" applyBorder="1" applyAlignment="1">
      <alignment wrapText="1"/>
    </xf>
    <xf numFmtId="9" fontId="48" fillId="5" borderId="7" xfId="4" applyFont="1" applyFill="1" applyBorder="1"/>
    <xf numFmtId="9" fontId="48" fillId="5" borderId="57" xfId="4" applyFont="1" applyFill="1" applyBorder="1" applyAlignment="1">
      <alignment wrapText="1"/>
    </xf>
    <xf numFmtId="9" fontId="48" fillId="5" borderId="43" xfId="4" applyFont="1" applyFill="1" applyBorder="1"/>
    <xf numFmtId="3" fontId="48" fillId="6" borderId="43" xfId="43" applyNumberFormat="1" applyFont="1" applyFill="1" applyBorder="1"/>
    <xf numFmtId="9" fontId="48" fillId="0" borderId="23" xfId="4" applyFont="1" applyFill="1" applyBorder="1"/>
    <xf numFmtId="9" fontId="59" fillId="0" borderId="7" xfId="4" applyFont="1" applyFill="1" applyBorder="1" applyAlignment="1">
      <alignment wrapText="1"/>
    </xf>
    <xf numFmtId="9" fontId="48" fillId="3" borderId="57" xfId="4" applyFont="1" applyFill="1" applyBorder="1" applyAlignment="1">
      <alignment wrapText="1"/>
    </xf>
    <xf numFmtId="9" fontId="48" fillId="3" borderId="23" xfId="4" applyFont="1" applyFill="1" applyBorder="1" applyAlignment="1">
      <alignment wrapText="1"/>
    </xf>
    <xf numFmtId="9" fontId="53" fillId="0" borderId="13" xfId="4" applyFont="1" applyBorder="1"/>
    <xf numFmtId="9" fontId="48" fillId="0" borderId="14" xfId="4" applyFont="1" applyBorder="1"/>
    <xf numFmtId="9" fontId="53" fillId="4" borderId="17" xfId="4" applyFont="1" applyFill="1" applyBorder="1"/>
    <xf numFmtId="9" fontId="101" fillId="0" borderId="0" xfId="4" applyFont="1"/>
    <xf numFmtId="9" fontId="105" fillId="0" borderId="3" xfId="4" applyFont="1" applyBorder="1" applyAlignment="1">
      <alignment horizontal="center" vertical="center" wrapText="1"/>
    </xf>
    <xf numFmtId="0" fontId="48" fillId="6" borderId="71" xfId="43" applyFont="1" applyFill="1" applyBorder="1" applyAlignment="1">
      <alignment horizontal="left" indent="2"/>
    </xf>
    <xf numFmtId="3" fontId="48" fillId="0" borderId="68" xfId="43" applyNumberFormat="1" applyFont="1" applyBorder="1"/>
    <xf numFmtId="9" fontId="48" fillId="0" borderId="72" xfId="4" applyFont="1" applyBorder="1" applyAlignment="1">
      <alignment wrapText="1"/>
    </xf>
    <xf numFmtId="9" fontId="48" fillId="3" borderId="7" xfId="4" quotePrefix="1" applyFont="1" applyFill="1" applyBorder="1" applyAlignment="1">
      <alignment wrapText="1"/>
    </xf>
    <xf numFmtId="9" fontId="48" fillId="0" borderId="43" xfId="4" quotePrefix="1" applyFont="1" applyBorder="1" applyAlignment="1">
      <alignment wrapText="1"/>
    </xf>
    <xf numFmtId="166" fontId="48" fillId="0" borderId="0" xfId="1" applyNumberFormat="1" applyFont="1" applyAlignment="1">
      <alignment wrapText="1"/>
    </xf>
    <xf numFmtId="166" fontId="48" fillId="0" borderId="59" xfId="1" applyNumberFormat="1" applyFont="1" applyBorder="1"/>
    <xf numFmtId="166" fontId="48" fillId="0" borderId="68" xfId="1" applyNumberFormat="1" applyFont="1" applyBorder="1"/>
    <xf numFmtId="0" fontId="12" fillId="10" borderId="0" xfId="43" applyFont="1" applyFill="1"/>
    <xf numFmtId="9" fontId="53" fillId="4" borderId="7" xfId="2" applyFont="1" applyFill="1" applyBorder="1"/>
    <xf numFmtId="9" fontId="48" fillId="0" borderId="7" xfId="2" applyFont="1" applyFill="1" applyBorder="1"/>
    <xf numFmtId="9" fontId="53" fillId="0" borderId="3" xfId="2" applyFont="1" applyBorder="1" applyAlignment="1">
      <alignment horizontal="center" vertical="center" wrapText="1"/>
    </xf>
    <xf numFmtId="9" fontId="53" fillId="3" borderId="4" xfId="2" applyFont="1" applyFill="1" applyBorder="1"/>
    <xf numFmtId="9" fontId="53" fillId="4" borderId="4" xfId="2" applyFont="1" applyFill="1" applyBorder="1"/>
    <xf numFmtId="9" fontId="48" fillId="0" borderId="7" xfId="2" applyFont="1" applyBorder="1"/>
    <xf numFmtId="9" fontId="48" fillId="0" borderId="43" xfId="2" applyFont="1" applyFill="1" applyBorder="1"/>
    <xf numFmtId="9" fontId="48" fillId="7" borderId="7" xfId="2" applyFont="1" applyFill="1" applyBorder="1"/>
    <xf numFmtId="9" fontId="59" fillId="8" borderId="7" xfId="2" applyFont="1" applyFill="1" applyBorder="1"/>
    <xf numFmtId="9" fontId="48" fillId="0" borderId="72" xfId="2" applyFont="1" applyFill="1" applyBorder="1"/>
    <xf numFmtId="9" fontId="48" fillId="0" borderId="27" xfId="2" applyFont="1" applyFill="1" applyBorder="1"/>
    <xf numFmtId="9" fontId="48" fillId="14" borderId="57" xfId="2" applyFont="1" applyFill="1" applyBorder="1"/>
    <xf numFmtId="9" fontId="48" fillId="3" borderId="7" xfId="2" applyFont="1" applyFill="1" applyBorder="1"/>
    <xf numFmtId="9" fontId="48" fillId="0" borderId="57" xfId="2" applyFont="1" applyFill="1" applyBorder="1"/>
    <xf numFmtId="9" fontId="53" fillId="0" borderId="3" xfId="2" applyFont="1" applyBorder="1"/>
    <xf numFmtId="9" fontId="53" fillId="0" borderId="11" xfId="2" applyFont="1" applyFill="1" applyBorder="1"/>
    <xf numFmtId="9" fontId="48" fillId="0" borderId="59" xfId="2" applyFont="1" applyFill="1" applyBorder="1"/>
    <xf numFmtId="9" fontId="48" fillId="0" borderId="42" xfId="2" applyFont="1" applyFill="1" applyBorder="1"/>
    <xf numFmtId="9" fontId="53" fillId="0" borderId="11" xfId="2" applyFont="1" applyBorder="1"/>
    <xf numFmtId="9" fontId="48" fillId="0" borderId="0" xfId="2" applyFont="1" applyAlignment="1">
      <alignment wrapText="1"/>
    </xf>
    <xf numFmtId="9" fontId="53" fillId="0" borderId="0" xfId="2" applyFont="1"/>
    <xf numFmtId="9" fontId="53" fillId="4" borderId="42" xfId="2" applyFont="1" applyFill="1" applyBorder="1"/>
    <xf numFmtId="9" fontId="48" fillId="0" borderId="0" xfId="2" applyFont="1"/>
    <xf numFmtId="9" fontId="53" fillId="4" borderId="12" xfId="2" applyFont="1" applyFill="1" applyBorder="1"/>
    <xf numFmtId="9" fontId="53" fillId="3" borderId="7" xfId="2" applyFont="1" applyFill="1" applyBorder="1"/>
    <xf numFmtId="9" fontId="48" fillId="19" borderId="43" xfId="2" applyFont="1" applyFill="1" applyBorder="1"/>
    <xf numFmtId="9" fontId="48" fillId="3" borderId="27" xfId="2" applyFont="1" applyFill="1" applyBorder="1"/>
    <xf numFmtId="9" fontId="48" fillId="5" borderId="7" xfId="2" applyFont="1" applyFill="1" applyBorder="1"/>
    <xf numFmtId="9" fontId="48" fillId="5" borderId="43" xfId="2" applyFont="1" applyFill="1" applyBorder="1"/>
    <xf numFmtId="9" fontId="48" fillId="11" borderId="7" xfId="2" applyFont="1" applyFill="1" applyBorder="1"/>
    <xf numFmtId="9" fontId="48" fillId="3" borderId="57" xfId="2" applyFont="1" applyFill="1" applyBorder="1"/>
    <xf numFmtId="9" fontId="48" fillId="6" borderId="7" xfId="2" applyFont="1" applyFill="1" applyBorder="1"/>
    <xf numFmtId="9" fontId="53" fillId="0" borderId="7" xfId="2" applyFont="1" applyFill="1" applyBorder="1"/>
    <xf numFmtId="9" fontId="53" fillId="0" borderId="14" xfId="2" applyFont="1" applyBorder="1"/>
    <xf numFmtId="9" fontId="53" fillId="4" borderId="17" xfId="2" applyFont="1" applyFill="1" applyBorder="1"/>
    <xf numFmtId="0" fontId="112" fillId="5" borderId="0" xfId="0" applyFont="1" applyFill="1"/>
    <xf numFmtId="0" fontId="73" fillId="5" borderId="0" xfId="0" applyFont="1" applyFill="1"/>
    <xf numFmtId="0" fontId="73" fillId="51" borderId="0" xfId="0" applyFont="1" applyFill="1"/>
    <xf numFmtId="0" fontId="112" fillId="51" borderId="19" xfId="0" applyFont="1" applyFill="1" applyBorder="1"/>
    <xf numFmtId="0" fontId="112" fillId="52" borderId="19" xfId="0" applyFont="1" applyFill="1" applyBorder="1"/>
    <xf numFmtId="0" fontId="112" fillId="5" borderId="67" xfId="0" applyFont="1" applyFill="1" applyBorder="1"/>
    <xf numFmtId="0" fontId="112" fillId="5" borderId="67" xfId="0" applyFont="1" applyFill="1" applyBorder="1" applyAlignment="1">
      <alignment horizontal="center" wrapText="1"/>
    </xf>
    <xf numFmtId="3" fontId="112" fillId="5" borderId="0" xfId="0" applyNumberFormat="1" applyFont="1" applyFill="1"/>
    <xf numFmtId="9" fontId="112" fillId="5" borderId="0" xfId="2" applyFont="1" applyFill="1"/>
    <xf numFmtId="3" fontId="73" fillId="5" borderId="0" xfId="0" applyNumberFormat="1" applyFont="1" applyFill="1"/>
    <xf numFmtId="9" fontId="73" fillId="5" borderId="0" xfId="2" applyFont="1" applyFill="1"/>
    <xf numFmtId="0" fontId="73" fillId="18" borderId="0" xfId="0" applyFont="1" applyFill="1" applyAlignment="1">
      <alignment horizontal="left" indent="2"/>
    </xf>
    <xf numFmtId="3" fontId="73" fillId="18" borderId="0" xfId="0" applyNumberFormat="1" applyFont="1" applyFill="1"/>
    <xf numFmtId="9" fontId="73" fillId="18" borderId="0" xfId="2" applyFont="1" applyFill="1"/>
    <xf numFmtId="0" fontId="55" fillId="5" borderId="0" xfId="0" applyFont="1" applyFill="1"/>
    <xf numFmtId="0" fontId="55" fillId="18" borderId="0" xfId="0" applyFont="1" applyFill="1" applyAlignment="1">
      <alignment horizontal="left" indent="2"/>
    </xf>
    <xf numFmtId="0" fontId="73" fillId="5" borderId="0" xfId="0" applyFont="1" applyFill="1" applyAlignment="1">
      <alignment horizontal="left" indent="1"/>
    </xf>
    <xf numFmtId="0" fontId="72" fillId="5" borderId="0" xfId="0" applyFont="1" applyFill="1"/>
    <xf numFmtId="3" fontId="112" fillId="5" borderId="0" xfId="0" applyNumberFormat="1" applyFont="1" applyFill="1" applyAlignment="1">
      <alignment wrapText="1"/>
    </xf>
    <xf numFmtId="167" fontId="73" fillId="5" borderId="0" xfId="2" applyNumberFormat="1" applyFont="1" applyFill="1"/>
    <xf numFmtId="9" fontId="73" fillId="5" borderId="0" xfId="2" applyFont="1" applyFill="1" applyBorder="1"/>
    <xf numFmtId="0" fontId="73" fillId="18" borderId="0" xfId="0" applyFont="1" applyFill="1"/>
    <xf numFmtId="3" fontId="73" fillId="18" borderId="0" xfId="0" applyNumberFormat="1" applyFont="1" applyFill="1" applyAlignment="1">
      <alignment horizontal="left" indent="2"/>
    </xf>
    <xf numFmtId="9" fontId="73" fillId="18" borderId="0" xfId="2" applyFont="1" applyFill="1" applyAlignment="1">
      <alignment horizontal="left" indent="2"/>
    </xf>
    <xf numFmtId="166" fontId="73" fillId="5" borderId="0" xfId="1" applyNumberFormat="1" applyFont="1" applyFill="1"/>
    <xf numFmtId="9" fontId="50" fillId="0" borderId="57" xfId="4" applyFont="1" applyFill="1" applyBorder="1" applyAlignment="1">
      <alignment wrapText="1"/>
    </xf>
    <xf numFmtId="9" fontId="50" fillId="3" borderId="7" xfId="4" applyFont="1" applyFill="1" applyBorder="1"/>
    <xf numFmtId="9" fontId="50" fillId="0" borderId="60" xfId="4" applyFont="1" applyFill="1" applyBorder="1"/>
    <xf numFmtId="3" fontId="56" fillId="4" borderId="7" xfId="43" applyNumberFormat="1" applyFont="1" applyFill="1" applyBorder="1"/>
    <xf numFmtId="3" fontId="50" fillId="3" borderId="7" xfId="43" applyNumberFormat="1" applyFont="1" applyFill="1" applyBorder="1"/>
    <xf numFmtId="3" fontId="50" fillId="0" borderId="57" xfId="43" applyNumberFormat="1" applyFont="1" applyBorder="1"/>
    <xf numFmtId="3" fontId="50" fillId="0" borderId="0" xfId="43" applyNumberFormat="1" applyFont="1"/>
    <xf numFmtId="166" fontId="56" fillId="0" borderId="0" xfId="1" applyNumberFormat="1" applyFont="1"/>
    <xf numFmtId="3" fontId="50" fillId="0" borderId="43" xfId="43" applyNumberFormat="1" applyFont="1" applyBorder="1"/>
    <xf numFmtId="3" fontId="50" fillId="0" borderId="72" xfId="43" applyNumberFormat="1" applyFont="1" applyBorder="1"/>
    <xf numFmtId="3" fontId="56" fillId="0" borderId="11" xfId="43" applyNumberFormat="1" applyFont="1" applyBorder="1"/>
    <xf numFmtId="3" fontId="50" fillId="0" borderId="68" xfId="43" applyNumberFormat="1" applyFont="1" applyBorder="1"/>
    <xf numFmtId="10" fontId="50" fillId="0" borderId="0" xfId="9" applyNumberFormat="1" applyFont="1"/>
    <xf numFmtId="3" fontId="56" fillId="3" borderId="7" xfId="43" applyNumberFormat="1" applyFont="1" applyFill="1" applyBorder="1"/>
    <xf numFmtId="3" fontId="50" fillId="11" borderId="7" xfId="43" applyNumberFormat="1" applyFont="1" applyFill="1" applyBorder="1"/>
    <xf numFmtId="0" fontId="48" fillId="6" borderId="47" xfId="43" applyFont="1" applyFill="1" applyBorder="1" applyAlignment="1">
      <alignment horizontal="left" wrapText="1" indent="2"/>
    </xf>
    <xf numFmtId="49" fontId="48" fillId="0" borderId="47" xfId="43" applyNumberFormat="1" applyFont="1" applyBorder="1" applyAlignment="1">
      <alignment horizontal="left" wrapText="1" indent="4"/>
    </xf>
    <xf numFmtId="0" fontId="48" fillId="3" borderId="47" xfId="43" applyFont="1" applyFill="1" applyBorder="1" applyAlignment="1">
      <alignment horizontal="left" wrapText="1" indent="2"/>
    </xf>
    <xf numFmtId="49" fontId="48" fillId="0" borderId="47" xfId="43" applyNumberFormat="1" applyFont="1" applyBorder="1" applyAlignment="1">
      <alignment horizontal="left" wrapText="1" indent="2"/>
    </xf>
    <xf numFmtId="0" fontId="48" fillId="5" borderId="48" xfId="43" applyFont="1" applyFill="1" applyBorder="1" applyAlignment="1">
      <alignment horizontal="left" indent="3"/>
    </xf>
    <xf numFmtId="49" fontId="48" fillId="3" borderId="47" xfId="43" applyNumberFormat="1" applyFont="1" applyFill="1" applyBorder="1" applyAlignment="1">
      <alignment horizontal="left" wrapText="1" indent="2"/>
    </xf>
    <xf numFmtId="0" fontId="1" fillId="0" borderId="0" xfId="43" applyFont="1"/>
    <xf numFmtId="0" fontId="48" fillId="50" borderId="47" xfId="43" applyFont="1" applyFill="1" applyBorder="1" applyAlignment="1">
      <alignment horizontal="left" wrapText="1" indent="2"/>
    </xf>
    <xf numFmtId="49" fontId="48" fillId="3" borderId="56" xfId="43" applyNumberFormat="1" applyFont="1" applyFill="1" applyBorder="1" applyAlignment="1">
      <alignment horizontal="left" wrapText="1" indent="2"/>
    </xf>
    <xf numFmtId="0" fontId="48" fillId="0" borderId="62" xfId="43" applyFont="1" applyBorder="1" applyAlignment="1">
      <alignment horizontal="left" wrapText="1" indent="2"/>
    </xf>
    <xf numFmtId="49" fontId="48" fillId="3" borderId="66" xfId="43" applyNumberFormat="1" applyFont="1" applyFill="1" applyBorder="1" applyAlignment="1">
      <alignment horizontal="left" wrapText="1" indent="2"/>
    </xf>
    <xf numFmtId="49" fontId="48" fillId="3" borderId="62" xfId="43" applyNumberFormat="1" applyFont="1" applyFill="1" applyBorder="1" applyAlignment="1">
      <alignment horizontal="left" wrapText="1" indent="2"/>
    </xf>
    <xf numFmtId="3" fontId="62" fillId="0" borderId="43" xfId="43" applyNumberFormat="1" applyFont="1" applyBorder="1"/>
    <xf numFmtId="0" fontId="48" fillId="5" borderId="50" xfId="43" applyFont="1" applyFill="1" applyBorder="1" applyAlignment="1">
      <alignment horizontal="left" indent="3"/>
    </xf>
    <xf numFmtId="0" fontId="48" fillId="0" borderId="48" xfId="43" applyFont="1" applyBorder="1" applyAlignment="1">
      <alignment horizontal="left" indent="3"/>
    </xf>
    <xf numFmtId="49" fontId="53" fillId="4" borderId="47" xfId="43" applyNumberFormat="1" applyFont="1" applyFill="1" applyBorder="1" applyAlignment="1">
      <alignment wrapText="1"/>
    </xf>
    <xf numFmtId="0" fontId="48" fillId="5" borderId="47" xfId="43" applyFont="1" applyFill="1" applyBorder="1" applyAlignment="1">
      <alignment horizontal="left" wrapText="1" indent="3"/>
    </xf>
    <xf numFmtId="0" fontId="48" fillId="0" borderId="47" xfId="43" applyFont="1" applyBorder="1" applyAlignment="1">
      <alignment horizontal="left" wrapText="1" indent="3"/>
    </xf>
    <xf numFmtId="0" fontId="48" fillId="5" borderId="78" xfId="43" applyFont="1" applyFill="1" applyBorder="1" applyAlignment="1">
      <alignment horizontal="left" wrapText="1" indent="3"/>
    </xf>
    <xf numFmtId="9" fontId="48" fillId="0" borderId="72" xfId="4" applyFont="1" applyFill="1" applyBorder="1" applyAlignment="1">
      <alignment wrapText="1"/>
    </xf>
    <xf numFmtId="0" fontId="48" fillId="0" borderId="56" xfId="43" applyFont="1" applyBorder="1" applyAlignment="1">
      <alignment horizontal="left" wrapText="1" indent="3"/>
    </xf>
    <xf numFmtId="0" fontId="48" fillId="0" borderId="78" xfId="43" applyFont="1" applyBorder="1" applyAlignment="1">
      <alignment horizontal="left" wrapText="1" indent="3"/>
    </xf>
    <xf numFmtId="9" fontId="48" fillId="0" borderId="75" xfId="4" applyFont="1" applyFill="1" applyBorder="1"/>
    <xf numFmtId="9" fontId="48" fillId="3" borderId="72" xfId="4" applyFont="1" applyFill="1" applyBorder="1" applyAlignment="1">
      <alignment wrapText="1"/>
    </xf>
    <xf numFmtId="9" fontId="48" fillId="3" borderId="72" xfId="2" applyFont="1" applyFill="1" applyBorder="1"/>
    <xf numFmtId="49" fontId="53" fillId="3" borderId="47" xfId="43" applyNumberFormat="1" applyFont="1" applyFill="1" applyBorder="1" applyAlignment="1">
      <alignment horizontal="left" wrapText="1" indent="2"/>
    </xf>
    <xf numFmtId="49" fontId="48" fillId="0" borderId="65" xfId="43" applyNumberFormat="1" applyFont="1" applyBorder="1" applyAlignment="1">
      <alignment horizontal="left" wrapText="1" indent="4"/>
    </xf>
    <xf numFmtId="0" fontId="48" fillId="50" borderId="47" xfId="43" applyFont="1" applyFill="1" applyBorder="1" applyAlignment="1">
      <alignment horizontal="left" wrapText="1" indent="3"/>
    </xf>
    <xf numFmtId="49" fontId="48" fillId="0" borderId="66" xfId="43" applyNumberFormat="1" applyFont="1" applyBorder="1" applyAlignment="1">
      <alignment horizontal="left" wrapText="1" indent="4"/>
    </xf>
    <xf numFmtId="49" fontId="48" fillId="16" borderId="51" xfId="43" applyNumberFormat="1" applyFont="1" applyFill="1" applyBorder="1" applyAlignment="1">
      <alignment horizontal="left" wrapText="1" indent="4"/>
    </xf>
    <xf numFmtId="166" fontId="48" fillId="0" borderId="66" xfId="1" applyNumberFormat="1" applyFont="1" applyBorder="1"/>
    <xf numFmtId="0" fontId="48" fillId="5" borderId="66" xfId="43" applyFont="1" applyFill="1" applyBorder="1" applyAlignment="1">
      <alignment horizontal="left" wrapText="1" indent="3"/>
    </xf>
    <xf numFmtId="49" fontId="48" fillId="0" borderId="63" xfId="43" applyNumberFormat="1" applyFont="1" applyBorder="1" applyAlignment="1">
      <alignment horizontal="left" wrapText="1" indent="4"/>
    </xf>
    <xf numFmtId="166" fontId="48" fillId="0" borderId="70" xfId="1" applyNumberFormat="1" applyFont="1" applyBorder="1"/>
    <xf numFmtId="49" fontId="48" fillId="0" borderId="71" xfId="43" applyNumberFormat="1" applyFont="1" applyBorder="1" applyAlignment="1">
      <alignment horizontal="left" indent="2"/>
    </xf>
    <xf numFmtId="49" fontId="48" fillId="0" borderId="78" xfId="43" applyNumberFormat="1" applyFont="1" applyBorder="1" applyAlignment="1">
      <alignment horizontal="left" wrapText="1" indent="4"/>
    </xf>
    <xf numFmtId="0" fontId="48" fillId="0" borderId="56" xfId="43" applyFont="1" applyBorder="1" applyAlignment="1">
      <alignment horizontal="left" wrapText="1" indent="2"/>
    </xf>
    <xf numFmtId="49" fontId="53" fillId="3" borderId="56" xfId="43" applyNumberFormat="1" applyFont="1" applyFill="1" applyBorder="1" applyAlignment="1">
      <alignment horizontal="left" wrapText="1" indent="2"/>
    </xf>
    <xf numFmtId="49" fontId="48" fillId="0" borderId="62" xfId="43" applyNumberFormat="1" applyFont="1" applyBorder="1" applyAlignment="1">
      <alignment horizontal="left" wrapText="1" indent="4"/>
    </xf>
    <xf numFmtId="0" fontId="48" fillId="5" borderId="47" xfId="43" applyFont="1" applyFill="1" applyBorder="1" applyAlignment="1">
      <alignment horizontal="left" indent="2"/>
    </xf>
    <xf numFmtId="0" fontId="62" fillId="5" borderId="66" xfId="43" applyFont="1" applyFill="1" applyBorder="1" applyAlignment="1">
      <alignment horizontal="left" wrapText="1" indent="6"/>
    </xf>
    <xf numFmtId="0" fontId="62" fillId="0" borderId="0" xfId="43" applyFont="1"/>
    <xf numFmtId="49" fontId="53" fillId="4" borderId="40" xfId="43" applyNumberFormat="1" applyFont="1" applyFill="1" applyBorder="1" applyAlignment="1">
      <alignment wrapText="1"/>
    </xf>
    <xf numFmtId="49" fontId="48" fillId="0" borderId="62" xfId="43" applyNumberFormat="1" applyFont="1" applyBorder="1" applyAlignment="1">
      <alignment horizontal="left" wrapText="1" indent="2"/>
    </xf>
    <xf numFmtId="0" fontId="53" fillId="4" borderId="51" xfId="43" applyFont="1" applyFill="1" applyBorder="1" applyAlignment="1">
      <alignment wrapText="1"/>
    </xf>
    <xf numFmtId="49" fontId="48" fillId="6" borderId="47" xfId="43" applyNumberFormat="1" applyFont="1" applyFill="1" applyBorder="1" applyAlignment="1">
      <alignment horizontal="left" wrapText="1" indent="4"/>
    </xf>
    <xf numFmtId="49" fontId="53" fillId="0" borderId="47" xfId="43" applyNumberFormat="1" applyFont="1" applyBorder="1" applyAlignment="1">
      <alignment horizontal="left" wrapText="1" indent="4"/>
    </xf>
    <xf numFmtId="49" fontId="48" fillId="0" borderId="56" xfId="43" applyNumberFormat="1" applyFont="1" applyBorder="1" applyAlignment="1">
      <alignment horizontal="left" wrapText="1" indent="4"/>
    </xf>
    <xf numFmtId="49" fontId="53" fillId="0" borderId="10" xfId="43" applyNumberFormat="1" applyFont="1" applyBorder="1" applyAlignment="1">
      <alignment horizontal="right" wrapText="1"/>
    </xf>
    <xf numFmtId="49" fontId="53" fillId="4" borderId="16" xfId="43" applyNumberFormat="1" applyFont="1" applyFill="1" applyBorder="1" applyAlignment="1">
      <alignment wrapText="1"/>
    </xf>
    <xf numFmtId="0" fontId="53" fillId="0" borderId="20" xfId="43" applyFont="1" applyBorder="1" applyAlignment="1">
      <alignment horizontal="right" wrapText="1"/>
    </xf>
    <xf numFmtId="166" fontId="50" fillId="0" borderId="0" xfId="1" applyNumberFormat="1" applyFont="1" applyAlignment="1">
      <alignment wrapText="1"/>
    </xf>
    <xf numFmtId="166" fontId="50" fillId="0" borderId="57" xfId="1" applyNumberFormat="1" applyFont="1" applyBorder="1"/>
    <xf numFmtId="166" fontId="50" fillId="0" borderId="43" xfId="1" applyNumberFormat="1" applyFont="1" applyBorder="1"/>
    <xf numFmtId="166" fontId="53" fillId="4" borderId="7" xfId="1" applyNumberFormat="1" applyFont="1" applyFill="1" applyBorder="1"/>
    <xf numFmtId="166" fontId="48" fillId="0" borderId="7" xfId="1" applyNumberFormat="1" applyFont="1" applyBorder="1"/>
    <xf numFmtId="166" fontId="53" fillId="4" borderId="4" xfId="1" applyNumberFormat="1" applyFont="1" applyFill="1" applyBorder="1"/>
    <xf numFmtId="166" fontId="59" fillId="8" borderId="7" xfId="1" applyNumberFormat="1" applyFont="1" applyFill="1" applyBorder="1"/>
    <xf numFmtId="166" fontId="48" fillId="7" borderId="7" xfId="1" applyNumberFormat="1" applyFont="1" applyFill="1" applyBorder="1"/>
    <xf numFmtId="166" fontId="48" fillId="0" borderId="72" xfId="1" applyNumberFormat="1" applyFont="1" applyBorder="1"/>
    <xf numFmtId="166" fontId="48" fillId="0" borderId="27" xfId="1" applyNumberFormat="1" applyFont="1" applyBorder="1"/>
    <xf numFmtId="166" fontId="48" fillId="0" borderId="57" xfId="1" applyNumberFormat="1" applyFont="1" applyBorder="1"/>
    <xf numFmtId="166" fontId="48" fillId="0" borderId="43" xfId="1" applyNumberFormat="1" applyFont="1" applyBorder="1"/>
    <xf numFmtId="166" fontId="48" fillId="11" borderId="7" xfId="1" applyNumberFormat="1" applyFont="1" applyFill="1" applyBorder="1"/>
    <xf numFmtId="166" fontId="53" fillId="0" borderId="3" xfId="1" applyNumberFormat="1" applyFont="1" applyBorder="1"/>
    <xf numFmtId="0" fontId="53" fillId="0" borderId="52" xfId="43" applyFont="1" applyBorder="1" applyAlignment="1">
      <alignment wrapText="1"/>
    </xf>
    <xf numFmtId="166" fontId="53" fillId="0" borderId="11" xfId="1" applyNumberFormat="1" applyFont="1" applyBorder="1"/>
    <xf numFmtId="166" fontId="53" fillId="4" borderId="42" xfId="1" applyNumberFormat="1" applyFont="1" applyFill="1" applyBorder="1"/>
    <xf numFmtId="166" fontId="53" fillId="0" borderId="3" xfId="1" applyNumberFormat="1" applyFont="1" applyBorder="1" applyAlignment="1">
      <alignment horizontal="center" vertical="center" wrapText="1"/>
    </xf>
    <xf numFmtId="166" fontId="53" fillId="4" borderId="12" xfId="1" applyNumberFormat="1" applyFont="1" applyFill="1" applyBorder="1"/>
    <xf numFmtId="166" fontId="53" fillId="3" borderId="7" xfId="1" applyNumberFormat="1" applyFont="1" applyFill="1" applyBorder="1"/>
    <xf numFmtId="166" fontId="48" fillId="19" borderId="43" xfId="1" applyNumberFormat="1" applyFont="1" applyFill="1" applyBorder="1"/>
    <xf numFmtId="0" fontId="62" fillId="0" borderId="0" xfId="43" quotePrefix="1" applyFont="1"/>
    <xf numFmtId="166" fontId="62" fillId="19" borderId="57" xfId="1" applyNumberFormat="1" applyFont="1" applyFill="1" applyBorder="1"/>
    <xf numFmtId="9" fontId="62" fillId="0" borderId="57" xfId="4" applyFont="1" applyBorder="1" applyAlignment="1">
      <alignment wrapText="1"/>
    </xf>
    <xf numFmtId="3" fontId="62" fillId="19" borderId="57" xfId="43" applyNumberFormat="1" applyFont="1" applyFill="1" applyBorder="1"/>
    <xf numFmtId="9" fontId="62" fillId="0" borderId="72" xfId="4" applyFont="1" applyBorder="1" applyAlignment="1">
      <alignment wrapText="1"/>
    </xf>
    <xf numFmtId="9" fontId="62" fillId="19" borderId="57" xfId="2" applyFont="1" applyFill="1" applyBorder="1"/>
    <xf numFmtId="3" fontId="76" fillId="19" borderId="57" xfId="43" applyNumberFormat="1" applyFont="1" applyFill="1" applyBorder="1"/>
    <xf numFmtId="166" fontId="48" fillId="0" borderId="7" xfId="1" applyNumberFormat="1" applyFont="1" applyFill="1" applyBorder="1"/>
    <xf numFmtId="166" fontId="48" fillId="3" borderId="27" xfId="1" applyNumberFormat="1" applyFont="1" applyFill="1" applyBorder="1"/>
    <xf numFmtId="166" fontId="48" fillId="5" borderId="43" xfId="1" applyNumberFormat="1" applyFont="1" applyFill="1" applyBorder="1"/>
    <xf numFmtId="166" fontId="48" fillId="3" borderId="57" xfId="1" applyNumberFormat="1" applyFont="1" applyFill="1" applyBorder="1"/>
    <xf numFmtId="166" fontId="53" fillId="0" borderId="7" xfId="1" applyNumberFormat="1" applyFont="1" applyBorder="1"/>
    <xf numFmtId="166" fontId="48" fillId="3" borderId="72" xfId="1" applyNumberFormat="1" applyFont="1" applyFill="1" applyBorder="1"/>
    <xf numFmtId="166" fontId="53" fillId="0" borderId="13" xfId="1" applyNumberFormat="1" applyFont="1" applyBorder="1"/>
    <xf numFmtId="166" fontId="53" fillId="4" borderId="17" xfId="1" applyNumberFormat="1" applyFont="1" applyFill="1" applyBorder="1"/>
    <xf numFmtId="9" fontId="50" fillId="0" borderId="0" xfId="4" applyFont="1"/>
    <xf numFmtId="9" fontId="56" fillId="0" borderId="3" xfId="4" applyFont="1" applyBorder="1" applyAlignment="1">
      <alignment horizontal="center" vertical="center" wrapText="1"/>
    </xf>
    <xf numFmtId="9" fontId="50" fillId="3" borderId="4" xfId="4" applyFont="1" applyFill="1" applyBorder="1" applyAlignment="1">
      <alignment wrapText="1"/>
    </xf>
    <xf numFmtId="9" fontId="56" fillId="4" borderId="4" xfId="4" applyFont="1" applyFill="1" applyBorder="1"/>
    <xf numFmtId="9" fontId="50" fillId="0" borderId="7" xfId="4" applyFont="1" applyFill="1" applyBorder="1"/>
    <xf numFmtId="9" fontId="50" fillId="0" borderId="27" xfId="4" applyFont="1" applyFill="1" applyBorder="1"/>
    <xf numFmtId="9" fontId="56" fillId="4" borderId="7" xfId="4" applyFont="1" applyFill="1" applyBorder="1"/>
    <xf numFmtId="9" fontId="50" fillId="0" borderId="7" xfId="4" applyFont="1" applyBorder="1"/>
    <xf numFmtId="9" fontId="50" fillId="0" borderId="8" xfId="4" applyFont="1" applyFill="1" applyBorder="1"/>
    <xf numFmtId="9" fontId="50" fillId="0" borderId="8" xfId="4" applyFont="1" applyFill="1" applyBorder="1" applyAlignment="1">
      <alignment wrapText="1"/>
    </xf>
    <xf numFmtId="9" fontId="50" fillId="0" borderId="43" xfId="4" applyFont="1" applyBorder="1"/>
    <xf numFmtId="9" fontId="50" fillId="4" borderId="7" xfId="4" applyFont="1" applyFill="1" applyBorder="1" applyAlignment="1">
      <alignment wrapText="1"/>
    </xf>
    <xf numFmtId="9" fontId="50" fillId="0" borderId="7" xfId="4" applyFont="1" applyFill="1" applyBorder="1" applyAlignment="1">
      <alignment wrapText="1"/>
    </xf>
    <xf numFmtId="9" fontId="50" fillId="0" borderId="43" xfId="4" applyFont="1" applyFill="1" applyBorder="1"/>
    <xf numFmtId="3" fontId="50" fillId="7" borderId="7" xfId="43" applyNumberFormat="1" applyFont="1" applyFill="1" applyBorder="1" applyAlignment="1">
      <alignment wrapText="1"/>
    </xf>
    <xf numFmtId="9" fontId="61" fillId="8" borderId="7" xfId="4" applyFont="1" applyFill="1" applyBorder="1" applyAlignment="1">
      <alignment wrapText="1"/>
    </xf>
    <xf numFmtId="9" fontId="50" fillId="0" borderId="72" xfId="4" applyFont="1" applyFill="1" applyBorder="1"/>
    <xf numFmtId="9" fontId="50" fillId="5" borderId="7" xfId="4" applyFont="1" applyFill="1" applyBorder="1" applyAlignment="1">
      <alignment wrapText="1"/>
    </xf>
    <xf numFmtId="9" fontId="50" fillId="0" borderId="43" xfId="4" applyFont="1" applyFill="1" applyBorder="1" applyAlignment="1">
      <alignment wrapText="1"/>
    </xf>
    <xf numFmtId="9" fontId="50" fillId="3" borderId="7" xfId="4" applyFont="1" applyFill="1" applyBorder="1" applyAlignment="1">
      <alignment wrapText="1"/>
    </xf>
    <xf numFmtId="9" fontId="50" fillId="0" borderId="29" xfId="4" applyFont="1" applyFill="1" applyBorder="1"/>
    <xf numFmtId="9" fontId="50" fillId="0" borderId="75" xfId="4" applyFont="1" applyFill="1" applyBorder="1"/>
    <xf numFmtId="9" fontId="50" fillId="0" borderId="24" xfId="4" applyFont="1" applyFill="1" applyBorder="1" applyAlignment="1">
      <alignment wrapText="1"/>
    </xf>
    <xf numFmtId="9" fontId="50" fillId="0" borderId="26" xfId="4" applyFont="1" applyFill="1" applyBorder="1"/>
    <xf numFmtId="9" fontId="50" fillId="0" borderId="28" xfId="4" applyFont="1" applyFill="1" applyBorder="1"/>
    <xf numFmtId="9" fontId="50" fillId="0" borderId="42" xfId="4" applyFont="1" applyFill="1" applyBorder="1"/>
    <xf numFmtId="9" fontId="50" fillId="0" borderId="59" xfId="4" applyFont="1" applyFill="1" applyBorder="1"/>
    <xf numFmtId="9" fontId="50" fillId="0" borderId="68" xfId="4" applyFont="1" applyFill="1" applyBorder="1"/>
    <xf numFmtId="1" fontId="50" fillId="0" borderId="7" xfId="4" applyNumberFormat="1" applyFont="1" applyFill="1" applyBorder="1"/>
    <xf numFmtId="9" fontId="56" fillId="0" borderId="3" xfId="4" applyFont="1" applyBorder="1"/>
    <xf numFmtId="9" fontId="56" fillId="0" borderId="11" xfId="4" applyFont="1" applyFill="1" applyBorder="1"/>
    <xf numFmtId="9" fontId="50" fillId="0" borderId="60" xfId="4" applyFont="1" applyFill="1" applyBorder="1" applyAlignment="1">
      <alignment wrapText="1"/>
    </xf>
    <xf numFmtId="9" fontId="56" fillId="0" borderId="11" xfId="4" applyFont="1" applyBorder="1"/>
    <xf numFmtId="9" fontId="56" fillId="4" borderId="12" xfId="4" applyFont="1" applyFill="1" applyBorder="1"/>
    <xf numFmtId="9" fontId="50" fillId="3" borderId="27" xfId="4" applyFont="1" applyFill="1" applyBorder="1" applyAlignment="1">
      <alignment wrapText="1"/>
    </xf>
    <xf numFmtId="9" fontId="50" fillId="3" borderId="43" xfId="4" applyFont="1" applyFill="1" applyBorder="1" applyAlignment="1">
      <alignment wrapText="1"/>
    </xf>
    <xf numFmtId="9" fontId="50" fillId="0" borderId="57" xfId="4" applyFont="1" applyFill="1" applyBorder="1"/>
    <xf numFmtId="9" fontId="50" fillId="0" borderId="7" xfId="4" applyFont="1" applyBorder="1" applyAlignment="1">
      <alignment wrapText="1"/>
    </xf>
    <xf numFmtId="9" fontId="50" fillId="0" borderId="43" xfId="4" applyFont="1" applyBorder="1" applyAlignment="1">
      <alignment wrapText="1"/>
    </xf>
    <xf numFmtId="9" fontId="50" fillId="0" borderId="57" xfId="4" applyFont="1" applyBorder="1" applyAlignment="1">
      <alignment wrapText="1"/>
    </xf>
    <xf numFmtId="9" fontId="50" fillId="0" borderId="72" xfId="4" applyFont="1" applyFill="1" applyBorder="1" applyAlignment="1">
      <alignment wrapText="1"/>
    </xf>
    <xf numFmtId="9" fontId="50" fillId="0" borderId="22" xfId="4" applyFont="1" applyBorder="1" applyAlignment="1">
      <alignment wrapText="1"/>
    </xf>
    <xf numFmtId="9" fontId="56" fillId="3" borderId="7" xfId="4" applyFont="1" applyFill="1" applyBorder="1"/>
    <xf numFmtId="3" fontId="50" fillId="19" borderId="43" xfId="43" applyNumberFormat="1" applyFont="1" applyFill="1" applyBorder="1"/>
    <xf numFmtId="9" fontId="76" fillId="0" borderId="57" xfId="4" applyFont="1" applyBorder="1" applyAlignment="1">
      <alignment wrapText="1"/>
    </xf>
    <xf numFmtId="9" fontId="76" fillId="3" borderId="7" xfId="4" applyFont="1" applyFill="1" applyBorder="1" applyAlignment="1">
      <alignment wrapText="1"/>
    </xf>
    <xf numFmtId="9" fontId="76" fillId="3" borderId="27" xfId="4" applyFont="1" applyFill="1" applyBorder="1" applyAlignment="1">
      <alignment wrapText="1"/>
    </xf>
    <xf numFmtId="9" fontId="50" fillId="5" borderId="57" xfId="4" applyFont="1" applyFill="1" applyBorder="1" applyAlignment="1">
      <alignment wrapText="1"/>
    </xf>
    <xf numFmtId="9" fontId="50" fillId="5" borderId="7" xfId="4" applyFont="1" applyFill="1" applyBorder="1"/>
    <xf numFmtId="9" fontId="50" fillId="5" borderId="43" xfId="4" applyFont="1" applyFill="1" applyBorder="1"/>
    <xf numFmtId="9" fontId="50" fillId="3" borderId="57" xfId="4" applyFont="1" applyFill="1" applyBorder="1"/>
    <xf numFmtId="9" fontId="50" fillId="0" borderId="23" xfId="4" applyFont="1" applyFill="1" applyBorder="1"/>
    <xf numFmtId="3" fontId="56" fillId="0" borderId="7" xfId="43" applyNumberFormat="1" applyFont="1" applyBorder="1"/>
    <xf numFmtId="9" fontId="50" fillId="3" borderId="57" xfId="4" applyFont="1" applyFill="1" applyBorder="1" applyAlignment="1">
      <alignment wrapText="1"/>
    </xf>
    <xf numFmtId="9" fontId="50" fillId="3" borderId="72" xfId="4" applyFont="1" applyFill="1" applyBorder="1" applyAlignment="1">
      <alignment wrapText="1"/>
    </xf>
    <xf numFmtId="9" fontId="50" fillId="3" borderId="23" xfId="4" applyFont="1" applyFill="1" applyBorder="1" applyAlignment="1">
      <alignment wrapText="1"/>
    </xf>
    <xf numFmtId="3" fontId="56" fillId="0" borderId="13" xfId="43" applyNumberFormat="1" applyFont="1" applyBorder="1"/>
    <xf numFmtId="3" fontId="56" fillId="0" borderId="14" xfId="43" applyNumberFormat="1" applyFont="1" applyBorder="1"/>
    <xf numFmtId="3" fontId="56" fillId="4" borderId="17" xfId="43" applyNumberFormat="1" applyFont="1" applyFill="1" applyBorder="1"/>
    <xf numFmtId="166" fontId="48" fillId="6" borderId="72" xfId="1" applyNumberFormat="1" applyFont="1" applyFill="1" applyBorder="1"/>
    <xf numFmtId="49" fontId="48" fillId="0" borderId="78" xfId="43" applyNumberFormat="1" applyFont="1" applyBorder="1" applyAlignment="1">
      <alignment horizontal="left" wrapText="1" indent="2"/>
    </xf>
    <xf numFmtId="166" fontId="48" fillId="0" borderId="72" xfId="1" applyNumberFormat="1" applyFont="1" applyFill="1" applyBorder="1"/>
    <xf numFmtId="3" fontId="48" fillId="0" borderId="21" xfId="43" applyNumberFormat="1" applyFont="1" applyBorder="1"/>
    <xf numFmtId="3" fontId="48" fillId="0" borderId="76" xfId="43" applyNumberFormat="1" applyFont="1" applyBorder="1"/>
    <xf numFmtId="9" fontId="48" fillId="0" borderId="46" xfId="4" applyFont="1" applyFill="1" applyBorder="1" applyAlignment="1">
      <alignment wrapText="1"/>
    </xf>
    <xf numFmtId="9" fontId="48" fillId="0" borderId="27" xfId="4" applyFont="1" applyFill="1" applyBorder="1" applyAlignment="1">
      <alignment wrapText="1"/>
    </xf>
    <xf numFmtId="9" fontId="48" fillId="15" borderId="75" xfId="4" applyFont="1" applyFill="1" applyBorder="1" applyAlignment="1">
      <alignment wrapText="1"/>
    </xf>
    <xf numFmtId="9" fontId="48" fillId="15" borderId="7" xfId="4" applyFont="1" applyFill="1" applyBorder="1" applyAlignment="1">
      <alignment wrapText="1"/>
    </xf>
    <xf numFmtId="9" fontId="48" fillId="15" borderId="43" xfId="4" applyFont="1" applyFill="1" applyBorder="1" applyAlignment="1">
      <alignment wrapText="1"/>
    </xf>
    <xf numFmtId="9" fontId="59" fillId="15" borderId="7" xfId="4" applyFont="1" applyFill="1" applyBorder="1"/>
    <xf numFmtId="9" fontId="50" fillId="0" borderId="21" xfId="4" applyFont="1" applyFill="1" applyBorder="1"/>
    <xf numFmtId="9" fontId="50" fillId="0" borderId="22" xfId="4" applyFont="1" applyFill="1" applyBorder="1" applyAlignment="1">
      <alignment wrapText="1"/>
    </xf>
    <xf numFmtId="9" fontId="50" fillId="0" borderId="64" xfId="4" applyFont="1" applyFill="1" applyBorder="1"/>
    <xf numFmtId="9" fontId="50" fillId="3" borderId="54" xfId="4" applyFont="1" applyFill="1" applyBorder="1" applyAlignment="1">
      <alignment wrapText="1"/>
    </xf>
    <xf numFmtId="9" fontId="50" fillId="0" borderId="27" xfId="4" applyFont="1" applyBorder="1" applyAlignment="1">
      <alignment wrapText="1"/>
    </xf>
    <xf numFmtId="9" fontId="76" fillId="0" borderId="7" xfId="4" applyFont="1" applyFill="1" applyBorder="1" applyAlignment="1">
      <alignment wrapText="1"/>
    </xf>
    <xf numFmtId="9" fontId="76" fillId="10" borderId="7" xfId="4" applyFont="1" applyFill="1" applyBorder="1" applyAlignment="1">
      <alignment wrapText="1"/>
    </xf>
    <xf numFmtId="9" fontId="50" fillId="6" borderId="72" xfId="4" applyFont="1" applyFill="1" applyBorder="1" applyAlignment="1">
      <alignment wrapText="1"/>
    </xf>
    <xf numFmtId="9" fontId="50" fillId="0" borderId="54" xfId="4" applyFont="1" applyFill="1" applyBorder="1"/>
    <xf numFmtId="9" fontId="50" fillId="16" borderId="7" xfId="4" applyFont="1" applyFill="1" applyBorder="1" applyAlignment="1">
      <alignment wrapText="1"/>
    </xf>
    <xf numFmtId="0" fontId="114" fillId="0" borderId="0" xfId="43" applyFont="1"/>
    <xf numFmtId="0" fontId="114" fillId="0" borderId="0" xfId="43" quotePrefix="1" applyFont="1"/>
    <xf numFmtId="3" fontId="62" fillId="0" borderId="82" xfId="43" applyNumberFormat="1" applyFont="1" applyBorder="1"/>
    <xf numFmtId="166" fontId="62" fillId="0" borderId="82" xfId="1" applyNumberFormat="1" applyFont="1" applyBorder="1"/>
    <xf numFmtId="3" fontId="76" fillId="0" borderId="82" xfId="43" applyNumberFormat="1" applyFont="1" applyBorder="1"/>
    <xf numFmtId="9" fontId="62" fillId="0" borderId="82" xfId="4" applyFont="1" applyFill="1" applyBorder="1" applyAlignment="1">
      <alignment wrapText="1"/>
    </xf>
    <xf numFmtId="9" fontId="62" fillId="0" borderId="82" xfId="2" applyFont="1" applyFill="1" applyBorder="1"/>
    <xf numFmtId="9" fontId="62" fillId="15" borderId="82" xfId="4" applyFont="1" applyFill="1" applyBorder="1" applyAlignment="1">
      <alignment wrapText="1"/>
    </xf>
    <xf numFmtId="166" fontId="48" fillId="0" borderId="79" xfId="1" applyNumberFormat="1" applyFont="1" applyBorder="1"/>
    <xf numFmtId="166" fontId="53" fillId="0" borderId="14" xfId="1" applyNumberFormat="1" applyFont="1" applyBorder="1"/>
    <xf numFmtId="3" fontId="48" fillId="0" borderId="46" xfId="43" applyNumberFormat="1" applyFont="1" applyBorder="1"/>
    <xf numFmtId="9" fontId="48" fillId="0" borderId="46" xfId="4" applyFont="1" applyBorder="1" applyAlignment="1">
      <alignment wrapText="1"/>
    </xf>
    <xf numFmtId="0" fontId="48" fillId="5" borderId="80" xfId="43" applyFont="1" applyFill="1" applyBorder="1" applyAlignment="1">
      <alignment horizontal="left" wrapText="1" indent="3"/>
    </xf>
    <xf numFmtId="3" fontId="48" fillId="5" borderId="82" xfId="43" applyNumberFormat="1" applyFont="1" applyFill="1" applyBorder="1"/>
    <xf numFmtId="3" fontId="48" fillId="0" borderId="82" xfId="43" applyNumberFormat="1" applyFont="1" applyBorder="1"/>
    <xf numFmtId="166" fontId="48" fillId="0" borderId="82" xfId="1" applyNumberFormat="1" applyFont="1" applyBorder="1"/>
    <xf numFmtId="9" fontId="50" fillId="0" borderId="82" xfId="4" applyFont="1" applyBorder="1" applyAlignment="1">
      <alignment wrapText="1"/>
    </xf>
    <xf numFmtId="9" fontId="48" fillId="0" borderId="82" xfId="4" applyFont="1" applyBorder="1" applyAlignment="1">
      <alignment wrapText="1"/>
    </xf>
    <xf numFmtId="9" fontId="48" fillId="0" borderId="82" xfId="2" applyFont="1" applyFill="1" applyBorder="1"/>
    <xf numFmtId="9" fontId="48" fillId="10" borderId="23" xfId="4" applyFont="1" applyFill="1" applyBorder="1" applyAlignment="1">
      <alignment wrapText="1"/>
    </xf>
    <xf numFmtId="3" fontId="50" fillId="0" borderId="7" xfId="43" applyNumberFormat="1" applyFont="1" applyBorder="1" applyAlignment="1">
      <alignment wrapText="1"/>
    </xf>
    <xf numFmtId="3" fontId="50" fillId="4" borderId="7" xfId="43" applyNumberFormat="1" applyFont="1" applyFill="1" applyBorder="1"/>
    <xf numFmtId="3" fontId="50" fillId="0" borderId="3" xfId="43" applyNumberFormat="1" applyFont="1" applyBorder="1" applyAlignment="1">
      <alignment wrapText="1"/>
    </xf>
    <xf numFmtId="3" fontId="50" fillId="0" borderId="59" xfId="43" applyNumberFormat="1" applyFont="1" applyBorder="1" applyAlignment="1">
      <alignment wrapText="1"/>
    </xf>
    <xf numFmtId="3" fontId="50" fillId="0" borderId="42" xfId="43" applyNumberFormat="1" applyFont="1" applyBorder="1"/>
    <xf numFmtId="3" fontId="50" fillId="3" borderId="7" xfId="43" applyNumberFormat="1" applyFont="1" applyFill="1" applyBorder="1" applyAlignment="1">
      <alignment wrapText="1"/>
    </xf>
    <xf numFmtId="3" fontId="50" fillId="13" borderId="82" xfId="43" applyNumberFormat="1" applyFont="1" applyFill="1" applyBorder="1"/>
    <xf numFmtId="166" fontId="48" fillId="3" borderId="7" xfId="2" applyNumberFormat="1" applyFont="1" applyFill="1" applyBorder="1"/>
    <xf numFmtId="166" fontId="48" fillId="0" borderId="0" xfId="2" applyNumberFormat="1" applyFont="1" applyFill="1"/>
    <xf numFmtId="3" fontId="48" fillId="0" borderId="43" xfId="43" applyNumberFormat="1" applyFont="1" applyBorder="1" applyAlignment="1">
      <alignment wrapText="1"/>
    </xf>
    <xf numFmtId="9" fontId="48" fillId="0" borderId="22" xfId="2" applyFont="1" applyFill="1" applyBorder="1" applyAlignment="1"/>
    <xf numFmtId="9" fontId="53" fillId="0" borderId="13" xfId="2" applyFont="1" applyBorder="1"/>
    <xf numFmtId="0" fontId="72" fillId="18" borderId="0" xfId="0" applyFont="1" applyFill="1"/>
    <xf numFmtId="3" fontId="72" fillId="18" borderId="0" xfId="0" applyNumberFormat="1" applyFont="1" applyFill="1"/>
    <xf numFmtId="0" fontId="72" fillId="18" borderId="0" xfId="0" applyFont="1" applyFill="1" applyAlignment="1">
      <alignment horizontal="left" indent="2"/>
    </xf>
    <xf numFmtId="0" fontId="117" fillId="18" borderId="0" xfId="0" applyFont="1" applyFill="1"/>
    <xf numFmtId="9" fontId="48" fillId="0" borderId="66" xfId="4" applyFont="1" applyFill="1" applyBorder="1"/>
    <xf numFmtId="9" fontId="48" fillId="0" borderId="66" xfId="4" applyFont="1" applyFill="1" applyBorder="1" applyAlignment="1">
      <alignment wrapText="1"/>
    </xf>
    <xf numFmtId="9" fontId="62" fillId="0" borderId="7" xfId="4" applyFont="1" applyFill="1" applyBorder="1" applyAlignment="1">
      <alignment wrapText="1"/>
    </xf>
    <xf numFmtId="3" fontId="48" fillId="0" borderId="74" xfId="43" applyNumberFormat="1" applyFont="1" applyBorder="1"/>
    <xf numFmtId="9" fontId="48" fillId="0" borderId="7" xfId="4" quotePrefix="1" applyFont="1" applyFill="1" applyBorder="1" applyAlignment="1">
      <alignment wrapText="1"/>
    </xf>
    <xf numFmtId="166" fontId="48" fillId="0" borderId="81" xfId="1" applyNumberFormat="1" applyFont="1" applyBorder="1"/>
    <xf numFmtId="166" fontId="48" fillId="0" borderId="46" xfId="1" applyNumberFormat="1" applyFont="1" applyBorder="1"/>
    <xf numFmtId="9" fontId="50" fillId="0" borderId="82" xfId="4" applyFont="1" applyFill="1" applyBorder="1"/>
    <xf numFmtId="3" fontId="50" fillId="0" borderId="82" xfId="43" applyNumberFormat="1" applyFont="1" applyBorder="1"/>
    <xf numFmtId="0" fontId="48" fillId="5" borderId="77" xfId="43" applyFont="1" applyFill="1" applyBorder="1" applyAlignment="1">
      <alignment horizontal="left" indent="3"/>
    </xf>
    <xf numFmtId="166" fontId="48" fillId="5" borderId="82" xfId="1" applyNumberFormat="1" applyFont="1" applyFill="1" applyBorder="1"/>
    <xf numFmtId="9" fontId="50" fillId="5" borderId="82" xfId="4" applyFont="1" applyFill="1" applyBorder="1"/>
    <xf numFmtId="3" fontId="50" fillId="5" borderId="82" xfId="43" applyNumberFormat="1" applyFont="1" applyFill="1" applyBorder="1"/>
    <xf numFmtId="9" fontId="48" fillId="5" borderId="82" xfId="4" applyFont="1" applyFill="1" applyBorder="1"/>
    <xf numFmtId="3" fontId="48" fillId="3" borderId="82" xfId="43" applyNumberFormat="1" applyFont="1" applyFill="1" applyBorder="1"/>
    <xf numFmtId="166" fontId="48" fillId="3" borderId="82" xfId="1" applyNumberFormat="1" applyFont="1" applyFill="1" applyBorder="1"/>
    <xf numFmtId="9" fontId="50" fillId="3" borderId="82" xfId="4" applyFont="1" applyFill="1" applyBorder="1"/>
    <xf numFmtId="9" fontId="48" fillId="3" borderId="82" xfId="4" applyFont="1" applyFill="1" applyBorder="1"/>
    <xf numFmtId="9" fontId="48" fillId="3" borderId="82" xfId="2" applyFont="1" applyFill="1" applyBorder="1"/>
    <xf numFmtId="3" fontId="50" fillId="3" borderId="82" xfId="43" applyNumberFormat="1" applyFont="1" applyFill="1" applyBorder="1"/>
    <xf numFmtId="9" fontId="48" fillId="3" borderId="82" xfId="4" applyFont="1" applyFill="1" applyBorder="1" applyAlignment="1">
      <alignment wrapText="1"/>
    </xf>
    <xf numFmtId="3" fontId="53" fillId="4" borderId="82" xfId="43" applyNumberFormat="1" applyFont="1" applyFill="1" applyBorder="1"/>
    <xf numFmtId="3" fontId="53" fillId="3" borderId="82" xfId="43" applyNumberFormat="1" applyFont="1" applyFill="1" applyBorder="1"/>
    <xf numFmtId="49" fontId="48" fillId="17" borderId="83" xfId="43" applyNumberFormat="1" applyFont="1" applyFill="1" applyBorder="1" applyAlignment="1">
      <alignment horizontal="left" indent="2"/>
    </xf>
    <xf numFmtId="3" fontId="48" fillId="0" borderId="82" xfId="43" applyNumberFormat="1" applyFont="1" applyBorder="1" applyAlignment="1">
      <alignment wrapText="1"/>
    </xf>
    <xf numFmtId="3" fontId="50" fillId="0" borderId="82" xfId="43" applyNumberFormat="1" applyFont="1" applyBorder="1" applyAlignment="1">
      <alignment wrapText="1"/>
    </xf>
    <xf numFmtId="3" fontId="48" fillId="14" borderId="82" xfId="43" applyNumberFormat="1" applyFont="1" applyFill="1" applyBorder="1"/>
    <xf numFmtId="3" fontId="56" fillId="3" borderId="82" xfId="43" applyNumberFormat="1" applyFont="1" applyFill="1" applyBorder="1"/>
    <xf numFmtId="3" fontId="48" fillId="19" borderId="82" xfId="43" applyNumberFormat="1" applyFont="1" applyFill="1" applyBorder="1"/>
    <xf numFmtId="3" fontId="48" fillId="6" borderId="82" xfId="43" applyNumberFormat="1" applyFont="1" applyFill="1" applyBorder="1"/>
    <xf numFmtId="3" fontId="56" fillId="4" borderId="82" xfId="43" applyNumberFormat="1" applyFont="1" applyFill="1" applyBorder="1"/>
    <xf numFmtId="3" fontId="50" fillId="6" borderId="82" xfId="43" applyNumberFormat="1" applyFont="1" applyFill="1" applyBorder="1"/>
    <xf numFmtId="3" fontId="118" fillId="0" borderId="82" xfId="43" applyNumberFormat="1" applyFont="1" applyBorder="1"/>
    <xf numFmtId="3" fontId="56" fillId="0" borderId="82" xfId="43" applyNumberFormat="1" applyFont="1" applyBorder="1"/>
    <xf numFmtId="3" fontId="50" fillId="11" borderId="82" xfId="43" applyNumberFormat="1" applyFont="1" applyFill="1" applyBorder="1"/>
    <xf numFmtId="3" fontId="50" fillId="3" borderId="82" xfId="43" applyNumberFormat="1" applyFont="1" applyFill="1" applyBorder="1" applyAlignment="1">
      <alignment wrapText="1"/>
    </xf>
    <xf numFmtId="0" fontId="48" fillId="10" borderId="0" xfId="43" quotePrefix="1" applyFont="1" applyFill="1"/>
    <xf numFmtId="0" fontId="119" fillId="0" borderId="0" xfId="83" applyFont="1"/>
    <xf numFmtId="0" fontId="48" fillId="0" borderId="49" xfId="43" applyFont="1" applyBorder="1" applyAlignment="1">
      <alignment horizontal="left" wrapText="1" indent="2"/>
    </xf>
    <xf numFmtId="49" fontId="48" fillId="16" borderId="66" xfId="43" applyNumberFormat="1" applyFont="1" applyFill="1" applyBorder="1" applyAlignment="1">
      <alignment horizontal="left" wrapText="1" indent="4"/>
    </xf>
    <xf numFmtId="49" fontId="48" fillId="0" borderId="74" xfId="43" applyNumberFormat="1" applyFont="1" applyBorder="1" applyAlignment="1">
      <alignment horizontal="left" wrapText="1" indent="4"/>
    </xf>
    <xf numFmtId="0" fontId="48" fillId="5" borderId="56" xfId="43" applyFont="1" applyFill="1" applyBorder="1" applyAlignment="1">
      <alignment horizontal="left" wrapText="1" indent="3"/>
    </xf>
    <xf numFmtId="3" fontId="48" fillId="12" borderId="7" xfId="43" applyNumberFormat="1" applyFont="1" applyFill="1" applyBorder="1"/>
    <xf numFmtId="3" fontId="48" fillId="12" borderId="27" xfId="43" applyNumberFormat="1" applyFont="1" applyFill="1" applyBorder="1"/>
    <xf numFmtId="9" fontId="48" fillId="12" borderId="72" xfId="4" applyFont="1" applyFill="1" applyBorder="1" applyAlignment="1">
      <alignment wrapText="1"/>
    </xf>
    <xf numFmtId="9" fontId="48" fillId="0" borderId="42" xfId="4" applyFont="1" applyFill="1" applyBorder="1" applyAlignment="1">
      <alignment wrapText="1"/>
    </xf>
    <xf numFmtId="3" fontId="48" fillId="12" borderId="43" xfId="43" applyNumberFormat="1" applyFont="1" applyFill="1" applyBorder="1"/>
    <xf numFmtId="3" fontId="61" fillId="8" borderId="82" xfId="43" applyNumberFormat="1" applyFont="1" applyFill="1" applyBorder="1"/>
    <xf numFmtId="3" fontId="48" fillId="13" borderId="82" xfId="43" applyNumberFormat="1" applyFont="1" applyFill="1" applyBorder="1"/>
    <xf numFmtId="3" fontId="53" fillId="0" borderId="82" xfId="43" applyNumberFormat="1" applyFont="1" applyBorder="1"/>
    <xf numFmtId="3" fontId="48" fillId="11" borderId="82" xfId="43" applyNumberFormat="1" applyFont="1" applyFill="1" applyBorder="1"/>
    <xf numFmtId="9" fontId="48" fillId="0" borderId="22" xfId="4" applyFont="1" applyFill="1" applyBorder="1" applyAlignment="1">
      <alignment wrapText="1"/>
    </xf>
    <xf numFmtId="9" fontId="62" fillId="0" borderId="73" xfId="4" applyFont="1" applyFill="1" applyBorder="1" applyAlignment="1">
      <alignment wrapText="1"/>
    </xf>
    <xf numFmtId="166" fontId="53" fillId="3" borderId="64" xfId="1" applyNumberFormat="1" applyFont="1" applyFill="1" applyBorder="1"/>
    <xf numFmtId="3" fontId="53" fillId="4" borderId="64" xfId="43" applyNumberFormat="1" applyFont="1" applyFill="1" applyBorder="1"/>
    <xf numFmtId="166" fontId="53" fillId="4" borderId="82" xfId="1" applyNumberFormat="1" applyFont="1" applyFill="1" applyBorder="1"/>
    <xf numFmtId="3" fontId="48" fillId="7" borderId="82" xfId="43" applyNumberFormat="1" applyFont="1" applyFill="1" applyBorder="1"/>
    <xf numFmtId="3" fontId="59" fillId="8" borderId="82" xfId="43" applyNumberFormat="1" applyFont="1" applyFill="1" applyBorder="1"/>
    <xf numFmtId="166" fontId="101" fillId="3" borderId="64" xfId="1" applyNumberFormat="1" applyFont="1" applyFill="1" applyBorder="1" applyAlignment="1">
      <alignment wrapText="1"/>
    </xf>
    <xf numFmtId="3" fontId="105" fillId="4" borderId="64" xfId="43" applyNumberFormat="1" applyFont="1" applyFill="1" applyBorder="1"/>
    <xf numFmtId="166" fontId="48" fillId="3" borderId="64" xfId="1" applyNumberFormat="1" applyFont="1" applyFill="1" applyBorder="1" applyAlignment="1">
      <alignment wrapText="1"/>
    </xf>
    <xf numFmtId="3" fontId="50" fillId="4" borderId="82" xfId="43" applyNumberFormat="1" applyFont="1" applyFill="1" applyBorder="1"/>
    <xf numFmtId="3" fontId="50" fillId="7" borderId="82" xfId="43" applyNumberFormat="1" applyFont="1" applyFill="1" applyBorder="1"/>
    <xf numFmtId="3" fontId="50" fillId="14" borderId="82" xfId="43" applyNumberFormat="1" applyFont="1" applyFill="1" applyBorder="1"/>
    <xf numFmtId="3" fontId="53" fillId="4" borderId="68" xfId="43" applyNumberFormat="1" applyFont="1" applyFill="1" applyBorder="1"/>
    <xf numFmtId="3" fontId="50" fillId="4" borderId="82" xfId="43" applyNumberFormat="1" applyFont="1" applyFill="1" applyBorder="1" applyAlignment="1">
      <alignment wrapText="1"/>
    </xf>
    <xf numFmtId="3" fontId="48" fillId="13" borderId="7" xfId="43" applyNumberFormat="1" applyFont="1" applyFill="1" applyBorder="1"/>
    <xf numFmtId="3" fontId="76" fillId="19" borderId="82" xfId="43" applyNumberFormat="1" applyFont="1" applyFill="1" applyBorder="1"/>
    <xf numFmtId="3" fontId="51" fillId="3" borderId="82" xfId="43" applyNumberFormat="1" applyFont="1" applyFill="1" applyBorder="1"/>
    <xf numFmtId="3" fontId="57" fillId="4" borderId="82" xfId="43" applyNumberFormat="1" applyFont="1" applyFill="1" applyBorder="1"/>
    <xf numFmtId="3" fontId="51" fillId="0" borderId="82" xfId="43" applyNumberFormat="1" applyFont="1" applyBorder="1"/>
    <xf numFmtId="3" fontId="57" fillId="3" borderId="82" xfId="43" applyNumberFormat="1" applyFont="1" applyFill="1" applyBorder="1"/>
    <xf numFmtId="3" fontId="60" fillId="19" borderId="82" xfId="43" applyNumberFormat="1" applyFont="1" applyFill="1" applyBorder="1"/>
    <xf numFmtId="3" fontId="51" fillId="13" borderId="82" xfId="43" applyNumberFormat="1" applyFont="1" applyFill="1" applyBorder="1"/>
    <xf numFmtId="3" fontId="51" fillId="5" borderId="82" xfId="43" applyNumberFormat="1" applyFont="1" applyFill="1" applyBorder="1"/>
    <xf numFmtId="3" fontId="51" fillId="11" borderId="82" xfId="43" applyNumberFormat="1" applyFont="1" applyFill="1" applyBorder="1"/>
    <xf numFmtId="3" fontId="51" fillId="10" borderId="82" xfId="43" applyNumberFormat="1" applyFont="1" applyFill="1" applyBorder="1"/>
    <xf numFmtId="3" fontId="72" fillId="18" borderId="0" xfId="0" applyNumberFormat="1" applyFont="1" applyFill="1" applyAlignment="1">
      <alignment horizontal="left" indent="2"/>
    </xf>
    <xf numFmtId="3" fontId="48" fillId="0" borderId="57" xfId="43" applyNumberFormat="1" applyFont="1" applyBorder="1" applyAlignment="1">
      <alignment wrapText="1"/>
    </xf>
    <xf numFmtId="166" fontId="57" fillId="0" borderId="0" xfId="1" applyNumberFormat="1" applyFont="1"/>
    <xf numFmtId="166" fontId="51" fillId="0" borderId="0" xfId="1" applyNumberFormat="1" applyFont="1"/>
    <xf numFmtId="0" fontId="55" fillId="18" borderId="0" xfId="0" applyFont="1" applyFill="1"/>
    <xf numFmtId="3" fontId="55" fillId="18" borderId="0" xfId="0" applyNumberFormat="1" applyFont="1" applyFill="1"/>
    <xf numFmtId="9" fontId="48" fillId="14" borderId="61" xfId="2" applyFont="1" applyFill="1" applyBorder="1" applyAlignment="1">
      <alignment horizontal="right" vertical="center"/>
    </xf>
    <xf numFmtId="9" fontId="48" fillId="14" borderId="22" xfId="2" applyFont="1" applyFill="1" applyBorder="1" applyAlignment="1">
      <alignment horizontal="right" vertical="center"/>
    </xf>
    <xf numFmtId="9" fontId="48" fillId="0" borderId="61" xfId="2" applyFont="1" applyBorder="1" applyAlignment="1">
      <alignment horizontal="right" wrapText="1"/>
    </xf>
    <xf numFmtId="9" fontId="48" fillId="0" borderId="22" xfId="2" applyFont="1" applyBorder="1" applyAlignment="1">
      <alignment horizontal="right" wrapText="1"/>
    </xf>
    <xf numFmtId="3" fontId="59" fillId="8" borderId="73" xfId="43" applyNumberFormat="1" applyFont="1" applyFill="1" applyBorder="1" applyAlignment="1">
      <alignment horizontal="right" vertical="center"/>
    </xf>
    <xf numFmtId="3" fontId="59" fillId="8" borderId="22" xfId="43" applyNumberFormat="1" applyFont="1" applyFill="1" applyBorder="1" applyAlignment="1">
      <alignment horizontal="right" vertical="center"/>
    </xf>
    <xf numFmtId="9" fontId="59" fillId="8" borderId="73" xfId="2" applyFont="1" applyFill="1" applyBorder="1" applyAlignment="1">
      <alignment horizontal="right" vertical="center"/>
    </xf>
    <xf numFmtId="9" fontId="59" fillId="8" borderId="22" xfId="2" applyFont="1" applyFill="1" applyBorder="1" applyAlignment="1">
      <alignment horizontal="right" vertical="center"/>
    </xf>
    <xf numFmtId="3" fontId="48" fillId="0" borderId="73" xfId="43" applyNumberFormat="1" applyFont="1" applyBorder="1" applyAlignment="1">
      <alignment horizontal="right" vertical="center"/>
    </xf>
    <xf numFmtId="3" fontId="48" fillId="0" borderId="22" xfId="43" applyNumberFormat="1" applyFont="1" applyBorder="1" applyAlignment="1">
      <alignment horizontal="right" vertical="center"/>
    </xf>
    <xf numFmtId="3" fontId="51" fillId="0" borderId="73" xfId="43" applyNumberFormat="1" applyFont="1" applyBorder="1" applyAlignment="1">
      <alignment horizontal="right"/>
    </xf>
    <xf numFmtId="3" fontId="51" fillId="0" borderId="22" xfId="43" applyNumberFormat="1" applyFont="1" applyBorder="1" applyAlignment="1">
      <alignment horizontal="right"/>
    </xf>
    <xf numFmtId="9" fontId="48" fillId="0" borderId="73" xfId="4" applyFont="1" applyFill="1" applyBorder="1" applyAlignment="1">
      <alignment horizontal="left" wrapText="1"/>
    </xf>
    <xf numFmtId="9" fontId="48" fillId="0" borderId="22" xfId="4" applyFont="1" applyFill="1" applyBorder="1" applyAlignment="1">
      <alignment horizontal="left" wrapText="1"/>
    </xf>
    <xf numFmtId="9" fontId="48" fillId="0" borderId="73" xfId="4" applyFont="1" applyFill="1" applyBorder="1" applyAlignment="1">
      <alignment horizontal="left" vertical="center" wrapText="1"/>
    </xf>
    <xf numFmtId="9" fontId="48" fillId="0" borderId="22" xfId="4" applyFont="1" applyFill="1" applyBorder="1" applyAlignment="1">
      <alignment horizontal="left" vertical="center" wrapText="1"/>
    </xf>
    <xf numFmtId="0" fontId="82" fillId="0" borderId="0" xfId="83" applyFont="1"/>
    <xf numFmtId="0" fontId="42" fillId="0" borderId="0" xfId="43"/>
    <xf numFmtId="0" fontId="81" fillId="0" borderId="0" xfId="83" applyFont="1"/>
    <xf numFmtId="9" fontId="48" fillId="16" borderId="73" xfId="4" applyFont="1" applyFill="1" applyBorder="1" applyAlignment="1">
      <alignment horizontal="left" wrapText="1"/>
    </xf>
    <xf numFmtId="9" fontId="48" fillId="16" borderId="22" xfId="4" applyFont="1" applyFill="1" applyBorder="1" applyAlignment="1">
      <alignment horizontal="left" wrapText="1"/>
    </xf>
    <xf numFmtId="9" fontId="48" fillId="12" borderId="73" xfId="4" applyFont="1" applyFill="1" applyBorder="1" applyAlignment="1">
      <alignment horizontal="left" wrapText="1"/>
    </xf>
    <xf numFmtId="9" fontId="48" fillId="12" borderId="22" xfId="4" applyFont="1" applyFill="1" applyBorder="1" applyAlignment="1">
      <alignment horizontal="left" wrapText="1"/>
    </xf>
    <xf numFmtId="0" fontId="55" fillId="18" borderId="0" xfId="0" applyFont="1" applyFill="1" applyAlignment="1">
      <alignment horizontal="left" wrapText="1"/>
    </xf>
    <xf numFmtId="0" fontId="55" fillId="18" borderId="0" xfId="0" applyFont="1" applyFill="1" applyAlignment="1">
      <alignment horizontal="left" vertical="top" wrapText="1" indent="2"/>
    </xf>
    <xf numFmtId="0" fontId="55" fillId="18" borderId="0" xfId="0" applyFont="1" applyFill="1" applyAlignment="1">
      <alignment horizontal="left" vertical="top" wrapText="1"/>
    </xf>
    <xf numFmtId="0" fontId="55" fillId="18" borderId="0" xfId="0" applyFont="1" applyFill="1" applyAlignment="1">
      <alignment horizontal="left"/>
    </xf>
  </cellXfs>
  <cellStyles count="276">
    <cellStyle name="20% - Accent1" xfId="118" builtinId="30" customBuiltin="1"/>
    <cellStyle name="20% - Accent1 2" xfId="178" xr:uid="{363495CB-4EFD-4075-8AF2-8C15E33F265E}"/>
    <cellStyle name="20% - Accent1 3" xfId="254" xr:uid="{E5B18DE7-613F-46E6-83F3-B8D166189AAE}"/>
    <cellStyle name="20% - Accent2" xfId="122" builtinId="34" customBuiltin="1"/>
    <cellStyle name="20% - Accent2 2" xfId="181" xr:uid="{A18B77CC-0EE2-4068-8D7D-EF36B82D4569}"/>
    <cellStyle name="20% - Accent2 3" xfId="257" xr:uid="{0B5741FD-8B26-42B3-AD92-C666C48C2E56}"/>
    <cellStyle name="20% - Accent3" xfId="126" builtinId="38" customBuiltin="1"/>
    <cellStyle name="20% - Accent3 2" xfId="184" xr:uid="{828B7FC4-D874-45AB-90C4-80E102CDA5BC}"/>
    <cellStyle name="20% - Accent3 3" xfId="260" xr:uid="{1E6C9157-3BCC-462D-A9DA-092044DD508A}"/>
    <cellStyle name="20% - Accent4" xfId="130" builtinId="42" customBuiltin="1"/>
    <cellStyle name="20% - Accent4 2" xfId="187" xr:uid="{D6C29F7D-F1D1-4B50-B51D-8C757C4F426E}"/>
    <cellStyle name="20% - Accent4 3" xfId="263" xr:uid="{C8AB55DE-1FCC-4428-9A86-267BA79876C2}"/>
    <cellStyle name="20% - Accent5" xfId="134" builtinId="46" customBuiltin="1"/>
    <cellStyle name="20% - Accent5 2" xfId="190" xr:uid="{FCD4D055-3930-49A6-8889-90B080C6E772}"/>
    <cellStyle name="20% - Accent5 3" xfId="266" xr:uid="{F587695F-375B-4967-B352-43DE04DA1E20}"/>
    <cellStyle name="20% - Accent6" xfId="138" builtinId="50" customBuiltin="1"/>
    <cellStyle name="20% - Accent6 2" xfId="193" xr:uid="{27DC87F4-78AB-4578-80CF-0B1BFA91BF76}"/>
    <cellStyle name="20% - Accent6 3" xfId="269" xr:uid="{6401CBB4-6642-461B-ACAA-8610AEB4F886}"/>
    <cellStyle name="20% no 1. izcēluma 2" xfId="148" xr:uid="{00000000-0005-0000-0000-000001000000}"/>
    <cellStyle name="20% no 1. izcēluma 3" xfId="221" xr:uid="{784540F9-359C-423E-BC1B-C1AEB3C33C54}"/>
    <cellStyle name="20% no 2. izcēluma 2" xfId="150" xr:uid="{00000000-0005-0000-0000-000003000000}"/>
    <cellStyle name="20% no 2. izcēluma 3" xfId="224" xr:uid="{825A49D2-CB0F-4EA0-883E-62C47A8A74EE}"/>
    <cellStyle name="20% no 3. izcēluma 2" xfId="152" xr:uid="{00000000-0005-0000-0000-000005000000}"/>
    <cellStyle name="20% no 3. izcēluma 3" xfId="227" xr:uid="{BDB0685F-E89F-4E5B-8878-13EC8CEB3F6B}"/>
    <cellStyle name="20% no 4. izcēluma 2" xfId="154" xr:uid="{00000000-0005-0000-0000-000007000000}"/>
    <cellStyle name="20% no 4. izcēluma 3" xfId="230" xr:uid="{A8DB4D5F-6BB0-4C95-BF37-19DF26094270}"/>
    <cellStyle name="20% no 5. izcēluma 2" xfId="156" xr:uid="{00000000-0005-0000-0000-000009000000}"/>
    <cellStyle name="20% no 5. izcēluma 3" xfId="233" xr:uid="{A32F06B0-3F09-44A7-8CC2-04FCC134D7A2}"/>
    <cellStyle name="20% no 6. izcēluma 2" xfId="158" xr:uid="{00000000-0005-0000-0000-00000B000000}"/>
    <cellStyle name="20% no 6. izcēluma 3" xfId="236" xr:uid="{D91FA401-D48B-4953-A089-E6168A38A39B}"/>
    <cellStyle name="40% - Accent1" xfId="119" builtinId="31" customBuiltin="1"/>
    <cellStyle name="40% - Accent1 2" xfId="179" xr:uid="{52F15773-EEB9-4FAB-B1D0-72EF0155F97D}"/>
    <cellStyle name="40% - Accent1 3" xfId="255" xr:uid="{3E5A396A-0448-4C32-9011-01F9C66BC61D}"/>
    <cellStyle name="40% - Accent2" xfId="123" builtinId="35" customBuiltin="1"/>
    <cellStyle name="40% - Accent2 2" xfId="182" xr:uid="{3B8FAB79-3B2B-45F3-A5EB-B230A3278B50}"/>
    <cellStyle name="40% - Accent2 3" xfId="258" xr:uid="{1181E458-A323-45CD-9455-A05C791EED05}"/>
    <cellStyle name="40% - Accent3" xfId="127" builtinId="39" customBuiltin="1"/>
    <cellStyle name="40% - Accent3 2" xfId="185" xr:uid="{2B662775-B899-4B35-8D7E-FCE4CD58456D}"/>
    <cellStyle name="40% - Accent3 3" xfId="261" xr:uid="{9AF3EAC6-520A-4CDF-9CAA-4E7F85768EEB}"/>
    <cellStyle name="40% - Accent4" xfId="131" builtinId="43" customBuiltin="1"/>
    <cellStyle name="40% - Accent4 2" xfId="188" xr:uid="{64C688F0-7CEF-4FE8-9E4F-59C5F7B42BEF}"/>
    <cellStyle name="40% - Accent4 3" xfId="264" xr:uid="{4CD6D80D-3FF9-4D61-B545-31BC888C668F}"/>
    <cellStyle name="40% - Accent5" xfId="135" builtinId="47" customBuiltin="1"/>
    <cellStyle name="40% - Accent5 2" xfId="191" xr:uid="{AF63A63F-2393-4DDD-B11E-1E8547F0F85D}"/>
    <cellStyle name="40% - Accent5 3" xfId="267" xr:uid="{549B5969-3EB4-4DD1-BDD8-95D7A6E0C93E}"/>
    <cellStyle name="40% - Accent6" xfId="139" builtinId="51" customBuiltin="1"/>
    <cellStyle name="40% - Accent6 2" xfId="194" xr:uid="{3A5C1458-F927-4ED5-9DF6-2B52D0C9B7BA}"/>
    <cellStyle name="40% - Accent6 3" xfId="270" xr:uid="{0D42A310-8352-4F0C-A4E1-061959AAB9CB}"/>
    <cellStyle name="40% no 1. izcēluma 2" xfId="149" xr:uid="{00000000-0005-0000-0000-00000D000000}"/>
    <cellStyle name="40% no 1. izcēluma 3" xfId="222" xr:uid="{79A19D2E-A8A2-4715-83EE-F09F8D21670E}"/>
    <cellStyle name="40% no 2. izcēluma 2" xfId="151" xr:uid="{00000000-0005-0000-0000-00000F000000}"/>
    <cellStyle name="40% no 2. izcēluma 3" xfId="225" xr:uid="{6D9775AC-6734-46A7-8000-8D06F849011F}"/>
    <cellStyle name="40% no 3. izcēluma 2" xfId="153" xr:uid="{00000000-0005-0000-0000-000011000000}"/>
    <cellStyle name="40% no 3. izcēluma 3" xfId="228" xr:uid="{1DBDB1B2-71C4-4862-AD1C-CDF14924E251}"/>
    <cellStyle name="40% no 4. izcēluma 2" xfId="155" xr:uid="{00000000-0005-0000-0000-000013000000}"/>
    <cellStyle name="40% no 4. izcēluma 3" xfId="231" xr:uid="{4A868E76-6305-44D7-A20B-7EEE03FAFAB6}"/>
    <cellStyle name="40% no 5. izcēluma 2" xfId="157" xr:uid="{00000000-0005-0000-0000-000015000000}"/>
    <cellStyle name="40% no 5. izcēluma 3" xfId="234" xr:uid="{4F8CC661-C589-4E31-9949-FDD729F9FFE2}"/>
    <cellStyle name="40% no 6. izcēluma 2" xfId="159" xr:uid="{00000000-0005-0000-0000-000017000000}"/>
    <cellStyle name="40% no 6. izcēluma 3" xfId="237" xr:uid="{21B6D52D-3270-4A1B-841E-69E38C4EE0ED}"/>
    <cellStyle name="60% - Accent1" xfId="120" builtinId="32" customBuiltin="1"/>
    <cellStyle name="60% - Accent1 2" xfId="180" xr:uid="{2FF805B4-7736-476D-9441-E38DA002F17C}"/>
    <cellStyle name="60% - Accent1 3" xfId="256" xr:uid="{1D71ECB8-1786-4327-A481-1DBC41CD12F6}"/>
    <cellStyle name="60% - Accent2" xfId="124" builtinId="36" customBuiltin="1"/>
    <cellStyle name="60% - Accent2 2" xfId="183" xr:uid="{C36BDC48-DDDB-44C7-9E4B-3FEFC6C7EE83}"/>
    <cellStyle name="60% - Accent2 3" xfId="259" xr:uid="{1FE7452F-6B7B-4BB2-8685-1812FF4DC364}"/>
    <cellStyle name="60% - Accent3" xfId="128" builtinId="40" customBuiltin="1"/>
    <cellStyle name="60% - Accent3 2" xfId="186" xr:uid="{129DABD0-E58B-4402-90C0-1CDA297E49E8}"/>
    <cellStyle name="60% - Accent3 3" xfId="262" xr:uid="{08802A62-7D09-45F3-ADFC-7526242635C2}"/>
    <cellStyle name="60% - Accent4" xfId="132" builtinId="44" customBuiltin="1"/>
    <cellStyle name="60% - Accent4 2" xfId="189" xr:uid="{4DF1C865-0303-4E8E-8163-9614765FC054}"/>
    <cellStyle name="60% - Accent4 3" xfId="265" xr:uid="{68A38B11-F7FC-4586-93CC-9F039F4577DA}"/>
    <cellStyle name="60% - Accent5" xfId="136" builtinId="48" customBuiltin="1"/>
    <cellStyle name="60% - Accent5 2" xfId="192" xr:uid="{49CE04F7-7C67-4035-B478-D5A0BC67A4F9}"/>
    <cellStyle name="60% - Accent5 3" xfId="268" xr:uid="{B7B32AEA-8954-41E2-ACA2-AF1C9415F3A5}"/>
    <cellStyle name="60% - Accent6" xfId="140" builtinId="52" customBuiltin="1"/>
    <cellStyle name="60% - Accent6 2" xfId="195" xr:uid="{E49FFC8E-C988-475A-9C83-E9CFCB701DBF}"/>
    <cellStyle name="60% - Accent6 3" xfId="271" xr:uid="{CE0272C9-98EC-4F79-8EFD-9FFA00968D36}"/>
    <cellStyle name="60% no 1. izcēluma 2" xfId="223" xr:uid="{BACF85F9-4A7D-4C85-89B8-81505C9E67CC}"/>
    <cellStyle name="60% no 2. izcēluma 2" xfId="226" xr:uid="{E8127104-1405-4FB8-A7A8-A9AC3EFE9E68}"/>
    <cellStyle name="60% no 3. izcēluma 2" xfId="229" xr:uid="{DF56DC40-6B6E-4ECB-9EB0-25F22FE902E7}"/>
    <cellStyle name="60% no 4. izcēluma 2" xfId="232" xr:uid="{B21BC850-C4D2-4CC5-A843-4B748E0B26A3}"/>
    <cellStyle name="60% no 5. izcēluma 2" xfId="235" xr:uid="{93DD5956-1773-4ED8-803E-11AD19B3C5C4}"/>
    <cellStyle name="60% no 6. izcēluma 2" xfId="238" xr:uid="{521FF28F-DC94-43B6-BBAC-663C1ED4DF4C}"/>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7" xr:uid="{A6C95BC1-19F2-4D14-8F05-F1BCAFFD66B6}"/>
    <cellStyle name="Comma 2 2" xfId="25" xr:uid="{00000000-0005-0000-0000-000020000000}"/>
    <cellStyle name="Comma 2 3" xfId="275" xr:uid="{F9D5D71F-661B-4307-A0AF-6B2ED6BF2B9D}"/>
    <cellStyle name="Comma 3" xfId="30" xr:uid="{00000000-0005-0000-0000-000021000000}"/>
    <cellStyle name="Comma 3 2" xfId="98" xr:uid="{00000000-0005-0000-0000-000022000000}"/>
    <cellStyle name="Comma 3 3" xfId="12" xr:uid="{00000000-0005-0000-0000-000023000000}"/>
    <cellStyle name="Comma 4" xfId="249" xr:uid="{AC4A0D79-086A-4C7A-AFC2-E1C60832C341}"/>
    <cellStyle name="Comma 4 2" xfId="11" xr:uid="{00000000-0005-0000-0000-000024000000}"/>
    <cellStyle name="Comma 5" xfId="8" xr:uid="{00000000-0005-0000-0000-000025000000}"/>
    <cellStyle name="Comma 6" xfId="251" xr:uid="{20C29D04-42EB-4FAE-971A-CDD78EB55D47}"/>
    <cellStyle name="Comma 6 2" xfId="15" xr:uid="{00000000-0005-0000-0000-000026000000}"/>
    <cellStyle name="Comma 7" xfId="273" xr:uid="{5DB96E3C-C4BF-462A-82BC-319C1315BCE8}"/>
    <cellStyle name="Currency 2" xfId="214" xr:uid="{A0439C78-5394-45FD-B783-E1E5BD692DBF}"/>
    <cellStyle name="Datums" xfId="209"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7" xr:uid="{A0498B9A-D992-4E78-BF25-546CAE2BE786}"/>
    <cellStyle name="Good" xfId="106" builtinId="26" customBuiltin="1"/>
    <cellStyle name="Heading 1" xfId="102" builtinId="16" customBuiltin="1"/>
    <cellStyle name="Heading 1 2" xfId="204" xr:uid="{E98B7448-A897-4EA1-9906-18A8FE0D192D}"/>
    <cellStyle name="Heading 2" xfId="103" builtinId="17" customBuiltin="1"/>
    <cellStyle name="Heading 2 2" xfId="208" xr:uid="{FF1DA6CD-3B3A-4E9F-90B0-39C524CC5C89}"/>
    <cellStyle name="Heading 3" xfId="104" builtinId="18" customBuiltin="1"/>
    <cellStyle name="Heading 3 2" xfId="211" xr:uid="{EC5204E5-D883-4752-94D0-7259464FE54C}"/>
    <cellStyle name="Heading 4" xfId="105" builtinId="19" customBuiltin="1"/>
    <cellStyle name="Heading 4 2" xfId="212" xr:uid="{5BE628C0-8046-4E7E-9D76-388CC31BADE7}"/>
    <cellStyle name="Hipersaite 2" xfId="41" xr:uid="{00000000-0005-0000-0000-00002C000000}"/>
    <cellStyle name="Hipersaite 3" xfId="91" xr:uid="{00000000-0005-0000-0000-00002D000000}"/>
    <cellStyle name="Hipersaite 4" xfId="197"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1"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3" xr:uid="{01923C97-C140-46F8-BB35-E6786FEC1363}"/>
    <cellStyle name="Labs 2" xfId="27" xr:uid="{00000000-0005-0000-0000-000056000000}"/>
    <cellStyle name="Linked Cell" xfId="112" builtinId="24" customBuiltin="1"/>
    <cellStyle name="Neitrāls 2" xfId="219" xr:uid="{E6A96BF4-61AC-4D2C-811D-29F06C7D1AE5}"/>
    <cellStyle name="Neutral" xfId="108" builtinId="28" customBuiltin="1"/>
    <cellStyle name="Neutral 2" xfId="176" xr:uid="{3B14C34B-77DA-4AF7-A04A-380F8ABDA04A}"/>
    <cellStyle name="Normal" xfId="0" builtinId="0"/>
    <cellStyle name="Normal 10" xfId="18" xr:uid="{00000000-0005-0000-0000-000058000000}"/>
    <cellStyle name="Normal 11" xfId="245" xr:uid="{5575246C-A952-4A15-BADA-9F19CD9E65C6}"/>
    <cellStyle name="Normal 12" xfId="248" xr:uid="{1D4F9D85-0A78-43F9-9239-E886866C899F}"/>
    <cellStyle name="Normal 13" xfId="250" xr:uid="{70DA57D8-BE06-4782-A262-EFEB9F93E445}"/>
    <cellStyle name="Normal 14" xfId="252" xr:uid="{665D8E63-7A1E-4286-B974-6D3B17E8B04A}"/>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2 5" xfId="274" xr:uid="{700C907F-C361-4212-BDF9-43011535042A}"/>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199" xr:uid="{7941E8FE-1001-4537-B72B-74FF7E985732}"/>
    <cellStyle name="Normal 4 3 2 2" xfId="241" xr:uid="{07A6D629-704A-4AD3-960C-E38FF4D2C387}"/>
    <cellStyle name="Normal 4 3 3" xfId="203" xr:uid="{1EEB7F85-9DF1-4FF9-BB7F-7A0A3BDFEC8F}"/>
    <cellStyle name="Normal 4 3 4" xfId="240" xr:uid="{23EF9E90-9BAF-472E-B63C-4831EE5CD3B5}"/>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6" xr:uid="{B39A0216-0C63-4619-93B3-621879552DDB}"/>
    <cellStyle name="Normal 8" xfId="206" xr:uid="{06CF81E4-4CEE-4FB3-98A1-BFD93CCD82A7}"/>
    <cellStyle name="Normal 9" xfId="243" xr:uid="{E2B71D29-652D-40F2-B8AC-0C8EC8E6795B}"/>
    <cellStyle name="Note 2" xfId="177" xr:uid="{AA97006D-4E69-4CC6-8481-354EBBA19CC9}"/>
    <cellStyle name="Note 3" xfId="215" xr:uid="{C0D84A79-D75B-4349-B990-6E2C649B60A1}"/>
    <cellStyle name="Note 4" xfId="253" xr:uid="{AF2C6C55-2CA7-4924-A4AC-240F6A75F76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2 2 2 2" xfId="246" xr:uid="{AC96DA57-6BDC-46BB-80C2-D97C9371E98E}"/>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3" xfId="86" xr:uid="{00000000-0005-0000-0000-000085000000}"/>
    <cellStyle name="Parasts 2 4" xfId="170" xr:uid="{00000000-0005-0000-0000-000086000000}"/>
    <cellStyle name="Parasts 2 5" xfId="272" xr:uid="{864894B5-703B-41B0-A3F8-C8987EA1DFC8}"/>
    <cellStyle name="Parasts 20" xfId="166" xr:uid="{00000000-0005-0000-0000-000087000000}"/>
    <cellStyle name="Parasts 20 2" xfId="198" xr:uid="{75C7A2B3-6BCE-4112-A10A-55E82BAF20CE}"/>
    <cellStyle name="Parasts 20 3" xfId="202" xr:uid="{9577B0DB-EFB8-4226-AE75-FBD61AB104D3}"/>
    <cellStyle name="Parasts 20 4" xfId="239" xr:uid="{96EF8392-9C93-4913-B028-411468475788}"/>
    <cellStyle name="Parasts 21" xfId="172" xr:uid="{00000000-0005-0000-0000-000088000000}"/>
    <cellStyle name="Parasts 22" xfId="196" xr:uid="{838BED57-F8F7-4C64-A2D0-8B3E18F8B431}"/>
    <cellStyle name="Parasts 23" xfId="200" xr:uid="{A9EB4556-2728-4537-8824-E4B437D8C3EC}"/>
    <cellStyle name="Parasts 24" xfId="218" xr:uid="{B555F44A-3B4B-4C67-8753-6B33B9A32A6D}"/>
    <cellStyle name="Parasts 24 2" xfId="244" xr:uid="{C7F7D1DA-786D-40A6-8C6D-C94B002410C9}"/>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4 2" xfId="247" xr:uid="{AF31DD25-E13D-4B36-B8CB-BC7F8C6466B8}"/>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iezīme 4" xfId="220" xr:uid="{31E00C30-DE24-4229-8B20-70128355722C}"/>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0" xr:uid="{B8C2BBA4-491B-4C8E-967C-8909EA0A9A6D}"/>
    <cellStyle name="Title" xfId="101" builtinId="15" customBuiltin="1"/>
    <cellStyle name="Title 2" xfId="205" xr:uid="{F7EDA3B8-B2E2-476D-9C0C-F20AEF5341CE}"/>
    <cellStyle name="Total" xfId="116" builtinId="25" customBuiltin="1"/>
    <cellStyle name="Valūta 2" xfId="21" xr:uid="{00000000-0005-0000-0000-0000AC000000}"/>
    <cellStyle name="Valūta 3" xfId="79" xr:uid="{00000000-0005-0000-0000-0000AD000000}"/>
    <cellStyle name="Valūta 4" xfId="242" xr:uid="{E97C5B63-0097-415C-A38C-0E0328028B59}"/>
    <cellStyle name="Virsraksts 2 2" xfId="85" xr:uid="{00000000-0005-0000-0000-0000B0000000}"/>
    <cellStyle name="Warning Text" xfId="114" builtinId="11" customBuiltin="1"/>
  </cellStyles>
  <dxfs count="14">
    <dxf>
      <font>
        <color theme="0"/>
      </font>
    </dxf>
    <dxf>
      <font>
        <color theme="0"/>
      </font>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13"/>
      <tableStyleElement type="headerRow" dxfId="12"/>
      <tableStyleElement type="totalRow" dxfId="11"/>
      <tableStyleElement type="lastColumn" dxfId="10"/>
      <tableStyleElement type="lastTotalCell" dxfId="9"/>
    </tableStyle>
  </tableStyles>
  <colors>
    <mruColors>
      <color rgb="FFFFFF99"/>
      <color rgb="FFFFFFCC"/>
      <color rgb="FF8E267F"/>
      <color rgb="FFFF8B8B"/>
      <color rgb="FF6CA644"/>
      <color rgb="FFFFCC66"/>
      <color rgb="FF0FA8C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24168085369041"/>
          <c:y val="1.677304637483180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2024.g. 3 ceturkšņi</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E-44CF-BB37-ECA97D4B58CE}"/>
              </c:ext>
            </c:extLst>
          </c:dPt>
          <c:dPt>
            <c:idx val="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58B-4CEC-8F82-F1B409F87F58}"/>
              </c:ext>
            </c:extLst>
          </c:dPt>
          <c:dPt>
            <c:idx val="3"/>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58B-4CEC-8F82-F1B409F87F58}"/>
              </c:ext>
            </c:extLst>
          </c:dPt>
          <c:dPt>
            <c:idx val="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E58B-4CEC-8F82-F1B409F87F58}"/>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58B-4CEC-8F82-F1B409F87F58}"/>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E58B-4CEC-8F82-F1B409F87F58}"/>
              </c:ext>
            </c:extLst>
          </c:dPt>
          <c:dPt>
            <c:idx val="1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295-4FC9-9B8A-67C7A571446E}"/>
              </c:ext>
            </c:extLst>
          </c:dPt>
          <c:dPt>
            <c:idx val="15"/>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295-4FC9-9B8A-67C7A571446E}"/>
              </c:ext>
            </c:extLst>
          </c:dPt>
          <c:dPt>
            <c:idx val="16"/>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295-4FC9-9B8A-67C7A571446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Grafiki_budžeta_izpilde!$A$6:$A$22</c:f>
              <c:strCache>
                <c:ptCount val="17"/>
                <c:pt idx="0">
                  <c:v>IEŅĒMUMI kopā</c:v>
                </c:pt>
                <c:pt idx="1">
                  <c:v>1. Nodokļu ieņēmumi</c:v>
                </c:pt>
                <c:pt idx="2">
                  <c:v>1.1. Iedzīvotāju ienākuma nodoklis</c:v>
                </c:pt>
                <c:pt idx="3">
                  <c:v>1.2. Nekustamā īpašuma nodokļu ieņēmumi</c:v>
                </c:pt>
                <c:pt idx="4">
                  <c:v>1.3. Dabas resursu nodoklis</c:v>
                </c:pt>
                <c:pt idx="5">
                  <c:v>2. Valsts (pašvaldību) un kancelejas nodevas</c:v>
                </c:pt>
                <c:pt idx="6">
                  <c:v>3. Naudas sodi un sankcijas</c:v>
                </c:pt>
                <c:pt idx="7">
                  <c:v>4. Pārējie nenodokļu ieņēmumi</c:v>
                </c:pt>
                <c:pt idx="8">
                  <c:v>5. Ieņēmumi no pašvaldības īpašuma pārdošanas</c:v>
                </c:pt>
                <c:pt idx="9">
                  <c:v>6. Valsts budžeta transferti un projektu finansējums</c:v>
                </c:pt>
                <c:pt idx="10">
                  <c:v>6.1. Valsts budžeta transferti</c:v>
                </c:pt>
                <c:pt idx="11">
                  <c:v>6.2. ES struktūrfondu līdzekļi un aktivitāšu līdzfin.</c:v>
                </c:pt>
                <c:pt idx="12">
                  <c:v>7. Pašvaldību budžeta transferti</c:v>
                </c:pt>
                <c:pt idx="13">
                  <c:v>8. Budžeta iestāžu ieņēmumi</c:v>
                </c:pt>
                <c:pt idx="14">
                  <c:v>8.1. Maksa par izglītības pakalpojumiem u.c. ieņēmumi</c:v>
                </c:pt>
                <c:pt idx="15">
                  <c:v>8.2. Ieņēmumi par nomu un īri</c:v>
                </c:pt>
                <c:pt idx="16">
                  <c:v>8.3. CKS ieņēmumi no dzīvokļu un komunālajiem pakalpojumiem</c:v>
                </c:pt>
              </c:strCache>
            </c:strRef>
          </c:cat>
          <c:val>
            <c:numRef>
              <c:f>Grafiki_budžeta_izpilde!$D$6:$D$22</c:f>
              <c:numCache>
                <c:formatCode>0%</c:formatCode>
                <c:ptCount val="17"/>
                <c:pt idx="0">
                  <c:v>0.75430032301191541</c:v>
                </c:pt>
                <c:pt idx="1">
                  <c:v>0.77544942178694909</c:v>
                </c:pt>
                <c:pt idx="2">
                  <c:v>0.76172835633199532</c:v>
                </c:pt>
                <c:pt idx="3">
                  <c:v>0.92686818889383715</c:v>
                </c:pt>
                <c:pt idx="4">
                  <c:v>0.83089857142857149</c:v>
                </c:pt>
                <c:pt idx="5">
                  <c:v>0.83159508982035935</c:v>
                </c:pt>
                <c:pt idx="6">
                  <c:v>1.0182550666666668</c:v>
                </c:pt>
                <c:pt idx="7">
                  <c:v>1.0941705124790158</c:v>
                </c:pt>
                <c:pt idx="8">
                  <c:v>1.5092092095476368</c:v>
                </c:pt>
                <c:pt idx="9">
                  <c:v>0.7018201740395319</c:v>
                </c:pt>
                <c:pt idx="10">
                  <c:v>0.72145663218181832</c:v>
                </c:pt>
                <c:pt idx="11">
                  <c:v>0.55714340641160753</c:v>
                </c:pt>
                <c:pt idx="12">
                  <c:v>0.6538580266666667</c:v>
                </c:pt>
                <c:pt idx="13">
                  <c:v>0.63187119537543324</c:v>
                </c:pt>
                <c:pt idx="14">
                  <c:v>0.60558116155118535</c:v>
                </c:pt>
                <c:pt idx="15">
                  <c:v>0.78983299206092616</c:v>
                </c:pt>
                <c:pt idx="16">
                  <c:v>0.61764901867068844</c:v>
                </c:pt>
              </c:numCache>
            </c:numRef>
          </c:val>
          <c:extLst>
            <c:ext xmlns:c16="http://schemas.microsoft.com/office/drawing/2014/chart" uri="{C3380CC4-5D6E-409C-BE32-E72D297353CC}">
              <c16:uniqueId val="{0000000C-80BE-44CF-BB37-ECA97D4B58CE}"/>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Grafiki_budžeta_izpilde!$D$53</c:f>
              <c:strCache>
                <c:ptCount val="1"/>
                <c:pt idx="0">
                  <c:v>Izdevumu izpilde, %, 2024.g. 3 ceturkšņi</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72-4793-95F1-0F2B152A96E2}"/>
              </c:ext>
            </c:extLst>
          </c:dPt>
          <c:dPt>
            <c:idx val="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A-96FB-4AF0-9D0D-BC9C21817BA5}"/>
              </c:ext>
            </c:extLst>
          </c:dPt>
          <c:dPt>
            <c:idx val="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96FB-4AF0-9D0D-BC9C21817BA5}"/>
              </c:ext>
            </c:extLst>
          </c:dPt>
          <c:dPt>
            <c:idx val="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C-96FB-4AF0-9D0D-BC9C21817BA5}"/>
              </c:ext>
            </c:extLst>
          </c:dPt>
          <c:dPt>
            <c:idx val="1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0-96FB-4AF0-9D0D-BC9C21817BA5}"/>
              </c:ext>
            </c:extLst>
          </c:dPt>
          <c:dPt>
            <c:idx val="1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34CF-47C1-8114-75E3D14E44BB}"/>
              </c:ext>
            </c:extLst>
          </c:dPt>
          <c:dPt>
            <c:idx val="1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34CF-47C1-8114-75E3D14E44BB}"/>
              </c:ext>
            </c:extLst>
          </c:dPt>
          <c:dPt>
            <c:idx val="1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1C7-4C8C-9093-0D1697AC3B96}"/>
              </c:ext>
            </c:extLst>
          </c:dPt>
          <c:dPt>
            <c:idx val="1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0032-4F42-BAE8-9E7DBA7C367A}"/>
              </c:ext>
            </c:extLst>
          </c:dPt>
          <c:dPt>
            <c:idx val="1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032-4F42-BAE8-9E7DBA7C367A}"/>
              </c:ext>
            </c:extLst>
          </c:dPt>
          <c:dPt>
            <c:idx val="19"/>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0032-4F42-BAE8-9E7DBA7C367A}"/>
              </c:ext>
            </c:extLst>
          </c:dPt>
          <c:dPt>
            <c:idx val="2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032-4F42-BAE8-9E7DBA7C367A}"/>
              </c:ext>
            </c:extLst>
          </c:dPt>
          <c:dPt>
            <c:idx val="2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0032-4F42-BAE8-9E7DBA7C367A}"/>
              </c:ext>
            </c:extLst>
          </c:dPt>
          <c:dPt>
            <c:idx val="2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1C50-496A-AC12-B5A391D1F2A9}"/>
              </c:ext>
            </c:extLst>
          </c:dPt>
          <c:dPt>
            <c:idx val="2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1C50-496A-AC12-B5A391D1F2A9}"/>
              </c:ext>
            </c:extLst>
          </c:dPt>
          <c:dPt>
            <c:idx val="2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1C50-496A-AC12-B5A391D1F2A9}"/>
              </c:ext>
            </c:extLst>
          </c:dPt>
          <c:dPt>
            <c:idx val="25"/>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34CF-47C1-8114-75E3D14E44BB}"/>
              </c:ext>
            </c:extLst>
          </c:dPt>
          <c:dPt>
            <c:idx val="26"/>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34CF-47C1-8114-75E3D14E44BB}"/>
              </c:ext>
            </c:extLst>
          </c:dPt>
          <c:dPt>
            <c:idx val="2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34CF-47C1-8114-75E3D14E44BB}"/>
              </c:ext>
            </c:extLst>
          </c:dPt>
          <c:dPt>
            <c:idx val="2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34CF-47C1-8114-75E3D14E44BB}"/>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Grafiki_budžeta_izpilde!$A$54:$A$83</c:f>
              <c:strCache>
                <c:ptCount val="30"/>
                <c:pt idx="0">
                  <c:v>IZDEVUMI kopā</c:v>
                </c:pt>
                <c:pt idx="1">
                  <c:v>1. Vispārējie valdības dienesti</c:v>
                </c:pt>
                <c:pt idx="2">
                  <c:v>1.1. Pārvalde, deputāti, komisijas</c:v>
                </c:pt>
                <c:pt idx="3">
                  <c:v>1.2. Aizņēmumu procentu maksājumi</c:v>
                </c:pt>
                <c:pt idx="4">
                  <c:v>1.3. Iemaksas PFIF</c:v>
                </c:pt>
                <c:pt idx="5">
                  <c:v>2. Sabiedriskā kārtība un drošība (bāze)</c:v>
                </c:pt>
                <c:pt idx="6">
                  <c:v>3. Sabiedriskās attiecības, laikraksts</c:v>
                </c:pt>
                <c:pt idx="7">
                  <c:v>4. Autoceļu fonds</c:v>
                </c:pt>
                <c:pt idx="8">
                  <c:v>5. Vides aizsardzība (DRN izlietojums)</c:v>
                </c:pt>
                <c:pt idx="9">
                  <c:v>6. Pašv. teritoriju un mājokļu apsaimniekošana</c:v>
                </c:pt>
                <c:pt idx="10">
                  <c:v>6.1. APN, NĪN, TPN, Būvvalde</c:v>
                </c:pt>
                <c:pt idx="11">
                  <c:v>6.2. CKS komunālie pakalpojumi</c:v>
                </c:pt>
                <c:pt idx="12">
                  <c:v>6.3. Teritorijas uzturēšana</c:v>
                </c:pt>
                <c:pt idx="13">
                  <c:v>6.4. Projekti</c:v>
                </c:pt>
                <c:pt idx="14">
                  <c:v>7. Atpūta, kultūra un reliģija</c:v>
                </c:pt>
                <c:pt idx="15">
                  <c:v>8. Sociālā aizsardzība</c:v>
                </c:pt>
                <c:pt idx="16">
                  <c:v>9. Izglītība</c:v>
                </c:pt>
                <c:pt idx="17">
                  <c:v>9.1. Norēķini ar pašvaldībām par izglītības iestāžu pakalp.</c:v>
                </c:pt>
                <c:pt idx="18">
                  <c:v>9.2. Ādažu PII "Strautiņš"</c:v>
                </c:pt>
                <c:pt idx="19">
                  <c:v>9.3. Kadagas PII "Mežavēji"</c:v>
                </c:pt>
                <c:pt idx="20">
                  <c:v>9.4. Carnikavas PII "Riekstiņš"</c:v>
                </c:pt>
                <c:pt idx="21">
                  <c:v>9.5. Siguļu PII "Piejūra"</c:v>
                </c:pt>
                <c:pt idx="22">
                  <c:v>9.6. Privātās izglītības iestādes</c:v>
                </c:pt>
                <c:pt idx="23">
                  <c:v>9.7. Carnikavas pamatskola</c:v>
                </c:pt>
                <c:pt idx="24">
                  <c:v>9.8. Ādažu vidusskola</c:v>
                </c:pt>
                <c:pt idx="25">
                  <c:v>9.9. Ādažu novada  Mākslu skola</c:v>
                </c:pt>
                <c:pt idx="26">
                  <c:v>9.10. Sporta skola</c:v>
                </c:pt>
                <c:pt idx="27">
                  <c:v>9.11. Izglītības un jauniešu lietu pārvalde </c:v>
                </c:pt>
                <c:pt idx="28">
                  <c:v>9.12. Projekti</c:v>
                </c:pt>
                <c:pt idx="29">
                  <c:v>10. Kredītu pamatsummas atmaksa</c:v>
                </c:pt>
              </c:strCache>
            </c:strRef>
          </c:cat>
          <c:val>
            <c:numRef>
              <c:f>Grafiki_budžeta_izpilde!$D$54:$D$83</c:f>
              <c:numCache>
                <c:formatCode>0%</c:formatCode>
                <c:ptCount val="30"/>
                <c:pt idx="0">
                  <c:v>0.62859982529909098</c:v>
                </c:pt>
                <c:pt idx="1">
                  <c:v>0.71811973681800345</c:v>
                </c:pt>
                <c:pt idx="2">
                  <c:v>0.59798942495784801</c:v>
                </c:pt>
                <c:pt idx="3">
                  <c:v>0.7523574977263322</c:v>
                </c:pt>
                <c:pt idx="4">
                  <c:v>0.76215666817889993</c:v>
                </c:pt>
                <c:pt idx="5">
                  <c:v>0.6404873024886687</c:v>
                </c:pt>
                <c:pt idx="6">
                  <c:v>0.6561985908751935</c:v>
                </c:pt>
                <c:pt idx="7">
                  <c:v>0.75386037434230202</c:v>
                </c:pt>
                <c:pt idx="8">
                  <c:v>3.107938503743499E-2</c:v>
                </c:pt>
                <c:pt idx="9">
                  <c:v>0.58802620341868839</c:v>
                </c:pt>
                <c:pt idx="10">
                  <c:v>0.68496313964137168</c:v>
                </c:pt>
                <c:pt idx="11">
                  <c:v>0.68763377226837741</c:v>
                </c:pt>
                <c:pt idx="12">
                  <c:v>0.63789183825852647</c:v>
                </c:pt>
                <c:pt idx="13">
                  <c:v>0.47151780103012103</c:v>
                </c:pt>
                <c:pt idx="14">
                  <c:v>0.68997632822561239</c:v>
                </c:pt>
                <c:pt idx="15">
                  <c:v>0.52591029935692479</c:v>
                </c:pt>
                <c:pt idx="16">
                  <c:v>0.60428681587474053</c:v>
                </c:pt>
                <c:pt idx="17">
                  <c:v>0.67351243333333322</c:v>
                </c:pt>
                <c:pt idx="18">
                  <c:v>0.61101734330222091</c:v>
                </c:pt>
                <c:pt idx="19">
                  <c:v>0.57542587994609018</c:v>
                </c:pt>
                <c:pt idx="20">
                  <c:v>0.63486922647467592</c:v>
                </c:pt>
                <c:pt idx="21">
                  <c:v>0.61309100015618179</c:v>
                </c:pt>
                <c:pt idx="22">
                  <c:v>0.7253902416825132</c:v>
                </c:pt>
                <c:pt idx="23">
                  <c:v>0.64303159367414442</c:v>
                </c:pt>
                <c:pt idx="24">
                  <c:v>0.56415247822639103</c:v>
                </c:pt>
                <c:pt idx="25">
                  <c:v>0.65126182030224988</c:v>
                </c:pt>
                <c:pt idx="26">
                  <c:v>0.57824965754344504</c:v>
                </c:pt>
                <c:pt idx="27">
                  <c:v>0.67778750018138811</c:v>
                </c:pt>
                <c:pt idx="28">
                  <c:v>0.20790630224428797</c:v>
                </c:pt>
                <c:pt idx="29">
                  <c:v>0.76365996864266028</c:v>
                </c:pt>
              </c:numCache>
            </c:numRef>
          </c:val>
          <c:extLst>
            <c:ext xmlns:c16="http://schemas.microsoft.com/office/drawing/2014/chart" uri="{C3380CC4-5D6E-409C-BE32-E72D297353CC}">
              <c16:uniqueId val="{00000002-B172-4793-95F1-0F2B152A96E2}"/>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60004</xdr:colOff>
      <xdr:row>3</xdr:row>
      <xdr:rowOff>137158</xdr:rowOff>
    </xdr:from>
    <xdr:to>
      <xdr:col>18</xdr:col>
      <xdr:colOff>66674</xdr:colOff>
      <xdr:row>27</xdr:row>
      <xdr:rowOff>49529</xdr:rowOff>
    </xdr:to>
    <xdr:graphicFrame macro="">
      <xdr:nvGraphicFramePr>
        <xdr:cNvPr id="2" name="Diagramma 9">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430108</xdr:colOff>
      <xdr:row>4</xdr:row>
      <xdr:rowOff>177165</xdr:rowOff>
    </xdr:from>
    <xdr:to>
      <xdr:col>15</xdr:col>
      <xdr:colOff>464396</xdr:colOff>
      <xdr:row>4</xdr:row>
      <xdr:rowOff>434340</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2854941" y="854498"/>
          <a:ext cx="584622" cy="2571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75%</a:t>
          </a:r>
        </a:p>
        <a:p>
          <a:pPr algn="ctr"/>
          <a:endParaRPr lang="lv-LV" sz="1100"/>
        </a:p>
      </xdr:txBody>
    </xdr:sp>
    <xdr:clientData/>
  </xdr:twoCellAnchor>
  <xdr:twoCellAnchor>
    <xdr:from>
      <xdr:col>4</xdr:col>
      <xdr:colOff>415077</xdr:colOff>
      <xdr:row>52</xdr:row>
      <xdr:rowOff>7197</xdr:rowOff>
    </xdr:from>
    <xdr:to>
      <xdr:col>18</xdr:col>
      <xdr:colOff>260350</xdr:colOff>
      <xdr:row>88</xdr:row>
      <xdr:rowOff>149858</xdr:rowOff>
    </xdr:to>
    <xdr:graphicFrame macro="">
      <xdr:nvGraphicFramePr>
        <xdr:cNvPr id="4" name="Diagramma 2">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0.80794</cdr:x>
      <cdr:y>0.15668</cdr:y>
    </cdr:from>
    <cdr:to>
      <cdr:x>0.80794</cdr:x>
      <cdr:y>0.9456</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7035618" y="711797"/>
          <a:ext cx="0" cy="3584065"/>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0.80679</cdr:x>
      <cdr:y>0.14145</cdr:y>
    </cdr:from>
    <cdr:to>
      <cdr:x>0.80679</cdr:x>
      <cdr:y>0.97312</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6893850" y="865734"/>
          <a:ext cx="0" cy="5090103"/>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0.76755</cdr:x>
      <cdr:y>0.04512</cdr:y>
    </cdr:from>
    <cdr:to>
      <cdr:x>0.84001</cdr:x>
      <cdr:y>0.08535</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6558553" y="276147"/>
          <a:ext cx="619155" cy="246222"/>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75%</a:t>
          </a:r>
        </a:p>
        <a:p xmlns:a="http://schemas.openxmlformats.org/drawingml/2006/main">
          <a:pPr algn="ctr"/>
          <a:endParaRPr lang="lv-LV" sz="1100"/>
        </a:p>
      </cdr:txBody>
    </cdr:sp>
  </cdr:relSizeAnchor>
</c:userShape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10">
    <tabColor rgb="FF92D050"/>
  </sheetPr>
  <dimension ref="A1:AA302"/>
  <sheetViews>
    <sheetView zoomScaleNormal="100" zoomScaleSheetLayoutView="80" workbookViewId="0">
      <pane xSplit="4" ySplit="5" topLeftCell="R204" activePane="bottomRight" state="frozen"/>
      <selection activeCell="C1" sqref="C1"/>
      <selection pane="topRight" activeCell="E1" sqref="E1"/>
      <selection pane="bottomLeft" activeCell="C6" sqref="C6"/>
      <selection pane="bottomRight" activeCell="Z38" sqref="Z38"/>
    </sheetView>
  </sheetViews>
  <sheetFormatPr defaultRowHeight="15" outlineLevelRow="1" outlineLevelCol="2" x14ac:dyDescent="0.25"/>
  <cols>
    <col min="1" max="1" width="7.85546875" style="2" hidden="1" customWidth="1" outlineLevel="2"/>
    <col min="2" max="2" width="11.42578125" style="2" hidden="1" customWidth="1" outlineLevel="2"/>
    <col min="3" max="3" width="15" style="4" customWidth="1" collapsed="1"/>
    <col min="4" max="4" width="44" style="3" customWidth="1"/>
    <col min="5" max="5" width="14.85546875" style="94" customWidth="1"/>
    <col min="6" max="6" width="14.85546875" style="99" customWidth="1" collapsed="1"/>
    <col min="7" max="7" width="14.85546875" style="2" hidden="1" customWidth="1" outlineLevel="1"/>
    <col min="8" max="8" width="54" style="362" hidden="1" customWidth="1" outlineLevel="1" collapsed="1"/>
    <col min="9" max="9" width="14.85546875" style="2" customWidth="1" collapsed="1"/>
    <col min="10" max="10" width="14.85546875" style="2" hidden="1" customWidth="1" outlineLevel="1"/>
    <col min="11" max="11" width="56.42578125" style="1" hidden="1" customWidth="1" outlineLevel="1" collapsed="1"/>
    <col min="12" max="12" width="14.85546875" style="2" customWidth="1" collapsed="1"/>
    <col min="13" max="13" width="14.85546875" style="2" hidden="1" customWidth="1" outlineLevel="1"/>
    <col min="14" max="14" width="64.85546875" style="1" hidden="1" customWidth="1" outlineLevel="1" collapsed="1"/>
    <col min="15" max="15" width="14.85546875" style="2" customWidth="1" collapsed="1"/>
    <col min="16" max="16" width="14.85546875" style="2" hidden="1" customWidth="1" outlineLevel="1"/>
    <col min="17" max="17" width="56.42578125" style="1" hidden="1" customWidth="1" outlineLevel="1" collapsed="1"/>
    <col min="18" max="18" width="14.85546875" style="2" customWidth="1" collapsed="1"/>
    <col min="19" max="19" width="14.85546875" style="2" hidden="1" customWidth="1" outlineLevel="1"/>
    <col min="20" max="20" width="68.85546875" style="1" hidden="1" customWidth="1" outlineLevel="1" collapsed="1"/>
    <col min="21" max="21" width="14.85546875" style="2" customWidth="1" collapsed="1"/>
    <col min="22" max="22" width="14.85546875" style="2" customWidth="1"/>
    <col min="23" max="23" width="68.85546875" style="1" hidden="1" customWidth="1" outlineLevel="1" collapsed="1"/>
    <col min="24" max="24" width="14.85546875" style="17" customWidth="1" collapsed="1"/>
    <col min="25" max="25" width="14.85546875" style="222" customWidth="1" collapsed="1"/>
    <col min="26" max="26" width="57.42578125" style="116" customWidth="1" collapsed="1"/>
    <col min="27" max="192" width="9" style="2"/>
    <col min="193" max="194" width="0" style="2" hidden="1" customWidth="1"/>
    <col min="195" max="195" width="13.7109375" style="2" customWidth="1"/>
    <col min="196" max="196" width="52.85546875" style="2" customWidth="1"/>
    <col min="197" max="236" width="0" style="2" hidden="1" customWidth="1"/>
    <col min="237" max="238" width="14.85546875" style="2" customWidth="1"/>
    <col min="239" max="240" width="0" style="2" hidden="1" customWidth="1"/>
    <col min="241" max="241" width="14.85546875" style="2" customWidth="1"/>
    <col min="242" max="243" width="0" style="2" hidden="1" customWidth="1"/>
    <col min="244" max="244" width="14.85546875" style="2" customWidth="1"/>
    <col min="245" max="246" width="0" style="2" hidden="1" customWidth="1"/>
    <col min="247" max="247" width="14.85546875" style="2" customWidth="1"/>
    <col min="248" max="249" width="0" style="2" hidden="1" customWidth="1"/>
    <col min="250" max="250" width="14.85546875" style="2" customWidth="1"/>
    <col min="251" max="252" width="0" style="2" hidden="1" customWidth="1"/>
    <col min="253" max="254" width="14.85546875" style="2" customWidth="1"/>
    <col min="255" max="255" width="44.42578125" style="2" customWidth="1"/>
    <col min="256" max="260" width="14.85546875" style="2" customWidth="1"/>
    <col min="261" max="261" width="63.85546875" style="2" customWidth="1"/>
    <col min="262" max="262" width="13.28515625" style="2" customWidth="1"/>
    <col min="263" max="448" width="9" style="2"/>
    <col min="449" max="450" width="0" style="2" hidden="1" customWidth="1"/>
    <col min="451" max="451" width="13.7109375" style="2" customWidth="1"/>
    <col min="452" max="452" width="52.85546875" style="2" customWidth="1"/>
    <col min="453" max="492" width="0" style="2" hidden="1" customWidth="1"/>
    <col min="493" max="494" width="14.85546875" style="2" customWidth="1"/>
    <col min="495" max="496" width="0" style="2" hidden="1" customWidth="1"/>
    <col min="497" max="497" width="14.85546875" style="2" customWidth="1"/>
    <col min="498" max="499" width="0" style="2" hidden="1" customWidth="1"/>
    <col min="500" max="500" width="14.85546875" style="2" customWidth="1"/>
    <col min="501" max="502" width="0" style="2" hidden="1" customWidth="1"/>
    <col min="503" max="503" width="14.85546875" style="2" customWidth="1"/>
    <col min="504" max="505" width="0" style="2" hidden="1" customWidth="1"/>
    <col min="506" max="506" width="14.85546875" style="2" customWidth="1"/>
    <col min="507" max="508" width="0" style="2" hidden="1" customWidth="1"/>
    <col min="509" max="510" width="14.85546875" style="2" customWidth="1"/>
    <col min="511" max="511" width="44.42578125" style="2" customWidth="1"/>
    <col min="512" max="516" width="14.85546875" style="2" customWidth="1"/>
    <col min="517" max="517" width="63.85546875" style="2" customWidth="1"/>
    <col min="518" max="518" width="13.28515625" style="2" customWidth="1"/>
    <col min="519" max="704" width="9" style="2"/>
    <col min="705" max="706" width="0" style="2" hidden="1" customWidth="1"/>
    <col min="707" max="707" width="13.7109375" style="2" customWidth="1"/>
    <col min="708" max="708" width="52.85546875" style="2" customWidth="1"/>
    <col min="709" max="748" width="0" style="2" hidden="1" customWidth="1"/>
    <col min="749" max="750" width="14.85546875" style="2" customWidth="1"/>
    <col min="751" max="752" width="0" style="2" hidden="1" customWidth="1"/>
    <col min="753" max="753" width="14.85546875" style="2" customWidth="1"/>
    <col min="754" max="755" width="0" style="2" hidden="1" customWidth="1"/>
    <col min="756" max="756" width="14.85546875" style="2" customWidth="1"/>
    <col min="757" max="758" width="0" style="2" hidden="1" customWidth="1"/>
    <col min="759" max="759" width="14.85546875" style="2" customWidth="1"/>
    <col min="760" max="761" width="0" style="2" hidden="1" customWidth="1"/>
    <col min="762" max="762" width="14.85546875" style="2" customWidth="1"/>
    <col min="763" max="764" width="0" style="2" hidden="1" customWidth="1"/>
    <col min="765" max="766" width="14.85546875" style="2" customWidth="1"/>
    <col min="767" max="767" width="44.42578125" style="2" customWidth="1"/>
    <col min="768" max="772" width="14.85546875" style="2" customWidth="1"/>
    <col min="773" max="773" width="63.85546875" style="2" customWidth="1"/>
    <col min="774" max="774" width="13.28515625" style="2" customWidth="1"/>
    <col min="775" max="960" width="9" style="2"/>
    <col min="961" max="962" width="0" style="2" hidden="1" customWidth="1"/>
    <col min="963" max="963" width="13.7109375" style="2" customWidth="1"/>
    <col min="964" max="964" width="52.85546875" style="2" customWidth="1"/>
    <col min="965" max="1004" width="0" style="2" hidden="1" customWidth="1"/>
    <col min="1005" max="1006" width="14.85546875" style="2" customWidth="1"/>
    <col min="1007" max="1008" width="0" style="2" hidden="1" customWidth="1"/>
    <col min="1009" max="1009" width="14.85546875" style="2" customWidth="1"/>
    <col min="1010" max="1011" width="0" style="2" hidden="1" customWidth="1"/>
    <col min="1012" max="1012" width="14.85546875" style="2" customWidth="1"/>
    <col min="1013" max="1014" width="0" style="2" hidden="1" customWidth="1"/>
    <col min="1015" max="1015" width="14.85546875" style="2" customWidth="1"/>
    <col min="1016" max="1017" width="0" style="2" hidden="1" customWidth="1"/>
    <col min="1018" max="1018" width="14.85546875" style="2" customWidth="1"/>
    <col min="1019" max="1020" width="0" style="2" hidden="1" customWidth="1"/>
    <col min="1021" max="1022" width="14.85546875" style="2" customWidth="1"/>
    <col min="1023" max="1023" width="44.42578125" style="2" customWidth="1"/>
    <col min="1024" max="1028" width="14.85546875" style="2" customWidth="1"/>
    <col min="1029" max="1029" width="63.85546875" style="2" customWidth="1"/>
    <col min="1030" max="1030" width="13.28515625" style="2" customWidth="1"/>
    <col min="1031" max="1216" width="9" style="2"/>
    <col min="1217" max="1218" width="0" style="2" hidden="1" customWidth="1"/>
    <col min="1219" max="1219" width="13.7109375" style="2" customWidth="1"/>
    <col min="1220" max="1220" width="52.85546875" style="2" customWidth="1"/>
    <col min="1221" max="1260" width="0" style="2" hidden="1" customWidth="1"/>
    <col min="1261" max="1262" width="14.85546875" style="2" customWidth="1"/>
    <col min="1263" max="1264" width="0" style="2" hidden="1" customWidth="1"/>
    <col min="1265" max="1265" width="14.85546875" style="2" customWidth="1"/>
    <col min="1266" max="1267" width="0" style="2" hidden="1" customWidth="1"/>
    <col min="1268" max="1268" width="14.85546875" style="2" customWidth="1"/>
    <col min="1269" max="1270" width="0" style="2" hidden="1" customWidth="1"/>
    <col min="1271" max="1271" width="14.85546875" style="2" customWidth="1"/>
    <col min="1272" max="1273" width="0" style="2" hidden="1" customWidth="1"/>
    <col min="1274" max="1274" width="14.85546875" style="2" customWidth="1"/>
    <col min="1275" max="1276" width="0" style="2" hidden="1" customWidth="1"/>
    <col min="1277" max="1278" width="14.85546875" style="2" customWidth="1"/>
    <col min="1279" max="1279" width="44.42578125" style="2" customWidth="1"/>
    <col min="1280" max="1284" width="14.85546875" style="2" customWidth="1"/>
    <col min="1285" max="1285" width="63.85546875" style="2" customWidth="1"/>
    <col min="1286" max="1286" width="13.28515625" style="2" customWidth="1"/>
    <col min="1287" max="1472" width="9" style="2"/>
    <col min="1473" max="1474" width="0" style="2" hidden="1" customWidth="1"/>
    <col min="1475" max="1475" width="13.7109375" style="2" customWidth="1"/>
    <col min="1476" max="1476" width="52.85546875" style="2" customWidth="1"/>
    <col min="1477" max="1516" width="0" style="2" hidden="1" customWidth="1"/>
    <col min="1517" max="1518" width="14.85546875" style="2" customWidth="1"/>
    <col min="1519" max="1520" width="0" style="2" hidden="1" customWidth="1"/>
    <col min="1521" max="1521" width="14.85546875" style="2" customWidth="1"/>
    <col min="1522" max="1523" width="0" style="2" hidden="1" customWidth="1"/>
    <col min="1524" max="1524" width="14.85546875" style="2" customWidth="1"/>
    <col min="1525" max="1526" width="0" style="2" hidden="1" customWidth="1"/>
    <col min="1527" max="1527" width="14.85546875" style="2" customWidth="1"/>
    <col min="1528" max="1529" width="0" style="2" hidden="1" customWidth="1"/>
    <col min="1530" max="1530" width="14.85546875" style="2" customWidth="1"/>
    <col min="1531" max="1532" width="0" style="2" hidden="1" customWidth="1"/>
    <col min="1533" max="1534" width="14.85546875" style="2" customWidth="1"/>
    <col min="1535" max="1535" width="44.42578125" style="2" customWidth="1"/>
    <col min="1536" max="1540" width="14.85546875" style="2" customWidth="1"/>
    <col min="1541" max="1541" width="63.85546875" style="2" customWidth="1"/>
    <col min="1542" max="1542" width="13.28515625" style="2" customWidth="1"/>
    <col min="1543" max="1728" width="9" style="2"/>
    <col min="1729" max="1730" width="0" style="2" hidden="1" customWidth="1"/>
    <col min="1731" max="1731" width="13.7109375" style="2" customWidth="1"/>
    <col min="1732" max="1732" width="52.85546875" style="2" customWidth="1"/>
    <col min="1733" max="1772" width="0" style="2" hidden="1" customWidth="1"/>
    <col min="1773" max="1774" width="14.85546875" style="2" customWidth="1"/>
    <col min="1775" max="1776" width="0" style="2" hidden="1" customWidth="1"/>
    <col min="1777" max="1777" width="14.85546875" style="2" customWidth="1"/>
    <col min="1778" max="1779" width="0" style="2" hidden="1" customWidth="1"/>
    <col min="1780" max="1780" width="14.85546875" style="2" customWidth="1"/>
    <col min="1781" max="1782" width="0" style="2" hidden="1" customWidth="1"/>
    <col min="1783" max="1783" width="14.85546875" style="2" customWidth="1"/>
    <col min="1784" max="1785" width="0" style="2" hidden="1" customWidth="1"/>
    <col min="1786" max="1786" width="14.85546875" style="2" customWidth="1"/>
    <col min="1787" max="1788" width="0" style="2" hidden="1" customWidth="1"/>
    <col min="1789" max="1790" width="14.85546875" style="2" customWidth="1"/>
    <col min="1791" max="1791" width="44.42578125" style="2" customWidth="1"/>
    <col min="1792" max="1796" width="14.85546875" style="2" customWidth="1"/>
    <col min="1797" max="1797" width="63.85546875" style="2" customWidth="1"/>
    <col min="1798" max="1798" width="13.28515625" style="2" customWidth="1"/>
    <col min="1799" max="1984" width="9" style="2"/>
    <col min="1985" max="1986" width="0" style="2" hidden="1" customWidth="1"/>
    <col min="1987" max="1987" width="13.7109375" style="2" customWidth="1"/>
    <col min="1988" max="1988" width="52.85546875" style="2" customWidth="1"/>
    <col min="1989" max="2028" width="0" style="2" hidden="1" customWidth="1"/>
    <col min="2029" max="2030" width="14.85546875" style="2" customWidth="1"/>
    <col min="2031" max="2032" width="0" style="2" hidden="1" customWidth="1"/>
    <col min="2033" max="2033" width="14.85546875" style="2" customWidth="1"/>
    <col min="2034" max="2035" width="0" style="2" hidden="1" customWidth="1"/>
    <col min="2036" max="2036" width="14.85546875" style="2" customWidth="1"/>
    <col min="2037" max="2038" width="0" style="2" hidden="1" customWidth="1"/>
    <col min="2039" max="2039" width="14.85546875" style="2" customWidth="1"/>
    <col min="2040" max="2041" width="0" style="2" hidden="1" customWidth="1"/>
    <col min="2042" max="2042" width="14.85546875" style="2" customWidth="1"/>
    <col min="2043" max="2044" width="0" style="2" hidden="1" customWidth="1"/>
    <col min="2045" max="2046" width="14.85546875" style="2" customWidth="1"/>
    <col min="2047" max="2047" width="44.42578125" style="2" customWidth="1"/>
    <col min="2048" max="2052" width="14.85546875" style="2" customWidth="1"/>
    <col min="2053" max="2053" width="63.85546875" style="2" customWidth="1"/>
    <col min="2054" max="2054" width="13.28515625" style="2" customWidth="1"/>
    <col min="2055" max="2240" width="9" style="2"/>
    <col min="2241" max="2242" width="0" style="2" hidden="1" customWidth="1"/>
    <col min="2243" max="2243" width="13.7109375" style="2" customWidth="1"/>
    <col min="2244" max="2244" width="52.85546875" style="2" customWidth="1"/>
    <col min="2245" max="2284" width="0" style="2" hidden="1" customWidth="1"/>
    <col min="2285" max="2286" width="14.85546875" style="2" customWidth="1"/>
    <col min="2287" max="2288" width="0" style="2" hidden="1" customWidth="1"/>
    <col min="2289" max="2289" width="14.85546875" style="2" customWidth="1"/>
    <col min="2290" max="2291" width="0" style="2" hidden="1" customWidth="1"/>
    <col min="2292" max="2292" width="14.85546875" style="2" customWidth="1"/>
    <col min="2293" max="2294" width="0" style="2" hidden="1" customWidth="1"/>
    <col min="2295" max="2295" width="14.85546875" style="2" customWidth="1"/>
    <col min="2296" max="2297" width="0" style="2" hidden="1" customWidth="1"/>
    <col min="2298" max="2298" width="14.85546875" style="2" customWidth="1"/>
    <col min="2299" max="2300" width="0" style="2" hidden="1" customWidth="1"/>
    <col min="2301" max="2302" width="14.85546875" style="2" customWidth="1"/>
    <col min="2303" max="2303" width="44.42578125" style="2" customWidth="1"/>
    <col min="2304" max="2308" width="14.85546875" style="2" customWidth="1"/>
    <col min="2309" max="2309" width="63.85546875" style="2" customWidth="1"/>
    <col min="2310" max="2310" width="13.28515625" style="2" customWidth="1"/>
    <col min="2311" max="2496" width="9" style="2"/>
    <col min="2497" max="2498" width="0" style="2" hidden="1" customWidth="1"/>
    <col min="2499" max="2499" width="13.7109375" style="2" customWidth="1"/>
    <col min="2500" max="2500" width="52.85546875" style="2" customWidth="1"/>
    <col min="2501" max="2540" width="0" style="2" hidden="1" customWidth="1"/>
    <col min="2541" max="2542" width="14.85546875" style="2" customWidth="1"/>
    <col min="2543" max="2544" width="0" style="2" hidden="1" customWidth="1"/>
    <col min="2545" max="2545" width="14.85546875" style="2" customWidth="1"/>
    <col min="2546" max="2547" width="0" style="2" hidden="1" customWidth="1"/>
    <col min="2548" max="2548" width="14.85546875" style="2" customWidth="1"/>
    <col min="2549" max="2550" width="0" style="2" hidden="1" customWidth="1"/>
    <col min="2551" max="2551" width="14.85546875" style="2" customWidth="1"/>
    <col min="2552" max="2553" width="0" style="2" hidden="1" customWidth="1"/>
    <col min="2554" max="2554" width="14.85546875" style="2" customWidth="1"/>
    <col min="2555" max="2556" width="0" style="2" hidden="1" customWidth="1"/>
    <col min="2557" max="2558" width="14.85546875" style="2" customWidth="1"/>
    <col min="2559" max="2559" width="44.42578125" style="2" customWidth="1"/>
    <col min="2560" max="2564" width="14.85546875" style="2" customWidth="1"/>
    <col min="2565" max="2565" width="63.85546875" style="2" customWidth="1"/>
    <col min="2566" max="2566" width="13.28515625" style="2" customWidth="1"/>
    <col min="2567" max="2752" width="9" style="2"/>
    <col min="2753" max="2754" width="0" style="2" hidden="1" customWidth="1"/>
    <col min="2755" max="2755" width="13.7109375" style="2" customWidth="1"/>
    <col min="2756" max="2756" width="52.85546875" style="2" customWidth="1"/>
    <col min="2757" max="2796" width="0" style="2" hidden="1" customWidth="1"/>
    <col min="2797" max="2798" width="14.85546875" style="2" customWidth="1"/>
    <col min="2799" max="2800" width="0" style="2" hidden="1" customWidth="1"/>
    <col min="2801" max="2801" width="14.85546875" style="2" customWidth="1"/>
    <col min="2802" max="2803" width="0" style="2" hidden="1" customWidth="1"/>
    <col min="2804" max="2804" width="14.85546875" style="2" customWidth="1"/>
    <col min="2805" max="2806" width="0" style="2" hidden="1" customWidth="1"/>
    <col min="2807" max="2807" width="14.85546875" style="2" customWidth="1"/>
    <col min="2808" max="2809" width="0" style="2" hidden="1" customWidth="1"/>
    <col min="2810" max="2810" width="14.85546875" style="2" customWidth="1"/>
    <col min="2811" max="2812" width="0" style="2" hidden="1" customWidth="1"/>
    <col min="2813" max="2814" width="14.85546875" style="2" customWidth="1"/>
    <col min="2815" max="2815" width="44.42578125" style="2" customWidth="1"/>
    <col min="2816" max="2820" width="14.85546875" style="2" customWidth="1"/>
    <col min="2821" max="2821" width="63.85546875" style="2" customWidth="1"/>
    <col min="2822" max="2822" width="13.28515625" style="2" customWidth="1"/>
    <col min="2823" max="3008" width="9" style="2"/>
    <col min="3009" max="3010" width="0" style="2" hidden="1" customWidth="1"/>
    <col min="3011" max="3011" width="13.7109375" style="2" customWidth="1"/>
    <col min="3012" max="3012" width="52.85546875" style="2" customWidth="1"/>
    <col min="3013" max="3052" width="0" style="2" hidden="1" customWidth="1"/>
    <col min="3053" max="3054" width="14.85546875" style="2" customWidth="1"/>
    <col min="3055" max="3056" width="0" style="2" hidden="1" customWidth="1"/>
    <col min="3057" max="3057" width="14.85546875" style="2" customWidth="1"/>
    <col min="3058" max="3059" width="0" style="2" hidden="1" customWidth="1"/>
    <col min="3060" max="3060" width="14.85546875" style="2" customWidth="1"/>
    <col min="3061" max="3062" width="0" style="2" hidden="1" customWidth="1"/>
    <col min="3063" max="3063" width="14.85546875" style="2" customWidth="1"/>
    <col min="3064" max="3065" width="0" style="2" hidden="1" customWidth="1"/>
    <col min="3066" max="3066" width="14.85546875" style="2" customWidth="1"/>
    <col min="3067" max="3068" width="0" style="2" hidden="1" customWidth="1"/>
    <col min="3069" max="3070" width="14.85546875" style="2" customWidth="1"/>
    <col min="3071" max="3071" width="44.42578125" style="2" customWidth="1"/>
    <col min="3072" max="3076" width="14.85546875" style="2" customWidth="1"/>
    <col min="3077" max="3077" width="63.85546875" style="2" customWidth="1"/>
    <col min="3078" max="3078" width="13.28515625" style="2" customWidth="1"/>
    <col min="3079" max="3264" width="9" style="2"/>
    <col min="3265" max="3266" width="0" style="2" hidden="1" customWidth="1"/>
    <col min="3267" max="3267" width="13.7109375" style="2" customWidth="1"/>
    <col min="3268" max="3268" width="52.85546875" style="2" customWidth="1"/>
    <col min="3269" max="3308" width="0" style="2" hidden="1" customWidth="1"/>
    <col min="3309" max="3310" width="14.85546875" style="2" customWidth="1"/>
    <col min="3311" max="3312" width="0" style="2" hidden="1" customWidth="1"/>
    <col min="3313" max="3313" width="14.85546875" style="2" customWidth="1"/>
    <col min="3314" max="3315" width="0" style="2" hidden="1" customWidth="1"/>
    <col min="3316" max="3316" width="14.85546875" style="2" customWidth="1"/>
    <col min="3317" max="3318" width="0" style="2" hidden="1" customWidth="1"/>
    <col min="3319" max="3319" width="14.85546875" style="2" customWidth="1"/>
    <col min="3320" max="3321" width="0" style="2" hidden="1" customWidth="1"/>
    <col min="3322" max="3322" width="14.85546875" style="2" customWidth="1"/>
    <col min="3323" max="3324" width="0" style="2" hidden="1" customWidth="1"/>
    <col min="3325" max="3326" width="14.85546875" style="2" customWidth="1"/>
    <col min="3327" max="3327" width="44.42578125" style="2" customWidth="1"/>
    <col min="3328" max="3332" width="14.85546875" style="2" customWidth="1"/>
    <col min="3333" max="3333" width="63.85546875" style="2" customWidth="1"/>
    <col min="3334" max="3334" width="13.28515625" style="2" customWidth="1"/>
    <col min="3335" max="3520" width="9" style="2"/>
    <col min="3521" max="3522" width="0" style="2" hidden="1" customWidth="1"/>
    <col min="3523" max="3523" width="13.7109375" style="2" customWidth="1"/>
    <col min="3524" max="3524" width="52.85546875" style="2" customWidth="1"/>
    <col min="3525" max="3564" width="0" style="2" hidden="1" customWidth="1"/>
    <col min="3565" max="3566" width="14.85546875" style="2" customWidth="1"/>
    <col min="3567" max="3568" width="0" style="2" hidden="1" customWidth="1"/>
    <col min="3569" max="3569" width="14.85546875" style="2" customWidth="1"/>
    <col min="3570" max="3571" width="0" style="2" hidden="1" customWidth="1"/>
    <col min="3572" max="3572" width="14.85546875" style="2" customWidth="1"/>
    <col min="3573" max="3574" width="0" style="2" hidden="1" customWidth="1"/>
    <col min="3575" max="3575" width="14.85546875" style="2" customWidth="1"/>
    <col min="3576" max="3577" width="0" style="2" hidden="1" customWidth="1"/>
    <col min="3578" max="3578" width="14.85546875" style="2" customWidth="1"/>
    <col min="3579" max="3580" width="0" style="2" hidden="1" customWidth="1"/>
    <col min="3581" max="3582" width="14.85546875" style="2" customWidth="1"/>
    <col min="3583" max="3583" width="44.42578125" style="2" customWidth="1"/>
    <col min="3584" max="3588" width="14.85546875" style="2" customWidth="1"/>
    <col min="3589" max="3589" width="63.85546875" style="2" customWidth="1"/>
    <col min="3590" max="3590" width="13.28515625" style="2" customWidth="1"/>
    <col min="3591" max="3776" width="9" style="2"/>
    <col min="3777" max="3778" width="0" style="2" hidden="1" customWidth="1"/>
    <col min="3779" max="3779" width="13.7109375" style="2" customWidth="1"/>
    <col min="3780" max="3780" width="52.85546875" style="2" customWidth="1"/>
    <col min="3781" max="3820" width="0" style="2" hidden="1" customWidth="1"/>
    <col min="3821" max="3822" width="14.85546875" style="2" customWidth="1"/>
    <col min="3823" max="3824" width="0" style="2" hidden="1" customWidth="1"/>
    <col min="3825" max="3825" width="14.85546875" style="2" customWidth="1"/>
    <col min="3826" max="3827" width="0" style="2" hidden="1" customWidth="1"/>
    <col min="3828" max="3828" width="14.85546875" style="2" customWidth="1"/>
    <col min="3829" max="3830" width="0" style="2" hidden="1" customWidth="1"/>
    <col min="3831" max="3831" width="14.85546875" style="2" customWidth="1"/>
    <col min="3832" max="3833" width="0" style="2" hidden="1" customWidth="1"/>
    <col min="3834" max="3834" width="14.85546875" style="2" customWidth="1"/>
    <col min="3835" max="3836" width="0" style="2" hidden="1" customWidth="1"/>
    <col min="3837" max="3838" width="14.85546875" style="2" customWidth="1"/>
    <col min="3839" max="3839" width="44.42578125" style="2" customWidth="1"/>
    <col min="3840" max="3844" width="14.85546875" style="2" customWidth="1"/>
    <col min="3845" max="3845" width="63.85546875" style="2" customWidth="1"/>
    <col min="3846" max="3846" width="13.28515625" style="2" customWidth="1"/>
    <col min="3847" max="4032" width="9" style="2"/>
    <col min="4033" max="4034" width="0" style="2" hidden="1" customWidth="1"/>
    <col min="4035" max="4035" width="13.7109375" style="2" customWidth="1"/>
    <col min="4036" max="4036" width="52.85546875" style="2" customWidth="1"/>
    <col min="4037" max="4076" width="0" style="2" hidden="1" customWidth="1"/>
    <col min="4077" max="4078" width="14.85546875" style="2" customWidth="1"/>
    <col min="4079" max="4080" width="0" style="2" hidden="1" customWidth="1"/>
    <col min="4081" max="4081" width="14.85546875" style="2" customWidth="1"/>
    <col min="4082" max="4083" width="0" style="2" hidden="1" customWidth="1"/>
    <col min="4084" max="4084" width="14.85546875" style="2" customWidth="1"/>
    <col min="4085" max="4086" width="0" style="2" hidden="1" customWidth="1"/>
    <col min="4087" max="4087" width="14.85546875" style="2" customWidth="1"/>
    <col min="4088" max="4089" width="0" style="2" hidden="1" customWidth="1"/>
    <col min="4090" max="4090" width="14.85546875" style="2" customWidth="1"/>
    <col min="4091" max="4092" width="0" style="2" hidden="1" customWidth="1"/>
    <col min="4093" max="4094" width="14.85546875" style="2" customWidth="1"/>
    <col min="4095" max="4095" width="44.42578125" style="2" customWidth="1"/>
    <col min="4096" max="4100" width="14.85546875" style="2" customWidth="1"/>
    <col min="4101" max="4101" width="63.85546875" style="2" customWidth="1"/>
    <col min="4102" max="4102" width="13.28515625" style="2" customWidth="1"/>
    <col min="4103" max="4288" width="9" style="2"/>
    <col min="4289" max="4290" width="0" style="2" hidden="1" customWidth="1"/>
    <col min="4291" max="4291" width="13.7109375" style="2" customWidth="1"/>
    <col min="4292" max="4292" width="52.85546875" style="2" customWidth="1"/>
    <col min="4293" max="4332" width="0" style="2" hidden="1" customWidth="1"/>
    <col min="4333" max="4334" width="14.85546875" style="2" customWidth="1"/>
    <col min="4335" max="4336" width="0" style="2" hidden="1" customWidth="1"/>
    <col min="4337" max="4337" width="14.85546875" style="2" customWidth="1"/>
    <col min="4338" max="4339" width="0" style="2" hidden="1" customWidth="1"/>
    <col min="4340" max="4340" width="14.85546875" style="2" customWidth="1"/>
    <col min="4341" max="4342" width="0" style="2" hidden="1" customWidth="1"/>
    <col min="4343" max="4343" width="14.85546875" style="2" customWidth="1"/>
    <col min="4344" max="4345" width="0" style="2" hidden="1" customWidth="1"/>
    <col min="4346" max="4346" width="14.85546875" style="2" customWidth="1"/>
    <col min="4347" max="4348" width="0" style="2" hidden="1" customWidth="1"/>
    <col min="4349" max="4350" width="14.85546875" style="2" customWidth="1"/>
    <col min="4351" max="4351" width="44.42578125" style="2" customWidth="1"/>
    <col min="4352" max="4356" width="14.85546875" style="2" customWidth="1"/>
    <col min="4357" max="4357" width="63.85546875" style="2" customWidth="1"/>
    <col min="4358" max="4358" width="13.28515625" style="2" customWidth="1"/>
    <col min="4359" max="4544" width="9" style="2"/>
    <col min="4545" max="4546" width="0" style="2" hidden="1" customWidth="1"/>
    <col min="4547" max="4547" width="13.7109375" style="2" customWidth="1"/>
    <col min="4548" max="4548" width="52.85546875" style="2" customWidth="1"/>
    <col min="4549" max="4588" width="0" style="2" hidden="1" customWidth="1"/>
    <col min="4589" max="4590" width="14.85546875" style="2" customWidth="1"/>
    <col min="4591" max="4592" width="0" style="2" hidden="1" customWidth="1"/>
    <col min="4593" max="4593" width="14.85546875" style="2" customWidth="1"/>
    <col min="4594" max="4595" width="0" style="2" hidden="1" customWidth="1"/>
    <col min="4596" max="4596" width="14.85546875" style="2" customWidth="1"/>
    <col min="4597" max="4598" width="0" style="2" hidden="1" customWidth="1"/>
    <col min="4599" max="4599" width="14.85546875" style="2" customWidth="1"/>
    <col min="4600" max="4601" width="0" style="2" hidden="1" customWidth="1"/>
    <col min="4602" max="4602" width="14.85546875" style="2" customWidth="1"/>
    <col min="4603" max="4604" width="0" style="2" hidden="1" customWidth="1"/>
    <col min="4605" max="4606" width="14.85546875" style="2" customWidth="1"/>
    <col min="4607" max="4607" width="44.42578125" style="2" customWidth="1"/>
    <col min="4608" max="4612" width="14.85546875" style="2" customWidth="1"/>
    <col min="4613" max="4613" width="63.85546875" style="2" customWidth="1"/>
    <col min="4614" max="4614" width="13.28515625" style="2" customWidth="1"/>
    <col min="4615" max="4800" width="9" style="2"/>
    <col min="4801" max="4802" width="0" style="2" hidden="1" customWidth="1"/>
    <col min="4803" max="4803" width="13.7109375" style="2" customWidth="1"/>
    <col min="4804" max="4804" width="52.85546875" style="2" customWidth="1"/>
    <col min="4805" max="4844" width="0" style="2" hidden="1" customWidth="1"/>
    <col min="4845" max="4846" width="14.85546875" style="2" customWidth="1"/>
    <col min="4847" max="4848" width="0" style="2" hidden="1" customWidth="1"/>
    <col min="4849" max="4849" width="14.85546875" style="2" customWidth="1"/>
    <col min="4850" max="4851" width="0" style="2" hidden="1" customWidth="1"/>
    <col min="4852" max="4852" width="14.85546875" style="2" customWidth="1"/>
    <col min="4853" max="4854" width="0" style="2" hidden="1" customWidth="1"/>
    <col min="4855" max="4855" width="14.85546875" style="2" customWidth="1"/>
    <col min="4856" max="4857" width="0" style="2" hidden="1" customWidth="1"/>
    <col min="4858" max="4858" width="14.85546875" style="2" customWidth="1"/>
    <col min="4859" max="4860" width="0" style="2" hidden="1" customWidth="1"/>
    <col min="4861" max="4862" width="14.85546875" style="2" customWidth="1"/>
    <col min="4863" max="4863" width="44.42578125" style="2" customWidth="1"/>
    <col min="4864" max="4868" width="14.85546875" style="2" customWidth="1"/>
    <col min="4869" max="4869" width="63.85546875" style="2" customWidth="1"/>
    <col min="4870" max="4870" width="13.28515625" style="2" customWidth="1"/>
    <col min="4871" max="5056" width="9" style="2"/>
    <col min="5057" max="5058" width="0" style="2" hidden="1" customWidth="1"/>
    <col min="5059" max="5059" width="13.7109375" style="2" customWidth="1"/>
    <col min="5060" max="5060" width="52.85546875" style="2" customWidth="1"/>
    <col min="5061" max="5100" width="0" style="2" hidden="1" customWidth="1"/>
    <col min="5101" max="5102" width="14.85546875" style="2" customWidth="1"/>
    <col min="5103" max="5104" width="0" style="2" hidden="1" customWidth="1"/>
    <col min="5105" max="5105" width="14.85546875" style="2" customWidth="1"/>
    <col min="5106" max="5107" width="0" style="2" hidden="1" customWidth="1"/>
    <col min="5108" max="5108" width="14.85546875" style="2" customWidth="1"/>
    <col min="5109" max="5110" width="0" style="2" hidden="1" customWidth="1"/>
    <col min="5111" max="5111" width="14.85546875" style="2" customWidth="1"/>
    <col min="5112" max="5113" width="0" style="2" hidden="1" customWidth="1"/>
    <col min="5114" max="5114" width="14.85546875" style="2" customWidth="1"/>
    <col min="5115" max="5116" width="0" style="2" hidden="1" customWidth="1"/>
    <col min="5117" max="5118" width="14.85546875" style="2" customWidth="1"/>
    <col min="5119" max="5119" width="44.42578125" style="2" customWidth="1"/>
    <col min="5120" max="5124" width="14.85546875" style="2" customWidth="1"/>
    <col min="5125" max="5125" width="63.85546875" style="2" customWidth="1"/>
    <col min="5126" max="5126" width="13.28515625" style="2" customWidth="1"/>
    <col min="5127" max="5312" width="9" style="2"/>
    <col min="5313" max="5314" width="0" style="2" hidden="1" customWidth="1"/>
    <col min="5315" max="5315" width="13.7109375" style="2" customWidth="1"/>
    <col min="5316" max="5316" width="52.85546875" style="2" customWidth="1"/>
    <col min="5317" max="5356" width="0" style="2" hidden="1" customWidth="1"/>
    <col min="5357" max="5358" width="14.85546875" style="2" customWidth="1"/>
    <col min="5359" max="5360" width="0" style="2" hidden="1" customWidth="1"/>
    <col min="5361" max="5361" width="14.85546875" style="2" customWidth="1"/>
    <col min="5362" max="5363" width="0" style="2" hidden="1" customWidth="1"/>
    <col min="5364" max="5364" width="14.85546875" style="2" customWidth="1"/>
    <col min="5365" max="5366" width="0" style="2" hidden="1" customWidth="1"/>
    <col min="5367" max="5367" width="14.85546875" style="2" customWidth="1"/>
    <col min="5368" max="5369" width="0" style="2" hidden="1" customWidth="1"/>
    <col min="5370" max="5370" width="14.85546875" style="2" customWidth="1"/>
    <col min="5371" max="5372" width="0" style="2" hidden="1" customWidth="1"/>
    <col min="5373" max="5374" width="14.85546875" style="2" customWidth="1"/>
    <col min="5375" max="5375" width="44.42578125" style="2" customWidth="1"/>
    <col min="5376" max="5380" width="14.85546875" style="2" customWidth="1"/>
    <col min="5381" max="5381" width="63.85546875" style="2" customWidth="1"/>
    <col min="5382" max="5382" width="13.28515625" style="2" customWidth="1"/>
    <col min="5383" max="5568" width="9" style="2"/>
    <col min="5569" max="5570" width="0" style="2" hidden="1" customWidth="1"/>
    <col min="5571" max="5571" width="13.7109375" style="2" customWidth="1"/>
    <col min="5572" max="5572" width="52.85546875" style="2" customWidth="1"/>
    <col min="5573" max="5612" width="0" style="2" hidden="1" customWidth="1"/>
    <col min="5613" max="5614" width="14.85546875" style="2" customWidth="1"/>
    <col min="5615" max="5616" width="0" style="2" hidden="1" customWidth="1"/>
    <col min="5617" max="5617" width="14.85546875" style="2" customWidth="1"/>
    <col min="5618" max="5619" width="0" style="2" hidden="1" customWidth="1"/>
    <col min="5620" max="5620" width="14.85546875" style="2" customWidth="1"/>
    <col min="5621" max="5622" width="0" style="2" hidden="1" customWidth="1"/>
    <col min="5623" max="5623" width="14.85546875" style="2" customWidth="1"/>
    <col min="5624" max="5625" width="0" style="2" hidden="1" customWidth="1"/>
    <col min="5626" max="5626" width="14.85546875" style="2" customWidth="1"/>
    <col min="5627" max="5628" width="0" style="2" hidden="1" customWidth="1"/>
    <col min="5629" max="5630" width="14.85546875" style="2" customWidth="1"/>
    <col min="5631" max="5631" width="44.42578125" style="2" customWidth="1"/>
    <col min="5632" max="5636" width="14.85546875" style="2" customWidth="1"/>
    <col min="5637" max="5637" width="63.85546875" style="2" customWidth="1"/>
    <col min="5638" max="5638" width="13.28515625" style="2" customWidth="1"/>
    <col min="5639" max="5824" width="9" style="2"/>
    <col min="5825" max="5826" width="0" style="2" hidden="1" customWidth="1"/>
    <col min="5827" max="5827" width="13.7109375" style="2" customWidth="1"/>
    <col min="5828" max="5828" width="52.85546875" style="2" customWidth="1"/>
    <col min="5829" max="5868" width="0" style="2" hidden="1" customWidth="1"/>
    <col min="5869" max="5870" width="14.85546875" style="2" customWidth="1"/>
    <col min="5871" max="5872" width="0" style="2" hidden="1" customWidth="1"/>
    <col min="5873" max="5873" width="14.85546875" style="2" customWidth="1"/>
    <col min="5874" max="5875" width="0" style="2" hidden="1" customWidth="1"/>
    <col min="5876" max="5876" width="14.85546875" style="2" customWidth="1"/>
    <col min="5877" max="5878" width="0" style="2" hidden="1" customWidth="1"/>
    <col min="5879" max="5879" width="14.85546875" style="2" customWidth="1"/>
    <col min="5880" max="5881" width="0" style="2" hidden="1" customWidth="1"/>
    <col min="5882" max="5882" width="14.85546875" style="2" customWidth="1"/>
    <col min="5883" max="5884" width="0" style="2" hidden="1" customWidth="1"/>
    <col min="5885" max="5886" width="14.85546875" style="2" customWidth="1"/>
    <col min="5887" max="5887" width="44.42578125" style="2" customWidth="1"/>
    <col min="5888" max="5892" width="14.85546875" style="2" customWidth="1"/>
    <col min="5893" max="5893" width="63.85546875" style="2" customWidth="1"/>
    <col min="5894" max="5894" width="13.28515625" style="2" customWidth="1"/>
    <col min="5895" max="6080" width="9" style="2"/>
    <col min="6081" max="6082" width="0" style="2" hidden="1" customWidth="1"/>
    <col min="6083" max="6083" width="13.7109375" style="2" customWidth="1"/>
    <col min="6084" max="6084" width="52.85546875" style="2" customWidth="1"/>
    <col min="6085" max="6124" width="0" style="2" hidden="1" customWidth="1"/>
    <col min="6125" max="6126" width="14.85546875" style="2" customWidth="1"/>
    <col min="6127" max="6128" width="0" style="2" hidden="1" customWidth="1"/>
    <col min="6129" max="6129" width="14.85546875" style="2" customWidth="1"/>
    <col min="6130" max="6131" width="0" style="2" hidden="1" customWidth="1"/>
    <col min="6132" max="6132" width="14.85546875" style="2" customWidth="1"/>
    <col min="6133" max="6134" width="0" style="2" hidden="1" customWidth="1"/>
    <col min="6135" max="6135" width="14.85546875" style="2" customWidth="1"/>
    <col min="6136" max="6137" width="0" style="2" hidden="1" customWidth="1"/>
    <col min="6138" max="6138" width="14.85546875" style="2" customWidth="1"/>
    <col min="6139" max="6140" width="0" style="2" hidden="1" customWidth="1"/>
    <col min="6141" max="6142" width="14.85546875" style="2" customWidth="1"/>
    <col min="6143" max="6143" width="44.42578125" style="2" customWidth="1"/>
    <col min="6144" max="6148" width="14.85546875" style="2" customWidth="1"/>
    <col min="6149" max="6149" width="63.85546875" style="2" customWidth="1"/>
    <col min="6150" max="6150" width="13.28515625" style="2" customWidth="1"/>
    <col min="6151" max="6336" width="9" style="2"/>
    <col min="6337" max="6338" width="0" style="2" hidden="1" customWidth="1"/>
    <col min="6339" max="6339" width="13.7109375" style="2" customWidth="1"/>
    <col min="6340" max="6340" width="52.85546875" style="2" customWidth="1"/>
    <col min="6341" max="6380" width="0" style="2" hidden="1" customWidth="1"/>
    <col min="6381" max="6382" width="14.85546875" style="2" customWidth="1"/>
    <col min="6383" max="6384" width="0" style="2" hidden="1" customWidth="1"/>
    <col min="6385" max="6385" width="14.85546875" style="2" customWidth="1"/>
    <col min="6386" max="6387" width="0" style="2" hidden="1" customWidth="1"/>
    <col min="6388" max="6388" width="14.85546875" style="2" customWidth="1"/>
    <col min="6389" max="6390" width="0" style="2" hidden="1" customWidth="1"/>
    <col min="6391" max="6391" width="14.85546875" style="2" customWidth="1"/>
    <col min="6392" max="6393" width="0" style="2" hidden="1" customWidth="1"/>
    <col min="6394" max="6394" width="14.85546875" style="2" customWidth="1"/>
    <col min="6395" max="6396" width="0" style="2" hidden="1" customWidth="1"/>
    <col min="6397" max="6398" width="14.85546875" style="2" customWidth="1"/>
    <col min="6399" max="6399" width="44.42578125" style="2" customWidth="1"/>
    <col min="6400" max="6404" width="14.85546875" style="2" customWidth="1"/>
    <col min="6405" max="6405" width="63.85546875" style="2" customWidth="1"/>
    <col min="6406" max="6406" width="13.28515625" style="2" customWidth="1"/>
    <col min="6407" max="6592" width="9" style="2"/>
    <col min="6593" max="6594" width="0" style="2" hidden="1" customWidth="1"/>
    <col min="6595" max="6595" width="13.7109375" style="2" customWidth="1"/>
    <col min="6596" max="6596" width="52.85546875" style="2" customWidth="1"/>
    <col min="6597" max="6636" width="0" style="2" hidden="1" customWidth="1"/>
    <col min="6637" max="6638" width="14.85546875" style="2" customWidth="1"/>
    <col min="6639" max="6640" width="0" style="2" hidden="1" customWidth="1"/>
    <col min="6641" max="6641" width="14.85546875" style="2" customWidth="1"/>
    <col min="6642" max="6643" width="0" style="2" hidden="1" customWidth="1"/>
    <col min="6644" max="6644" width="14.85546875" style="2" customWidth="1"/>
    <col min="6645" max="6646" width="0" style="2" hidden="1" customWidth="1"/>
    <col min="6647" max="6647" width="14.85546875" style="2" customWidth="1"/>
    <col min="6648" max="6649" width="0" style="2" hidden="1" customWidth="1"/>
    <col min="6650" max="6650" width="14.85546875" style="2" customWidth="1"/>
    <col min="6651" max="6652" width="0" style="2" hidden="1" customWidth="1"/>
    <col min="6653" max="6654" width="14.85546875" style="2" customWidth="1"/>
    <col min="6655" max="6655" width="44.42578125" style="2" customWidth="1"/>
    <col min="6656" max="6660" width="14.85546875" style="2" customWidth="1"/>
    <col min="6661" max="6661" width="63.85546875" style="2" customWidth="1"/>
    <col min="6662" max="6662" width="13.28515625" style="2" customWidth="1"/>
    <col min="6663" max="6848" width="9" style="2"/>
    <col min="6849" max="6850" width="0" style="2" hidden="1" customWidth="1"/>
    <col min="6851" max="6851" width="13.7109375" style="2" customWidth="1"/>
    <col min="6852" max="6852" width="52.85546875" style="2" customWidth="1"/>
    <col min="6853" max="6892" width="0" style="2" hidden="1" customWidth="1"/>
    <col min="6893" max="6894" width="14.85546875" style="2" customWidth="1"/>
    <col min="6895" max="6896" width="0" style="2" hidden="1" customWidth="1"/>
    <col min="6897" max="6897" width="14.85546875" style="2" customWidth="1"/>
    <col min="6898" max="6899" width="0" style="2" hidden="1" customWidth="1"/>
    <col min="6900" max="6900" width="14.85546875" style="2" customWidth="1"/>
    <col min="6901" max="6902" width="0" style="2" hidden="1" customWidth="1"/>
    <col min="6903" max="6903" width="14.85546875" style="2" customWidth="1"/>
    <col min="6904" max="6905" width="0" style="2" hidden="1" customWidth="1"/>
    <col min="6906" max="6906" width="14.85546875" style="2" customWidth="1"/>
    <col min="6907" max="6908" width="0" style="2" hidden="1" customWidth="1"/>
    <col min="6909" max="6910" width="14.85546875" style="2" customWidth="1"/>
    <col min="6911" max="6911" width="44.42578125" style="2" customWidth="1"/>
    <col min="6912" max="6916" width="14.85546875" style="2" customWidth="1"/>
    <col min="6917" max="6917" width="63.85546875" style="2" customWidth="1"/>
    <col min="6918" max="6918" width="13.28515625" style="2" customWidth="1"/>
    <col min="6919" max="7104" width="9" style="2"/>
    <col min="7105" max="7106" width="0" style="2" hidden="1" customWidth="1"/>
    <col min="7107" max="7107" width="13.7109375" style="2" customWidth="1"/>
    <col min="7108" max="7108" width="52.85546875" style="2" customWidth="1"/>
    <col min="7109" max="7148" width="0" style="2" hidden="1" customWidth="1"/>
    <col min="7149" max="7150" width="14.85546875" style="2" customWidth="1"/>
    <col min="7151" max="7152" width="0" style="2" hidden="1" customWidth="1"/>
    <col min="7153" max="7153" width="14.85546875" style="2" customWidth="1"/>
    <col min="7154" max="7155" width="0" style="2" hidden="1" customWidth="1"/>
    <col min="7156" max="7156" width="14.85546875" style="2" customWidth="1"/>
    <col min="7157" max="7158" width="0" style="2" hidden="1" customWidth="1"/>
    <col min="7159" max="7159" width="14.85546875" style="2" customWidth="1"/>
    <col min="7160" max="7161" width="0" style="2" hidden="1" customWidth="1"/>
    <col min="7162" max="7162" width="14.85546875" style="2" customWidth="1"/>
    <col min="7163" max="7164" width="0" style="2" hidden="1" customWidth="1"/>
    <col min="7165" max="7166" width="14.85546875" style="2" customWidth="1"/>
    <col min="7167" max="7167" width="44.42578125" style="2" customWidth="1"/>
    <col min="7168" max="7172" width="14.85546875" style="2" customWidth="1"/>
    <col min="7173" max="7173" width="63.85546875" style="2" customWidth="1"/>
    <col min="7174" max="7174" width="13.28515625" style="2" customWidth="1"/>
    <col min="7175" max="7360" width="9" style="2"/>
    <col min="7361" max="7362" width="0" style="2" hidden="1" customWidth="1"/>
    <col min="7363" max="7363" width="13.7109375" style="2" customWidth="1"/>
    <col min="7364" max="7364" width="52.85546875" style="2" customWidth="1"/>
    <col min="7365" max="7404" width="0" style="2" hidden="1" customWidth="1"/>
    <col min="7405" max="7406" width="14.85546875" style="2" customWidth="1"/>
    <col min="7407" max="7408" width="0" style="2" hidden="1" customWidth="1"/>
    <col min="7409" max="7409" width="14.85546875" style="2" customWidth="1"/>
    <col min="7410" max="7411" width="0" style="2" hidden="1" customWidth="1"/>
    <col min="7412" max="7412" width="14.85546875" style="2" customWidth="1"/>
    <col min="7413" max="7414" width="0" style="2" hidden="1" customWidth="1"/>
    <col min="7415" max="7415" width="14.85546875" style="2" customWidth="1"/>
    <col min="7416" max="7417" width="0" style="2" hidden="1" customWidth="1"/>
    <col min="7418" max="7418" width="14.85546875" style="2" customWidth="1"/>
    <col min="7419" max="7420" width="0" style="2" hidden="1" customWidth="1"/>
    <col min="7421" max="7422" width="14.85546875" style="2" customWidth="1"/>
    <col min="7423" max="7423" width="44.42578125" style="2" customWidth="1"/>
    <col min="7424" max="7428" width="14.85546875" style="2" customWidth="1"/>
    <col min="7429" max="7429" width="63.85546875" style="2" customWidth="1"/>
    <col min="7430" max="7430" width="13.28515625" style="2" customWidth="1"/>
    <col min="7431" max="7616" width="9" style="2"/>
    <col min="7617" max="7618" width="0" style="2" hidden="1" customWidth="1"/>
    <col min="7619" max="7619" width="13.7109375" style="2" customWidth="1"/>
    <col min="7620" max="7620" width="52.85546875" style="2" customWidth="1"/>
    <col min="7621" max="7660" width="0" style="2" hidden="1" customWidth="1"/>
    <col min="7661" max="7662" width="14.85546875" style="2" customWidth="1"/>
    <col min="7663" max="7664" width="0" style="2" hidden="1" customWidth="1"/>
    <col min="7665" max="7665" width="14.85546875" style="2" customWidth="1"/>
    <col min="7666" max="7667" width="0" style="2" hidden="1" customWidth="1"/>
    <col min="7668" max="7668" width="14.85546875" style="2" customWidth="1"/>
    <col min="7669" max="7670" width="0" style="2" hidden="1" customWidth="1"/>
    <col min="7671" max="7671" width="14.85546875" style="2" customWidth="1"/>
    <col min="7672" max="7673" width="0" style="2" hidden="1" customWidth="1"/>
    <col min="7674" max="7674" width="14.85546875" style="2" customWidth="1"/>
    <col min="7675" max="7676" width="0" style="2" hidden="1" customWidth="1"/>
    <col min="7677" max="7678" width="14.85546875" style="2" customWidth="1"/>
    <col min="7679" max="7679" width="44.42578125" style="2" customWidth="1"/>
    <col min="7680" max="7684" width="14.85546875" style="2" customWidth="1"/>
    <col min="7685" max="7685" width="63.85546875" style="2" customWidth="1"/>
    <col min="7686" max="7686" width="13.28515625" style="2" customWidth="1"/>
    <col min="7687" max="7872" width="9" style="2"/>
    <col min="7873" max="7874" width="0" style="2" hidden="1" customWidth="1"/>
    <col min="7875" max="7875" width="13.7109375" style="2" customWidth="1"/>
    <col min="7876" max="7876" width="52.85546875" style="2" customWidth="1"/>
    <col min="7877" max="7916" width="0" style="2" hidden="1" customWidth="1"/>
    <col min="7917" max="7918" width="14.85546875" style="2" customWidth="1"/>
    <col min="7919" max="7920" width="0" style="2" hidden="1" customWidth="1"/>
    <col min="7921" max="7921" width="14.85546875" style="2" customWidth="1"/>
    <col min="7922" max="7923" width="0" style="2" hidden="1" customWidth="1"/>
    <col min="7924" max="7924" width="14.85546875" style="2" customWidth="1"/>
    <col min="7925" max="7926" width="0" style="2" hidden="1" customWidth="1"/>
    <col min="7927" max="7927" width="14.85546875" style="2" customWidth="1"/>
    <col min="7928" max="7929" width="0" style="2" hidden="1" customWidth="1"/>
    <col min="7930" max="7930" width="14.85546875" style="2" customWidth="1"/>
    <col min="7931" max="7932" width="0" style="2" hidden="1" customWidth="1"/>
    <col min="7933" max="7934" width="14.85546875" style="2" customWidth="1"/>
    <col min="7935" max="7935" width="44.42578125" style="2" customWidth="1"/>
    <col min="7936" max="7940" width="14.85546875" style="2" customWidth="1"/>
    <col min="7941" max="7941" width="63.85546875" style="2" customWidth="1"/>
    <col min="7942" max="7942" width="13.28515625" style="2" customWidth="1"/>
    <col min="7943" max="8128" width="9" style="2"/>
    <col min="8129" max="8130" width="0" style="2" hidden="1" customWidth="1"/>
    <col min="8131" max="8131" width="13.7109375" style="2" customWidth="1"/>
    <col min="8132" max="8132" width="52.85546875" style="2" customWidth="1"/>
    <col min="8133" max="8172" width="0" style="2" hidden="1" customWidth="1"/>
    <col min="8173" max="8174" width="14.85546875" style="2" customWidth="1"/>
    <col min="8175" max="8176" width="0" style="2" hidden="1" customWidth="1"/>
    <col min="8177" max="8177" width="14.85546875" style="2" customWidth="1"/>
    <col min="8178" max="8179" width="0" style="2" hidden="1" customWidth="1"/>
    <col min="8180" max="8180" width="14.85546875" style="2" customWidth="1"/>
    <col min="8181" max="8182" width="0" style="2" hidden="1" customWidth="1"/>
    <col min="8183" max="8183" width="14.85546875" style="2" customWidth="1"/>
    <col min="8184" max="8185" width="0" style="2" hidden="1" customWidth="1"/>
    <col min="8186" max="8186" width="14.85546875" style="2" customWidth="1"/>
    <col min="8187" max="8188" width="0" style="2" hidden="1" customWidth="1"/>
    <col min="8189" max="8190" width="14.85546875" style="2" customWidth="1"/>
    <col min="8191" max="8191" width="44.42578125" style="2" customWidth="1"/>
    <col min="8192" max="8196" width="14.85546875" style="2" customWidth="1"/>
    <col min="8197" max="8197" width="63.85546875" style="2" customWidth="1"/>
    <col min="8198" max="8198" width="13.28515625" style="2" customWidth="1"/>
    <col min="8199" max="8384" width="9" style="2"/>
    <col min="8385" max="8386" width="0" style="2" hidden="1" customWidth="1"/>
    <col min="8387" max="8387" width="13.7109375" style="2" customWidth="1"/>
    <col min="8388" max="8388" width="52.85546875" style="2" customWidth="1"/>
    <col min="8389" max="8428" width="0" style="2" hidden="1" customWidth="1"/>
    <col min="8429" max="8430" width="14.85546875" style="2" customWidth="1"/>
    <col min="8431" max="8432" width="0" style="2" hidden="1" customWidth="1"/>
    <col min="8433" max="8433" width="14.85546875" style="2" customWidth="1"/>
    <col min="8434" max="8435" width="0" style="2" hidden="1" customWidth="1"/>
    <col min="8436" max="8436" width="14.85546875" style="2" customWidth="1"/>
    <col min="8437" max="8438" width="0" style="2" hidden="1" customWidth="1"/>
    <col min="8439" max="8439" width="14.85546875" style="2" customWidth="1"/>
    <col min="8440" max="8441" width="0" style="2" hidden="1" customWidth="1"/>
    <col min="8442" max="8442" width="14.85546875" style="2" customWidth="1"/>
    <col min="8443" max="8444" width="0" style="2" hidden="1" customWidth="1"/>
    <col min="8445" max="8446" width="14.85546875" style="2" customWidth="1"/>
    <col min="8447" max="8447" width="44.42578125" style="2" customWidth="1"/>
    <col min="8448" max="8452" width="14.85546875" style="2" customWidth="1"/>
    <col min="8453" max="8453" width="63.85546875" style="2" customWidth="1"/>
    <col min="8454" max="8454" width="13.28515625" style="2" customWidth="1"/>
    <col min="8455" max="8640" width="9" style="2"/>
    <col min="8641" max="8642" width="0" style="2" hidden="1" customWidth="1"/>
    <col min="8643" max="8643" width="13.7109375" style="2" customWidth="1"/>
    <col min="8644" max="8644" width="52.85546875" style="2" customWidth="1"/>
    <col min="8645" max="8684" width="0" style="2" hidden="1" customWidth="1"/>
    <col min="8685" max="8686" width="14.85546875" style="2" customWidth="1"/>
    <col min="8687" max="8688" width="0" style="2" hidden="1" customWidth="1"/>
    <col min="8689" max="8689" width="14.85546875" style="2" customWidth="1"/>
    <col min="8690" max="8691" width="0" style="2" hidden="1" customWidth="1"/>
    <col min="8692" max="8692" width="14.85546875" style="2" customWidth="1"/>
    <col min="8693" max="8694" width="0" style="2" hidden="1" customWidth="1"/>
    <col min="8695" max="8695" width="14.85546875" style="2" customWidth="1"/>
    <col min="8696" max="8697" width="0" style="2" hidden="1" customWidth="1"/>
    <col min="8698" max="8698" width="14.85546875" style="2" customWidth="1"/>
    <col min="8699" max="8700" width="0" style="2" hidden="1" customWidth="1"/>
    <col min="8701" max="8702" width="14.85546875" style="2" customWidth="1"/>
    <col min="8703" max="8703" width="44.42578125" style="2" customWidth="1"/>
    <col min="8704" max="8708" width="14.85546875" style="2" customWidth="1"/>
    <col min="8709" max="8709" width="63.85546875" style="2" customWidth="1"/>
    <col min="8710" max="8710" width="13.28515625" style="2" customWidth="1"/>
    <col min="8711" max="8896" width="9" style="2"/>
    <col min="8897" max="8898" width="0" style="2" hidden="1" customWidth="1"/>
    <col min="8899" max="8899" width="13.7109375" style="2" customWidth="1"/>
    <col min="8900" max="8900" width="52.85546875" style="2" customWidth="1"/>
    <col min="8901" max="8940" width="0" style="2" hidden="1" customWidth="1"/>
    <col min="8941" max="8942" width="14.85546875" style="2" customWidth="1"/>
    <col min="8943" max="8944" width="0" style="2" hidden="1" customWidth="1"/>
    <col min="8945" max="8945" width="14.85546875" style="2" customWidth="1"/>
    <col min="8946" max="8947" width="0" style="2" hidden="1" customWidth="1"/>
    <col min="8948" max="8948" width="14.85546875" style="2" customWidth="1"/>
    <col min="8949" max="8950" width="0" style="2" hidden="1" customWidth="1"/>
    <col min="8951" max="8951" width="14.85546875" style="2" customWidth="1"/>
    <col min="8952" max="8953" width="0" style="2" hidden="1" customWidth="1"/>
    <col min="8954" max="8954" width="14.85546875" style="2" customWidth="1"/>
    <col min="8955" max="8956" width="0" style="2" hidden="1" customWidth="1"/>
    <col min="8957" max="8958" width="14.85546875" style="2" customWidth="1"/>
    <col min="8959" max="8959" width="44.42578125" style="2" customWidth="1"/>
    <col min="8960" max="8964" width="14.85546875" style="2" customWidth="1"/>
    <col min="8965" max="8965" width="63.85546875" style="2" customWidth="1"/>
    <col min="8966" max="8966" width="13.28515625" style="2" customWidth="1"/>
    <col min="8967" max="9152" width="9" style="2"/>
    <col min="9153" max="9154" width="0" style="2" hidden="1" customWidth="1"/>
    <col min="9155" max="9155" width="13.7109375" style="2" customWidth="1"/>
    <col min="9156" max="9156" width="52.85546875" style="2" customWidth="1"/>
    <col min="9157" max="9196" width="0" style="2" hidden="1" customWidth="1"/>
    <col min="9197" max="9198" width="14.85546875" style="2" customWidth="1"/>
    <col min="9199" max="9200" width="0" style="2" hidden="1" customWidth="1"/>
    <col min="9201" max="9201" width="14.85546875" style="2" customWidth="1"/>
    <col min="9202" max="9203" width="0" style="2" hidden="1" customWidth="1"/>
    <col min="9204" max="9204" width="14.85546875" style="2" customWidth="1"/>
    <col min="9205" max="9206" width="0" style="2" hidden="1" customWidth="1"/>
    <col min="9207" max="9207" width="14.85546875" style="2" customWidth="1"/>
    <col min="9208" max="9209" width="0" style="2" hidden="1" customWidth="1"/>
    <col min="9210" max="9210" width="14.85546875" style="2" customWidth="1"/>
    <col min="9211" max="9212" width="0" style="2" hidden="1" customWidth="1"/>
    <col min="9213" max="9214" width="14.85546875" style="2" customWidth="1"/>
    <col min="9215" max="9215" width="44.42578125" style="2" customWidth="1"/>
    <col min="9216" max="9220" width="14.85546875" style="2" customWidth="1"/>
    <col min="9221" max="9221" width="63.85546875" style="2" customWidth="1"/>
    <col min="9222" max="9222" width="13.28515625" style="2" customWidth="1"/>
    <col min="9223" max="9408" width="9" style="2"/>
    <col min="9409" max="9410" width="0" style="2" hidden="1" customWidth="1"/>
    <col min="9411" max="9411" width="13.7109375" style="2" customWidth="1"/>
    <col min="9412" max="9412" width="52.85546875" style="2" customWidth="1"/>
    <col min="9413" max="9452" width="0" style="2" hidden="1" customWidth="1"/>
    <col min="9453" max="9454" width="14.85546875" style="2" customWidth="1"/>
    <col min="9455" max="9456" width="0" style="2" hidden="1" customWidth="1"/>
    <col min="9457" max="9457" width="14.85546875" style="2" customWidth="1"/>
    <col min="9458" max="9459" width="0" style="2" hidden="1" customWidth="1"/>
    <col min="9460" max="9460" width="14.85546875" style="2" customWidth="1"/>
    <col min="9461" max="9462" width="0" style="2" hidden="1" customWidth="1"/>
    <col min="9463" max="9463" width="14.85546875" style="2" customWidth="1"/>
    <col min="9464" max="9465" width="0" style="2" hidden="1" customWidth="1"/>
    <col min="9466" max="9466" width="14.85546875" style="2" customWidth="1"/>
    <col min="9467" max="9468" width="0" style="2" hidden="1" customWidth="1"/>
    <col min="9469" max="9470" width="14.85546875" style="2" customWidth="1"/>
    <col min="9471" max="9471" width="44.42578125" style="2" customWidth="1"/>
    <col min="9472" max="9476" width="14.85546875" style="2" customWidth="1"/>
    <col min="9477" max="9477" width="63.85546875" style="2" customWidth="1"/>
    <col min="9478" max="9478" width="13.28515625" style="2" customWidth="1"/>
    <col min="9479" max="9664" width="9" style="2"/>
    <col min="9665" max="9666" width="0" style="2" hidden="1" customWidth="1"/>
    <col min="9667" max="9667" width="13.7109375" style="2" customWidth="1"/>
    <col min="9668" max="9668" width="52.85546875" style="2" customWidth="1"/>
    <col min="9669" max="9708" width="0" style="2" hidden="1" customWidth="1"/>
    <col min="9709" max="9710" width="14.85546875" style="2" customWidth="1"/>
    <col min="9711" max="9712" width="0" style="2" hidden="1" customWidth="1"/>
    <col min="9713" max="9713" width="14.85546875" style="2" customWidth="1"/>
    <col min="9714" max="9715" width="0" style="2" hidden="1" customWidth="1"/>
    <col min="9716" max="9716" width="14.85546875" style="2" customWidth="1"/>
    <col min="9717" max="9718" width="0" style="2" hidden="1" customWidth="1"/>
    <col min="9719" max="9719" width="14.85546875" style="2" customWidth="1"/>
    <col min="9720" max="9721" width="0" style="2" hidden="1" customWidth="1"/>
    <col min="9722" max="9722" width="14.85546875" style="2" customWidth="1"/>
    <col min="9723" max="9724" width="0" style="2" hidden="1" customWidth="1"/>
    <col min="9725" max="9726" width="14.85546875" style="2" customWidth="1"/>
    <col min="9727" max="9727" width="44.42578125" style="2" customWidth="1"/>
    <col min="9728" max="9732" width="14.85546875" style="2" customWidth="1"/>
    <col min="9733" max="9733" width="63.85546875" style="2" customWidth="1"/>
    <col min="9734" max="9734" width="13.28515625" style="2" customWidth="1"/>
    <col min="9735" max="9920" width="9" style="2"/>
    <col min="9921" max="9922" width="0" style="2" hidden="1" customWidth="1"/>
    <col min="9923" max="9923" width="13.7109375" style="2" customWidth="1"/>
    <col min="9924" max="9924" width="52.85546875" style="2" customWidth="1"/>
    <col min="9925" max="9964" width="0" style="2" hidden="1" customWidth="1"/>
    <col min="9965" max="9966" width="14.85546875" style="2" customWidth="1"/>
    <col min="9967" max="9968" width="0" style="2" hidden="1" customWidth="1"/>
    <col min="9969" max="9969" width="14.85546875" style="2" customWidth="1"/>
    <col min="9970" max="9971" width="0" style="2" hidden="1" customWidth="1"/>
    <col min="9972" max="9972" width="14.85546875" style="2" customWidth="1"/>
    <col min="9973" max="9974" width="0" style="2" hidden="1" customWidth="1"/>
    <col min="9975" max="9975" width="14.85546875" style="2" customWidth="1"/>
    <col min="9976" max="9977" width="0" style="2" hidden="1" customWidth="1"/>
    <col min="9978" max="9978" width="14.85546875" style="2" customWidth="1"/>
    <col min="9979" max="9980" width="0" style="2" hidden="1" customWidth="1"/>
    <col min="9981" max="9982" width="14.85546875" style="2" customWidth="1"/>
    <col min="9983" max="9983" width="44.42578125" style="2" customWidth="1"/>
    <col min="9984" max="9988" width="14.85546875" style="2" customWidth="1"/>
    <col min="9989" max="9989" width="63.85546875" style="2" customWidth="1"/>
    <col min="9990" max="9990" width="13.28515625" style="2" customWidth="1"/>
    <col min="9991" max="10176" width="9" style="2"/>
    <col min="10177" max="10178" width="0" style="2" hidden="1" customWidth="1"/>
    <col min="10179" max="10179" width="13.7109375" style="2" customWidth="1"/>
    <col min="10180" max="10180" width="52.85546875" style="2" customWidth="1"/>
    <col min="10181" max="10220" width="0" style="2" hidden="1" customWidth="1"/>
    <col min="10221" max="10222" width="14.85546875" style="2" customWidth="1"/>
    <col min="10223" max="10224" width="0" style="2" hidden="1" customWidth="1"/>
    <col min="10225" max="10225" width="14.85546875" style="2" customWidth="1"/>
    <col min="10226" max="10227" width="0" style="2" hidden="1" customWidth="1"/>
    <col min="10228" max="10228" width="14.85546875" style="2" customWidth="1"/>
    <col min="10229" max="10230" width="0" style="2" hidden="1" customWidth="1"/>
    <col min="10231" max="10231" width="14.85546875" style="2" customWidth="1"/>
    <col min="10232" max="10233" width="0" style="2" hidden="1" customWidth="1"/>
    <col min="10234" max="10234" width="14.85546875" style="2" customWidth="1"/>
    <col min="10235" max="10236" width="0" style="2" hidden="1" customWidth="1"/>
    <col min="10237" max="10238" width="14.85546875" style="2" customWidth="1"/>
    <col min="10239" max="10239" width="44.42578125" style="2" customWidth="1"/>
    <col min="10240" max="10244" width="14.85546875" style="2" customWidth="1"/>
    <col min="10245" max="10245" width="63.85546875" style="2" customWidth="1"/>
    <col min="10246" max="10246" width="13.28515625" style="2" customWidth="1"/>
    <col min="10247" max="10432" width="9" style="2"/>
    <col min="10433" max="10434" width="0" style="2" hidden="1" customWidth="1"/>
    <col min="10435" max="10435" width="13.7109375" style="2" customWidth="1"/>
    <col min="10436" max="10436" width="52.85546875" style="2" customWidth="1"/>
    <col min="10437" max="10476" width="0" style="2" hidden="1" customWidth="1"/>
    <col min="10477" max="10478" width="14.85546875" style="2" customWidth="1"/>
    <col min="10479" max="10480" width="0" style="2" hidden="1" customWidth="1"/>
    <col min="10481" max="10481" width="14.85546875" style="2" customWidth="1"/>
    <col min="10482" max="10483" width="0" style="2" hidden="1" customWidth="1"/>
    <col min="10484" max="10484" width="14.85546875" style="2" customWidth="1"/>
    <col min="10485" max="10486" width="0" style="2" hidden="1" customWidth="1"/>
    <col min="10487" max="10487" width="14.85546875" style="2" customWidth="1"/>
    <col min="10488" max="10489" width="0" style="2" hidden="1" customWidth="1"/>
    <col min="10490" max="10490" width="14.85546875" style="2" customWidth="1"/>
    <col min="10491" max="10492" width="0" style="2" hidden="1" customWidth="1"/>
    <col min="10493" max="10494" width="14.85546875" style="2" customWidth="1"/>
    <col min="10495" max="10495" width="44.42578125" style="2" customWidth="1"/>
    <col min="10496" max="10500" width="14.85546875" style="2" customWidth="1"/>
    <col min="10501" max="10501" width="63.85546875" style="2" customWidth="1"/>
    <col min="10502" max="10502" width="13.28515625" style="2" customWidth="1"/>
    <col min="10503" max="10688" width="9" style="2"/>
    <col min="10689" max="10690" width="0" style="2" hidden="1" customWidth="1"/>
    <col min="10691" max="10691" width="13.7109375" style="2" customWidth="1"/>
    <col min="10692" max="10692" width="52.85546875" style="2" customWidth="1"/>
    <col min="10693" max="10732" width="0" style="2" hidden="1" customWidth="1"/>
    <col min="10733" max="10734" width="14.85546875" style="2" customWidth="1"/>
    <col min="10735" max="10736" width="0" style="2" hidden="1" customWidth="1"/>
    <col min="10737" max="10737" width="14.85546875" style="2" customWidth="1"/>
    <col min="10738" max="10739" width="0" style="2" hidden="1" customWidth="1"/>
    <col min="10740" max="10740" width="14.85546875" style="2" customWidth="1"/>
    <col min="10741" max="10742" width="0" style="2" hidden="1" customWidth="1"/>
    <col min="10743" max="10743" width="14.85546875" style="2" customWidth="1"/>
    <col min="10744" max="10745" width="0" style="2" hidden="1" customWidth="1"/>
    <col min="10746" max="10746" width="14.85546875" style="2" customWidth="1"/>
    <col min="10747" max="10748" width="0" style="2" hidden="1" customWidth="1"/>
    <col min="10749" max="10750" width="14.85546875" style="2" customWidth="1"/>
    <col min="10751" max="10751" width="44.42578125" style="2" customWidth="1"/>
    <col min="10752" max="10756" width="14.85546875" style="2" customWidth="1"/>
    <col min="10757" max="10757" width="63.85546875" style="2" customWidth="1"/>
    <col min="10758" max="10758" width="13.28515625" style="2" customWidth="1"/>
    <col min="10759" max="10944" width="9" style="2"/>
    <col min="10945" max="10946" width="0" style="2" hidden="1" customWidth="1"/>
    <col min="10947" max="10947" width="13.7109375" style="2" customWidth="1"/>
    <col min="10948" max="10948" width="52.85546875" style="2" customWidth="1"/>
    <col min="10949" max="10988" width="0" style="2" hidden="1" customWidth="1"/>
    <col min="10989" max="10990" width="14.85546875" style="2" customWidth="1"/>
    <col min="10991" max="10992" width="0" style="2" hidden="1" customWidth="1"/>
    <col min="10993" max="10993" width="14.85546875" style="2" customWidth="1"/>
    <col min="10994" max="10995" width="0" style="2" hidden="1" customWidth="1"/>
    <col min="10996" max="10996" width="14.85546875" style="2" customWidth="1"/>
    <col min="10997" max="10998" width="0" style="2" hidden="1" customWidth="1"/>
    <col min="10999" max="10999" width="14.85546875" style="2" customWidth="1"/>
    <col min="11000" max="11001" width="0" style="2" hidden="1" customWidth="1"/>
    <col min="11002" max="11002" width="14.85546875" style="2" customWidth="1"/>
    <col min="11003" max="11004" width="0" style="2" hidden="1" customWidth="1"/>
    <col min="11005" max="11006" width="14.85546875" style="2" customWidth="1"/>
    <col min="11007" max="11007" width="44.42578125" style="2" customWidth="1"/>
    <col min="11008" max="11012" width="14.85546875" style="2" customWidth="1"/>
    <col min="11013" max="11013" width="63.85546875" style="2" customWidth="1"/>
    <col min="11014" max="11014" width="13.28515625" style="2" customWidth="1"/>
    <col min="11015" max="11200" width="9" style="2"/>
    <col min="11201" max="11202" width="0" style="2" hidden="1" customWidth="1"/>
    <col min="11203" max="11203" width="13.7109375" style="2" customWidth="1"/>
    <col min="11204" max="11204" width="52.85546875" style="2" customWidth="1"/>
    <col min="11205" max="11244" width="0" style="2" hidden="1" customWidth="1"/>
    <col min="11245" max="11246" width="14.85546875" style="2" customWidth="1"/>
    <col min="11247" max="11248" width="0" style="2" hidden="1" customWidth="1"/>
    <col min="11249" max="11249" width="14.85546875" style="2" customWidth="1"/>
    <col min="11250" max="11251" width="0" style="2" hidden="1" customWidth="1"/>
    <col min="11252" max="11252" width="14.85546875" style="2" customWidth="1"/>
    <col min="11253" max="11254" width="0" style="2" hidden="1" customWidth="1"/>
    <col min="11255" max="11255" width="14.85546875" style="2" customWidth="1"/>
    <col min="11256" max="11257" width="0" style="2" hidden="1" customWidth="1"/>
    <col min="11258" max="11258" width="14.85546875" style="2" customWidth="1"/>
    <col min="11259" max="11260" width="0" style="2" hidden="1" customWidth="1"/>
    <col min="11261" max="11262" width="14.85546875" style="2" customWidth="1"/>
    <col min="11263" max="11263" width="44.42578125" style="2" customWidth="1"/>
    <col min="11264" max="11268" width="14.85546875" style="2" customWidth="1"/>
    <col min="11269" max="11269" width="63.85546875" style="2" customWidth="1"/>
    <col min="11270" max="11270" width="13.28515625" style="2" customWidth="1"/>
    <col min="11271" max="11456" width="9" style="2"/>
    <col min="11457" max="11458" width="0" style="2" hidden="1" customWidth="1"/>
    <col min="11459" max="11459" width="13.7109375" style="2" customWidth="1"/>
    <col min="11460" max="11460" width="52.85546875" style="2" customWidth="1"/>
    <col min="11461" max="11500" width="0" style="2" hidden="1" customWidth="1"/>
    <col min="11501" max="11502" width="14.85546875" style="2" customWidth="1"/>
    <col min="11503" max="11504" width="0" style="2" hidden="1" customWidth="1"/>
    <col min="11505" max="11505" width="14.85546875" style="2" customWidth="1"/>
    <col min="11506" max="11507" width="0" style="2" hidden="1" customWidth="1"/>
    <col min="11508" max="11508" width="14.85546875" style="2" customWidth="1"/>
    <col min="11509" max="11510" width="0" style="2" hidden="1" customWidth="1"/>
    <col min="11511" max="11511" width="14.85546875" style="2" customWidth="1"/>
    <col min="11512" max="11513" width="0" style="2" hidden="1" customWidth="1"/>
    <col min="11514" max="11514" width="14.85546875" style="2" customWidth="1"/>
    <col min="11515" max="11516" width="0" style="2" hidden="1" customWidth="1"/>
    <col min="11517" max="11518" width="14.85546875" style="2" customWidth="1"/>
    <col min="11519" max="11519" width="44.42578125" style="2" customWidth="1"/>
    <col min="11520" max="11524" width="14.85546875" style="2" customWidth="1"/>
    <col min="11525" max="11525" width="63.85546875" style="2" customWidth="1"/>
    <col min="11526" max="11526" width="13.28515625" style="2" customWidth="1"/>
    <col min="11527" max="11712" width="9" style="2"/>
    <col min="11713" max="11714" width="0" style="2" hidden="1" customWidth="1"/>
    <col min="11715" max="11715" width="13.7109375" style="2" customWidth="1"/>
    <col min="11716" max="11716" width="52.85546875" style="2" customWidth="1"/>
    <col min="11717" max="11756" width="0" style="2" hidden="1" customWidth="1"/>
    <col min="11757" max="11758" width="14.85546875" style="2" customWidth="1"/>
    <col min="11759" max="11760" width="0" style="2" hidden="1" customWidth="1"/>
    <col min="11761" max="11761" width="14.85546875" style="2" customWidth="1"/>
    <col min="11762" max="11763" width="0" style="2" hidden="1" customWidth="1"/>
    <col min="11764" max="11764" width="14.85546875" style="2" customWidth="1"/>
    <col min="11765" max="11766" width="0" style="2" hidden="1" customWidth="1"/>
    <col min="11767" max="11767" width="14.85546875" style="2" customWidth="1"/>
    <col min="11768" max="11769" width="0" style="2" hidden="1" customWidth="1"/>
    <col min="11770" max="11770" width="14.85546875" style="2" customWidth="1"/>
    <col min="11771" max="11772" width="0" style="2" hidden="1" customWidth="1"/>
    <col min="11773" max="11774" width="14.85546875" style="2" customWidth="1"/>
    <col min="11775" max="11775" width="44.42578125" style="2" customWidth="1"/>
    <col min="11776" max="11780" width="14.85546875" style="2" customWidth="1"/>
    <col min="11781" max="11781" width="63.85546875" style="2" customWidth="1"/>
    <col min="11782" max="11782" width="13.28515625" style="2" customWidth="1"/>
    <col min="11783" max="11968" width="9" style="2"/>
    <col min="11969" max="11970" width="0" style="2" hidden="1" customWidth="1"/>
    <col min="11971" max="11971" width="13.7109375" style="2" customWidth="1"/>
    <col min="11972" max="11972" width="52.85546875" style="2" customWidth="1"/>
    <col min="11973" max="12012" width="0" style="2" hidden="1" customWidth="1"/>
    <col min="12013" max="12014" width="14.85546875" style="2" customWidth="1"/>
    <col min="12015" max="12016" width="0" style="2" hidden="1" customWidth="1"/>
    <col min="12017" max="12017" width="14.85546875" style="2" customWidth="1"/>
    <col min="12018" max="12019" width="0" style="2" hidden="1" customWidth="1"/>
    <col min="12020" max="12020" width="14.85546875" style="2" customWidth="1"/>
    <col min="12021" max="12022" width="0" style="2" hidden="1" customWidth="1"/>
    <col min="12023" max="12023" width="14.85546875" style="2" customWidth="1"/>
    <col min="12024" max="12025" width="0" style="2" hidden="1" customWidth="1"/>
    <col min="12026" max="12026" width="14.85546875" style="2" customWidth="1"/>
    <col min="12027" max="12028" width="0" style="2" hidden="1" customWidth="1"/>
    <col min="12029" max="12030" width="14.85546875" style="2" customWidth="1"/>
    <col min="12031" max="12031" width="44.42578125" style="2" customWidth="1"/>
    <col min="12032" max="12036" width="14.85546875" style="2" customWidth="1"/>
    <col min="12037" max="12037" width="63.85546875" style="2" customWidth="1"/>
    <col min="12038" max="12038" width="13.28515625" style="2" customWidth="1"/>
    <col min="12039" max="12224" width="9" style="2"/>
    <col min="12225" max="12226" width="0" style="2" hidden="1" customWidth="1"/>
    <col min="12227" max="12227" width="13.7109375" style="2" customWidth="1"/>
    <col min="12228" max="12228" width="52.85546875" style="2" customWidth="1"/>
    <col min="12229" max="12268" width="0" style="2" hidden="1" customWidth="1"/>
    <col min="12269" max="12270" width="14.85546875" style="2" customWidth="1"/>
    <col min="12271" max="12272" width="0" style="2" hidden="1" customWidth="1"/>
    <col min="12273" max="12273" width="14.85546875" style="2" customWidth="1"/>
    <col min="12274" max="12275" width="0" style="2" hidden="1" customWidth="1"/>
    <col min="12276" max="12276" width="14.85546875" style="2" customWidth="1"/>
    <col min="12277" max="12278" width="0" style="2" hidden="1" customWidth="1"/>
    <col min="12279" max="12279" width="14.85546875" style="2" customWidth="1"/>
    <col min="12280" max="12281" width="0" style="2" hidden="1" customWidth="1"/>
    <col min="12282" max="12282" width="14.85546875" style="2" customWidth="1"/>
    <col min="12283" max="12284" width="0" style="2" hidden="1" customWidth="1"/>
    <col min="12285" max="12286" width="14.85546875" style="2" customWidth="1"/>
    <col min="12287" max="12287" width="44.42578125" style="2" customWidth="1"/>
    <col min="12288" max="12292" width="14.85546875" style="2" customWidth="1"/>
    <col min="12293" max="12293" width="63.85546875" style="2" customWidth="1"/>
    <col min="12294" max="12294" width="13.28515625" style="2" customWidth="1"/>
    <col min="12295" max="12480" width="9" style="2"/>
    <col min="12481" max="12482" width="0" style="2" hidden="1" customWidth="1"/>
    <col min="12483" max="12483" width="13.7109375" style="2" customWidth="1"/>
    <col min="12484" max="12484" width="52.85546875" style="2" customWidth="1"/>
    <col min="12485" max="12524" width="0" style="2" hidden="1" customWidth="1"/>
    <col min="12525" max="12526" width="14.85546875" style="2" customWidth="1"/>
    <col min="12527" max="12528" width="0" style="2" hidden="1" customWidth="1"/>
    <col min="12529" max="12529" width="14.85546875" style="2" customWidth="1"/>
    <col min="12530" max="12531" width="0" style="2" hidden="1" customWidth="1"/>
    <col min="12532" max="12532" width="14.85546875" style="2" customWidth="1"/>
    <col min="12533" max="12534" width="0" style="2" hidden="1" customWidth="1"/>
    <col min="12535" max="12535" width="14.85546875" style="2" customWidth="1"/>
    <col min="12536" max="12537" width="0" style="2" hidden="1" customWidth="1"/>
    <col min="12538" max="12538" width="14.85546875" style="2" customWidth="1"/>
    <col min="12539" max="12540" width="0" style="2" hidden="1" customWidth="1"/>
    <col min="12541" max="12542" width="14.85546875" style="2" customWidth="1"/>
    <col min="12543" max="12543" width="44.42578125" style="2" customWidth="1"/>
    <col min="12544" max="12548" width="14.85546875" style="2" customWidth="1"/>
    <col min="12549" max="12549" width="63.85546875" style="2" customWidth="1"/>
    <col min="12550" max="12550" width="13.28515625" style="2" customWidth="1"/>
    <col min="12551" max="12736" width="9" style="2"/>
    <col min="12737" max="12738" width="0" style="2" hidden="1" customWidth="1"/>
    <col min="12739" max="12739" width="13.7109375" style="2" customWidth="1"/>
    <col min="12740" max="12740" width="52.85546875" style="2" customWidth="1"/>
    <col min="12741" max="12780" width="0" style="2" hidden="1" customWidth="1"/>
    <col min="12781" max="12782" width="14.85546875" style="2" customWidth="1"/>
    <col min="12783" max="12784" width="0" style="2" hidden="1" customWidth="1"/>
    <col min="12785" max="12785" width="14.85546875" style="2" customWidth="1"/>
    <col min="12786" max="12787" width="0" style="2" hidden="1" customWidth="1"/>
    <col min="12788" max="12788" width="14.85546875" style="2" customWidth="1"/>
    <col min="12789" max="12790" width="0" style="2" hidden="1" customWidth="1"/>
    <col min="12791" max="12791" width="14.85546875" style="2" customWidth="1"/>
    <col min="12792" max="12793" width="0" style="2" hidden="1" customWidth="1"/>
    <col min="12794" max="12794" width="14.85546875" style="2" customWidth="1"/>
    <col min="12795" max="12796" width="0" style="2" hidden="1" customWidth="1"/>
    <col min="12797" max="12798" width="14.85546875" style="2" customWidth="1"/>
    <col min="12799" max="12799" width="44.42578125" style="2" customWidth="1"/>
    <col min="12800" max="12804" width="14.85546875" style="2" customWidth="1"/>
    <col min="12805" max="12805" width="63.85546875" style="2" customWidth="1"/>
    <col min="12806" max="12806" width="13.28515625" style="2" customWidth="1"/>
    <col min="12807" max="12992" width="9" style="2"/>
    <col min="12993" max="12994" width="0" style="2" hidden="1" customWidth="1"/>
    <col min="12995" max="12995" width="13.7109375" style="2" customWidth="1"/>
    <col min="12996" max="12996" width="52.85546875" style="2" customWidth="1"/>
    <col min="12997" max="13036" width="0" style="2" hidden="1" customWidth="1"/>
    <col min="13037" max="13038" width="14.85546875" style="2" customWidth="1"/>
    <col min="13039" max="13040" width="0" style="2" hidden="1" customWidth="1"/>
    <col min="13041" max="13041" width="14.85546875" style="2" customWidth="1"/>
    <col min="13042" max="13043" width="0" style="2" hidden="1" customWidth="1"/>
    <col min="13044" max="13044" width="14.85546875" style="2" customWidth="1"/>
    <col min="13045" max="13046" width="0" style="2" hidden="1" customWidth="1"/>
    <col min="13047" max="13047" width="14.85546875" style="2" customWidth="1"/>
    <col min="13048" max="13049" width="0" style="2" hidden="1" customWidth="1"/>
    <col min="13050" max="13050" width="14.85546875" style="2" customWidth="1"/>
    <col min="13051" max="13052" width="0" style="2" hidden="1" customWidth="1"/>
    <col min="13053" max="13054" width="14.85546875" style="2" customWidth="1"/>
    <col min="13055" max="13055" width="44.42578125" style="2" customWidth="1"/>
    <col min="13056" max="13060" width="14.85546875" style="2" customWidth="1"/>
    <col min="13061" max="13061" width="63.85546875" style="2" customWidth="1"/>
    <col min="13062" max="13062" width="13.28515625" style="2" customWidth="1"/>
    <col min="13063" max="13248" width="9" style="2"/>
    <col min="13249" max="13250" width="0" style="2" hidden="1" customWidth="1"/>
    <col min="13251" max="13251" width="13.7109375" style="2" customWidth="1"/>
    <col min="13252" max="13252" width="52.85546875" style="2" customWidth="1"/>
    <col min="13253" max="13292" width="0" style="2" hidden="1" customWidth="1"/>
    <col min="13293" max="13294" width="14.85546875" style="2" customWidth="1"/>
    <col min="13295" max="13296" width="0" style="2" hidden="1" customWidth="1"/>
    <col min="13297" max="13297" width="14.85546875" style="2" customWidth="1"/>
    <col min="13298" max="13299" width="0" style="2" hidden="1" customWidth="1"/>
    <col min="13300" max="13300" width="14.85546875" style="2" customWidth="1"/>
    <col min="13301" max="13302" width="0" style="2" hidden="1" customWidth="1"/>
    <col min="13303" max="13303" width="14.85546875" style="2" customWidth="1"/>
    <col min="13304" max="13305" width="0" style="2" hidden="1" customWidth="1"/>
    <col min="13306" max="13306" width="14.85546875" style="2" customWidth="1"/>
    <col min="13307" max="13308" width="0" style="2" hidden="1" customWidth="1"/>
    <col min="13309" max="13310" width="14.85546875" style="2" customWidth="1"/>
    <col min="13311" max="13311" width="44.42578125" style="2" customWidth="1"/>
    <col min="13312" max="13316" width="14.85546875" style="2" customWidth="1"/>
    <col min="13317" max="13317" width="63.85546875" style="2" customWidth="1"/>
    <col min="13318" max="13318" width="13.28515625" style="2" customWidth="1"/>
    <col min="13319" max="13504" width="9" style="2"/>
    <col min="13505" max="13506" width="0" style="2" hidden="1" customWidth="1"/>
    <col min="13507" max="13507" width="13.7109375" style="2" customWidth="1"/>
    <col min="13508" max="13508" width="52.85546875" style="2" customWidth="1"/>
    <col min="13509" max="13548" width="0" style="2" hidden="1" customWidth="1"/>
    <col min="13549" max="13550" width="14.85546875" style="2" customWidth="1"/>
    <col min="13551" max="13552" width="0" style="2" hidden="1" customWidth="1"/>
    <col min="13553" max="13553" width="14.85546875" style="2" customWidth="1"/>
    <col min="13554" max="13555" width="0" style="2" hidden="1" customWidth="1"/>
    <col min="13556" max="13556" width="14.85546875" style="2" customWidth="1"/>
    <col min="13557" max="13558" width="0" style="2" hidden="1" customWidth="1"/>
    <col min="13559" max="13559" width="14.85546875" style="2" customWidth="1"/>
    <col min="13560" max="13561" width="0" style="2" hidden="1" customWidth="1"/>
    <col min="13562" max="13562" width="14.85546875" style="2" customWidth="1"/>
    <col min="13563" max="13564" width="0" style="2" hidden="1" customWidth="1"/>
    <col min="13565" max="13566" width="14.85546875" style="2" customWidth="1"/>
    <col min="13567" max="13567" width="44.42578125" style="2" customWidth="1"/>
    <col min="13568" max="13572" width="14.85546875" style="2" customWidth="1"/>
    <col min="13573" max="13573" width="63.85546875" style="2" customWidth="1"/>
    <col min="13574" max="13574" width="13.28515625" style="2" customWidth="1"/>
    <col min="13575" max="13760" width="9" style="2"/>
    <col min="13761" max="13762" width="0" style="2" hidden="1" customWidth="1"/>
    <col min="13763" max="13763" width="13.7109375" style="2" customWidth="1"/>
    <col min="13764" max="13764" width="52.85546875" style="2" customWidth="1"/>
    <col min="13765" max="13804" width="0" style="2" hidden="1" customWidth="1"/>
    <col min="13805" max="13806" width="14.85546875" style="2" customWidth="1"/>
    <col min="13807" max="13808" width="0" style="2" hidden="1" customWidth="1"/>
    <col min="13809" max="13809" width="14.85546875" style="2" customWidth="1"/>
    <col min="13810" max="13811" width="0" style="2" hidden="1" customWidth="1"/>
    <col min="13812" max="13812" width="14.85546875" style="2" customWidth="1"/>
    <col min="13813" max="13814" width="0" style="2" hidden="1" customWidth="1"/>
    <col min="13815" max="13815" width="14.85546875" style="2" customWidth="1"/>
    <col min="13816" max="13817" width="0" style="2" hidden="1" customWidth="1"/>
    <col min="13818" max="13818" width="14.85546875" style="2" customWidth="1"/>
    <col min="13819" max="13820" width="0" style="2" hidden="1" customWidth="1"/>
    <col min="13821" max="13822" width="14.85546875" style="2" customWidth="1"/>
    <col min="13823" max="13823" width="44.42578125" style="2" customWidth="1"/>
    <col min="13824" max="13828" width="14.85546875" style="2" customWidth="1"/>
    <col min="13829" max="13829" width="63.85546875" style="2" customWidth="1"/>
    <col min="13830" max="13830" width="13.28515625" style="2" customWidth="1"/>
    <col min="13831" max="14016" width="9" style="2"/>
    <col min="14017" max="14018" width="0" style="2" hidden="1" customWidth="1"/>
    <col min="14019" max="14019" width="13.7109375" style="2" customWidth="1"/>
    <col min="14020" max="14020" width="52.85546875" style="2" customWidth="1"/>
    <col min="14021" max="14060" width="0" style="2" hidden="1" customWidth="1"/>
    <col min="14061" max="14062" width="14.85546875" style="2" customWidth="1"/>
    <col min="14063" max="14064" width="0" style="2" hidden="1" customWidth="1"/>
    <col min="14065" max="14065" width="14.85546875" style="2" customWidth="1"/>
    <col min="14066" max="14067" width="0" style="2" hidden="1" customWidth="1"/>
    <col min="14068" max="14068" width="14.85546875" style="2" customWidth="1"/>
    <col min="14069" max="14070" width="0" style="2" hidden="1" customWidth="1"/>
    <col min="14071" max="14071" width="14.85546875" style="2" customWidth="1"/>
    <col min="14072" max="14073" width="0" style="2" hidden="1" customWidth="1"/>
    <col min="14074" max="14074" width="14.85546875" style="2" customWidth="1"/>
    <col min="14075" max="14076" width="0" style="2" hidden="1" customWidth="1"/>
    <col min="14077" max="14078" width="14.85546875" style="2" customWidth="1"/>
    <col min="14079" max="14079" width="44.42578125" style="2" customWidth="1"/>
    <col min="14080" max="14084" width="14.85546875" style="2" customWidth="1"/>
    <col min="14085" max="14085" width="63.85546875" style="2" customWidth="1"/>
    <col min="14086" max="14086" width="13.28515625" style="2" customWidth="1"/>
    <col min="14087" max="14272" width="9" style="2"/>
    <col min="14273" max="14274" width="0" style="2" hidden="1" customWidth="1"/>
    <col min="14275" max="14275" width="13.7109375" style="2" customWidth="1"/>
    <col min="14276" max="14276" width="52.85546875" style="2" customWidth="1"/>
    <col min="14277" max="14316" width="0" style="2" hidden="1" customWidth="1"/>
    <col min="14317" max="14318" width="14.85546875" style="2" customWidth="1"/>
    <col min="14319" max="14320" width="0" style="2" hidden="1" customWidth="1"/>
    <col min="14321" max="14321" width="14.85546875" style="2" customWidth="1"/>
    <col min="14322" max="14323" width="0" style="2" hidden="1" customWidth="1"/>
    <col min="14324" max="14324" width="14.85546875" style="2" customWidth="1"/>
    <col min="14325" max="14326" width="0" style="2" hidden="1" customWidth="1"/>
    <col min="14327" max="14327" width="14.85546875" style="2" customWidth="1"/>
    <col min="14328" max="14329" width="0" style="2" hidden="1" customWidth="1"/>
    <col min="14330" max="14330" width="14.85546875" style="2" customWidth="1"/>
    <col min="14331" max="14332" width="0" style="2" hidden="1" customWidth="1"/>
    <col min="14333" max="14334" width="14.85546875" style="2" customWidth="1"/>
    <col min="14335" max="14335" width="44.42578125" style="2" customWidth="1"/>
    <col min="14336" max="14340" width="14.85546875" style="2" customWidth="1"/>
    <col min="14341" max="14341" width="63.85546875" style="2" customWidth="1"/>
    <col min="14342" max="14342" width="13.28515625" style="2" customWidth="1"/>
    <col min="14343" max="14528" width="9" style="2"/>
    <col min="14529" max="14530" width="0" style="2" hidden="1" customWidth="1"/>
    <col min="14531" max="14531" width="13.7109375" style="2" customWidth="1"/>
    <col min="14532" max="14532" width="52.85546875" style="2" customWidth="1"/>
    <col min="14533" max="14572" width="0" style="2" hidden="1" customWidth="1"/>
    <col min="14573" max="14574" width="14.85546875" style="2" customWidth="1"/>
    <col min="14575" max="14576" width="0" style="2" hidden="1" customWidth="1"/>
    <col min="14577" max="14577" width="14.85546875" style="2" customWidth="1"/>
    <col min="14578" max="14579" width="0" style="2" hidden="1" customWidth="1"/>
    <col min="14580" max="14580" width="14.85546875" style="2" customWidth="1"/>
    <col min="14581" max="14582" width="0" style="2" hidden="1" customWidth="1"/>
    <col min="14583" max="14583" width="14.85546875" style="2" customWidth="1"/>
    <col min="14584" max="14585" width="0" style="2" hidden="1" customWidth="1"/>
    <col min="14586" max="14586" width="14.85546875" style="2" customWidth="1"/>
    <col min="14587" max="14588" width="0" style="2" hidden="1" customWidth="1"/>
    <col min="14589" max="14590" width="14.85546875" style="2" customWidth="1"/>
    <col min="14591" max="14591" width="44.42578125" style="2" customWidth="1"/>
    <col min="14592" max="14596" width="14.85546875" style="2" customWidth="1"/>
    <col min="14597" max="14597" width="63.85546875" style="2" customWidth="1"/>
    <col min="14598" max="14598" width="13.28515625" style="2" customWidth="1"/>
    <col min="14599" max="14784" width="9" style="2"/>
    <col min="14785" max="14786" width="0" style="2" hidden="1" customWidth="1"/>
    <col min="14787" max="14787" width="13.7109375" style="2" customWidth="1"/>
    <col min="14788" max="14788" width="52.85546875" style="2" customWidth="1"/>
    <col min="14789" max="14828" width="0" style="2" hidden="1" customWidth="1"/>
    <col min="14829" max="14830" width="14.85546875" style="2" customWidth="1"/>
    <col min="14831" max="14832" width="0" style="2" hidden="1" customWidth="1"/>
    <col min="14833" max="14833" width="14.85546875" style="2" customWidth="1"/>
    <col min="14834" max="14835" width="0" style="2" hidden="1" customWidth="1"/>
    <col min="14836" max="14836" width="14.85546875" style="2" customWidth="1"/>
    <col min="14837" max="14838" width="0" style="2" hidden="1" customWidth="1"/>
    <col min="14839" max="14839" width="14.85546875" style="2" customWidth="1"/>
    <col min="14840" max="14841" width="0" style="2" hidden="1" customWidth="1"/>
    <col min="14842" max="14842" width="14.85546875" style="2" customWidth="1"/>
    <col min="14843" max="14844" width="0" style="2" hidden="1" customWidth="1"/>
    <col min="14845" max="14846" width="14.85546875" style="2" customWidth="1"/>
    <col min="14847" max="14847" width="44.42578125" style="2" customWidth="1"/>
    <col min="14848" max="14852" width="14.85546875" style="2" customWidth="1"/>
    <col min="14853" max="14853" width="63.85546875" style="2" customWidth="1"/>
    <col min="14854" max="14854" width="13.28515625" style="2" customWidth="1"/>
    <col min="14855" max="15040" width="9" style="2"/>
    <col min="15041" max="15042" width="0" style="2" hidden="1" customWidth="1"/>
    <col min="15043" max="15043" width="13.7109375" style="2" customWidth="1"/>
    <col min="15044" max="15044" width="52.85546875" style="2" customWidth="1"/>
    <col min="15045" max="15084" width="0" style="2" hidden="1" customWidth="1"/>
    <col min="15085" max="15086" width="14.85546875" style="2" customWidth="1"/>
    <col min="15087" max="15088" width="0" style="2" hidden="1" customWidth="1"/>
    <col min="15089" max="15089" width="14.85546875" style="2" customWidth="1"/>
    <col min="15090" max="15091" width="0" style="2" hidden="1" customWidth="1"/>
    <col min="15092" max="15092" width="14.85546875" style="2" customWidth="1"/>
    <col min="15093" max="15094" width="0" style="2" hidden="1" customWidth="1"/>
    <col min="15095" max="15095" width="14.85546875" style="2" customWidth="1"/>
    <col min="15096" max="15097" width="0" style="2" hidden="1" customWidth="1"/>
    <col min="15098" max="15098" width="14.85546875" style="2" customWidth="1"/>
    <col min="15099" max="15100" width="0" style="2" hidden="1" customWidth="1"/>
    <col min="15101" max="15102" width="14.85546875" style="2" customWidth="1"/>
    <col min="15103" max="15103" width="44.42578125" style="2" customWidth="1"/>
    <col min="15104" max="15108" width="14.85546875" style="2" customWidth="1"/>
    <col min="15109" max="15109" width="63.85546875" style="2" customWidth="1"/>
    <col min="15110" max="15110" width="13.28515625" style="2" customWidth="1"/>
    <col min="15111" max="15296" width="9" style="2"/>
    <col min="15297" max="15298" width="0" style="2" hidden="1" customWidth="1"/>
    <col min="15299" max="15299" width="13.7109375" style="2" customWidth="1"/>
    <col min="15300" max="15300" width="52.85546875" style="2" customWidth="1"/>
    <col min="15301" max="15340" width="0" style="2" hidden="1" customWidth="1"/>
    <col min="15341" max="15342" width="14.85546875" style="2" customWidth="1"/>
    <col min="15343" max="15344" width="0" style="2" hidden="1" customWidth="1"/>
    <col min="15345" max="15345" width="14.85546875" style="2" customWidth="1"/>
    <col min="15346" max="15347" width="0" style="2" hidden="1" customWidth="1"/>
    <col min="15348" max="15348" width="14.85546875" style="2" customWidth="1"/>
    <col min="15349" max="15350" width="0" style="2" hidden="1" customWidth="1"/>
    <col min="15351" max="15351" width="14.85546875" style="2" customWidth="1"/>
    <col min="15352" max="15353" width="0" style="2" hidden="1" customWidth="1"/>
    <col min="15354" max="15354" width="14.85546875" style="2" customWidth="1"/>
    <col min="15355" max="15356" width="0" style="2" hidden="1" customWidth="1"/>
    <col min="15357" max="15358" width="14.85546875" style="2" customWidth="1"/>
    <col min="15359" max="15359" width="44.42578125" style="2" customWidth="1"/>
    <col min="15360" max="15364" width="14.85546875" style="2" customWidth="1"/>
    <col min="15365" max="15365" width="63.85546875" style="2" customWidth="1"/>
    <col min="15366" max="15366" width="13.28515625" style="2" customWidth="1"/>
    <col min="15367" max="15552" width="9" style="2"/>
    <col min="15553" max="15554" width="0" style="2" hidden="1" customWidth="1"/>
    <col min="15555" max="15555" width="13.7109375" style="2" customWidth="1"/>
    <col min="15556" max="15556" width="52.85546875" style="2" customWidth="1"/>
    <col min="15557" max="15596" width="0" style="2" hidden="1" customWidth="1"/>
    <col min="15597" max="15598" width="14.85546875" style="2" customWidth="1"/>
    <col min="15599" max="15600" width="0" style="2" hidden="1" customWidth="1"/>
    <col min="15601" max="15601" width="14.85546875" style="2" customWidth="1"/>
    <col min="15602" max="15603" width="0" style="2" hidden="1" customWidth="1"/>
    <col min="15604" max="15604" width="14.85546875" style="2" customWidth="1"/>
    <col min="15605" max="15606" width="0" style="2" hidden="1" customWidth="1"/>
    <col min="15607" max="15607" width="14.85546875" style="2" customWidth="1"/>
    <col min="15608" max="15609" width="0" style="2" hidden="1" customWidth="1"/>
    <col min="15610" max="15610" width="14.85546875" style="2" customWidth="1"/>
    <col min="15611" max="15612" width="0" style="2" hidden="1" customWidth="1"/>
    <col min="15613" max="15614" width="14.85546875" style="2" customWidth="1"/>
    <col min="15615" max="15615" width="44.42578125" style="2" customWidth="1"/>
    <col min="15616" max="15620" width="14.85546875" style="2" customWidth="1"/>
    <col min="15621" max="15621" width="63.85546875" style="2" customWidth="1"/>
    <col min="15622" max="15622" width="13.28515625" style="2" customWidth="1"/>
    <col min="15623" max="15808" width="9" style="2"/>
    <col min="15809" max="15810" width="0" style="2" hidden="1" customWidth="1"/>
    <col min="15811" max="15811" width="13.7109375" style="2" customWidth="1"/>
    <col min="15812" max="15812" width="52.85546875" style="2" customWidth="1"/>
    <col min="15813" max="15852" width="0" style="2" hidden="1" customWidth="1"/>
    <col min="15853" max="15854" width="14.85546875" style="2" customWidth="1"/>
    <col min="15855" max="15856" width="0" style="2" hidden="1" customWidth="1"/>
    <col min="15857" max="15857" width="14.85546875" style="2" customWidth="1"/>
    <col min="15858" max="15859" width="0" style="2" hidden="1" customWidth="1"/>
    <col min="15860" max="15860" width="14.85546875" style="2" customWidth="1"/>
    <col min="15861" max="15862" width="0" style="2" hidden="1" customWidth="1"/>
    <col min="15863" max="15863" width="14.85546875" style="2" customWidth="1"/>
    <col min="15864" max="15865" width="0" style="2" hidden="1" customWidth="1"/>
    <col min="15866" max="15866" width="14.85546875" style="2" customWidth="1"/>
    <col min="15867" max="15868" width="0" style="2" hidden="1" customWidth="1"/>
    <col min="15869" max="15870" width="14.85546875" style="2" customWidth="1"/>
    <col min="15871" max="15871" width="44.42578125" style="2" customWidth="1"/>
    <col min="15872" max="15876" width="14.85546875" style="2" customWidth="1"/>
    <col min="15877" max="15877" width="63.85546875" style="2" customWidth="1"/>
    <col min="15878" max="15878" width="13.28515625" style="2" customWidth="1"/>
    <col min="15879" max="16064" width="9" style="2"/>
    <col min="16065" max="16066" width="0" style="2" hidden="1" customWidth="1"/>
    <col min="16067" max="16067" width="13.7109375" style="2" customWidth="1"/>
    <col min="16068" max="16068" width="52.85546875" style="2" customWidth="1"/>
    <col min="16069" max="16108" width="0" style="2" hidden="1" customWidth="1"/>
    <col min="16109" max="16110" width="14.85546875" style="2" customWidth="1"/>
    <col min="16111" max="16112" width="0" style="2" hidden="1" customWidth="1"/>
    <col min="16113" max="16113" width="14.85546875" style="2" customWidth="1"/>
    <col min="16114" max="16115" width="0" style="2" hidden="1" customWidth="1"/>
    <col min="16116" max="16116" width="14.85546875" style="2" customWidth="1"/>
    <col min="16117" max="16118" width="0" style="2" hidden="1" customWidth="1"/>
    <col min="16119" max="16119" width="14.85546875" style="2" customWidth="1"/>
    <col min="16120" max="16121" width="0" style="2" hidden="1" customWidth="1"/>
    <col min="16122" max="16122" width="14.85546875" style="2" customWidth="1"/>
    <col min="16123" max="16124" width="0" style="2" hidden="1" customWidth="1"/>
    <col min="16125" max="16126" width="14.85546875" style="2" customWidth="1"/>
    <col min="16127" max="16127" width="44.42578125" style="2" customWidth="1"/>
    <col min="16128" max="16132" width="14.85546875" style="2" customWidth="1"/>
    <col min="16133" max="16133" width="63.85546875" style="2" customWidth="1"/>
    <col min="16134" max="16134" width="13.28515625" style="2" customWidth="1"/>
    <col min="16135" max="16333" width="9" style="2"/>
    <col min="16334" max="16366" width="9.140625" style="2" customWidth="1"/>
    <col min="16367" max="16374" width="9.140625" style="2"/>
    <col min="16375" max="16376" width="9.140625" style="2" customWidth="1"/>
    <col min="16377" max="16384" width="9.140625" style="2"/>
  </cols>
  <sheetData>
    <row r="1" spans="1:26" ht="25.5" outlineLevel="1" x14ac:dyDescent="0.35">
      <c r="C1" s="57" t="s">
        <v>314</v>
      </c>
      <c r="D1" s="515"/>
      <c r="E1" s="326"/>
      <c r="F1" s="326"/>
      <c r="G1" s="326"/>
      <c r="H1" s="326"/>
      <c r="I1" s="326"/>
      <c r="J1" s="326"/>
      <c r="K1" s="326"/>
      <c r="L1" s="326"/>
      <c r="M1" s="326"/>
      <c r="N1" s="326"/>
      <c r="O1" s="326"/>
      <c r="P1" s="326"/>
      <c r="Q1" s="326"/>
      <c r="R1" s="326"/>
      <c r="S1" s="326"/>
      <c r="T1" s="326"/>
      <c r="U1" s="3"/>
      <c r="V1" s="3"/>
      <c r="W1" s="123"/>
      <c r="X1" s="196">
        <v>38801336.789999999</v>
      </c>
      <c r="Y1" s="219" t="s">
        <v>331</v>
      </c>
      <c r="Z1" s="112"/>
    </row>
    <row r="2" spans="1:26" ht="25.5" outlineLevel="1" x14ac:dyDescent="0.35">
      <c r="C2" s="579" t="s">
        <v>682</v>
      </c>
      <c r="D2" s="579"/>
      <c r="F2" s="94"/>
      <c r="G2" s="94"/>
      <c r="H2" s="94"/>
      <c r="I2" s="94"/>
      <c r="J2" s="94"/>
      <c r="K2" s="94"/>
      <c r="L2" s="94"/>
      <c r="M2" s="94"/>
      <c r="N2" s="94"/>
      <c r="O2" s="94"/>
      <c r="P2" s="94"/>
      <c r="Q2" s="94"/>
      <c r="R2" s="94"/>
      <c r="S2" s="94"/>
      <c r="T2" s="94"/>
      <c r="U2" s="38"/>
      <c r="V2" s="38"/>
      <c r="W2" s="124"/>
      <c r="X2" s="99">
        <v>1393734</v>
      </c>
      <c r="Y2" s="470" t="s">
        <v>285</v>
      </c>
      <c r="Z2" s="113"/>
    </row>
    <row r="3" spans="1:26" ht="20.25" outlineLevel="1" x14ac:dyDescent="0.3">
      <c r="C3" s="577" t="s">
        <v>0</v>
      </c>
      <c r="D3" s="577"/>
      <c r="E3" s="118">
        <v>34344586.609999999</v>
      </c>
      <c r="F3" s="118">
        <f>F107-F138-F42</f>
        <v>34165584</v>
      </c>
      <c r="G3" s="118">
        <f t="shared" ref="G3:I3" si="0">G107-G138-G42</f>
        <v>-179002.6099999994</v>
      </c>
      <c r="H3" s="118">
        <f t="shared" si="0"/>
        <v>0</v>
      </c>
      <c r="I3" s="118">
        <f t="shared" si="0"/>
        <v>34548139</v>
      </c>
      <c r="J3" s="42"/>
      <c r="L3" s="118">
        <f>L107-L138-L42</f>
        <v>34580543</v>
      </c>
      <c r="M3" s="42"/>
      <c r="O3" s="118">
        <f>O107-O138-O42</f>
        <v>35310255</v>
      </c>
      <c r="P3" s="42"/>
      <c r="R3" s="118">
        <f>R107-R138-R42</f>
        <v>35765825</v>
      </c>
      <c r="S3" s="42"/>
      <c r="U3" s="118">
        <f>U107-U138-U42</f>
        <v>35862625</v>
      </c>
      <c r="V3" s="42"/>
      <c r="X3" s="42">
        <f>SUM(X1:X2)</f>
        <v>40195070.789999999</v>
      </c>
      <c r="Y3" s="220">
        <f>9/12</f>
        <v>0.75</v>
      </c>
      <c r="Z3" s="114"/>
    </row>
    <row r="4" spans="1:26" ht="15.75" outlineLevel="1" thickBot="1" x14ac:dyDescent="0.3">
      <c r="C4" s="98"/>
      <c r="E4" s="267"/>
      <c r="F4" s="118"/>
      <c r="G4" s="1"/>
      <c r="I4" s="118"/>
      <c r="J4" s="1"/>
      <c r="L4" s="118"/>
      <c r="M4" s="1"/>
      <c r="O4" s="118"/>
      <c r="P4" s="1"/>
      <c r="R4" s="118"/>
      <c r="S4" s="1"/>
      <c r="U4" s="118"/>
      <c r="V4" s="1"/>
      <c r="X4" s="557">
        <f>X3-X107</f>
        <v>1453.5199999958277</v>
      </c>
      <c r="Y4" s="558" t="s">
        <v>773</v>
      </c>
      <c r="Z4" s="189"/>
    </row>
    <row r="5" spans="1:26" ht="55.15" customHeight="1" thickBot="1" x14ac:dyDescent="0.3">
      <c r="C5" s="6" t="s">
        <v>1</v>
      </c>
      <c r="D5" s="7" t="s">
        <v>2</v>
      </c>
      <c r="E5" s="343" t="s">
        <v>668</v>
      </c>
      <c r="F5" s="343" t="s">
        <v>677</v>
      </c>
      <c r="G5" s="43" t="s">
        <v>678</v>
      </c>
      <c r="H5" s="363" t="s">
        <v>253</v>
      </c>
      <c r="I5" s="43" t="s">
        <v>768</v>
      </c>
      <c r="J5" s="43" t="s">
        <v>769</v>
      </c>
      <c r="K5" s="46" t="s">
        <v>253</v>
      </c>
      <c r="L5" s="43" t="s">
        <v>791</v>
      </c>
      <c r="M5" s="43" t="s">
        <v>792</v>
      </c>
      <c r="N5" s="46" t="s">
        <v>253</v>
      </c>
      <c r="O5" s="43" t="s">
        <v>806</v>
      </c>
      <c r="P5" s="43" t="s">
        <v>807</v>
      </c>
      <c r="Q5" s="46" t="s">
        <v>253</v>
      </c>
      <c r="R5" s="43" t="s">
        <v>859</v>
      </c>
      <c r="S5" s="43" t="s">
        <v>860</v>
      </c>
      <c r="T5" s="46" t="s">
        <v>253</v>
      </c>
      <c r="U5" s="43" t="s">
        <v>895</v>
      </c>
      <c r="V5" s="43" t="s">
        <v>896</v>
      </c>
      <c r="W5" s="46" t="s">
        <v>253</v>
      </c>
      <c r="X5" s="43" t="s">
        <v>890</v>
      </c>
      <c r="Y5" s="202" t="s">
        <v>891</v>
      </c>
      <c r="Z5" s="46" t="s">
        <v>4</v>
      </c>
    </row>
    <row r="6" spans="1:26" x14ac:dyDescent="0.25">
      <c r="C6" s="63" t="s">
        <v>419</v>
      </c>
      <c r="D6" s="64" t="s">
        <v>5</v>
      </c>
      <c r="E6" s="53">
        <v>38074624</v>
      </c>
      <c r="F6" s="53">
        <f t="shared" ref="F6" si="1">ROUND((F7+F10+F13+F16+F19),0)</f>
        <v>38074624</v>
      </c>
      <c r="G6" s="8">
        <f>F6-E6</f>
        <v>0</v>
      </c>
      <c r="H6" s="364"/>
      <c r="I6" s="53">
        <f>ROUND((I7+I10+I13+I16+I19),0)</f>
        <v>38519847</v>
      </c>
      <c r="J6" s="8">
        <f>I6-F6</f>
        <v>445223</v>
      </c>
      <c r="K6" s="125"/>
      <c r="L6" s="53">
        <f>ROUND((L7+L10+L13+L16+L19),0)</f>
        <v>38519847</v>
      </c>
      <c r="M6" s="8">
        <f>L6-I6</f>
        <v>0</v>
      </c>
      <c r="N6" s="125"/>
      <c r="O6" s="53">
        <f>ROUND((O7+O10+O13+O16+O19),0)</f>
        <v>38519847</v>
      </c>
      <c r="P6" s="8">
        <f>O6-L6</f>
        <v>0</v>
      </c>
      <c r="Q6" s="125"/>
      <c r="R6" s="53">
        <f>ROUND((R7+R10+R13+R16+R19),0)</f>
        <v>38539687</v>
      </c>
      <c r="S6" s="8">
        <f>R6-O6</f>
        <v>19840</v>
      </c>
      <c r="T6" s="125"/>
      <c r="U6" s="53">
        <f>ROUND((U7+U10+U13+U16+U19),0)</f>
        <v>38539687</v>
      </c>
      <c r="V6" s="8">
        <f>U6-R6</f>
        <v>0</v>
      </c>
      <c r="W6" s="125"/>
      <c r="X6" s="531">
        <f>ROUND((X7+X10+X13+X16+X19),0)</f>
        <v>29885578</v>
      </c>
      <c r="Y6" s="203">
        <f t="shared" ref="Y6:Y52" si="2">X6/U6</f>
        <v>0.77544942178694909</v>
      </c>
      <c r="Z6" s="536"/>
    </row>
    <row r="7" spans="1:26" x14ac:dyDescent="0.25">
      <c r="B7" s="2" t="s">
        <v>6</v>
      </c>
      <c r="C7" s="65" t="s">
        <v>7</v>
      </c>
      <c r="D7" s="66" t="s">
        <v>8</v>
      </c>
      <c r="E7" s="331">
        <v>34831773</v>
      </c>
      <c r="F7" s="331">
        <f t="shared" ref="F7" si="3">SUM(F8:F8)</f>
        <v>34831773</v>
      </c>
      <c r="G7" s="9">
        <f t="shared" ref="G7:G71" si="4">F7-E7</f>
        <v>0</v>
      </c>
      <c r="H7" s="365"/>
      <c r="I7" s="9">
        <f>SUM(I8:I8)</f>
        <v>35276996</v>
      </c>
      <c r="J7" s="9">
        <f>I7-F7</f>
        <v>445223</v>
      </c>
      <c r="K7" s="126"/>
      <c r="L7" s="9">
        <f>SUM(L8:L8)</f>
        <v>35276996</v>
      </c>
      <c r="M7" s="9">
        <f>L7-I7</f>
        <v>0</v>
      </c>
      <c r="N7" s="126"/>
      <c r="O7" s="9">
        <f>SUM(O8:O8)</f>
        <v>35276996</v>
      </c>
      <c r="P7" s="9">
        <f>O7-L7</f>
        <v>0</v>
      </c>
      <c r="Q7" s="126"/>
      <c r="R7" s="9">
        <f>SUM(R8:R8)</f>
        <v>35296836</v>
      </c>
      <c r="S7" s="9">
        <f>R7-O7</f>
        <v>19840</v>
      </c>
      <c r="T7" s="126"/>
      <c r="U7" s="9">
        <f>SUM(U8:U8)</f>
        <v>35296836</v>
      </c>
      <c r="V7" s="9">
        <f>U7-R7</f>
        <v>0</v>
      </c>
      <c r="W7" s="126"/>
      <c r="X7" s="532">
        <f>SUM(X8:X8)</f>
        <v>26886600.870000001</v>
      </c>
      <c r="Y7" s="204">
        <f t="shared" si="2"/>
        <v>0.76172835633199532</v>
      </c>
      <c r="Z7" s="537"/>
    </row>
    <row r="8" spans="1:26" ht="43.5" customHeight="1" x14ac:dyDescent="0.25">
      <c r="A8" s="2" t="s">
        <v>9</v>
      </c>
      <c r="B8" s="10" t="s">
        <v>11</v>
      </c>
      <c r="C8" s="67" t="s">
        <v>10</v>
      </c>
      <c r="D8" s="68" t="s">
        <v>13</v>
      </c>
      <c r="E8" s="330">
        <v>34831773</v>
      </c>
      <c r="F8" s="330">
        <f>ROUND(E8,0)</f>
        <v>34831773</v>
      </c>
      <c r="G8" s="11">
        <f t="shared" si="4"/>
        <v>0</v>
      </c>
      <c r="H8" s="366"/>
      <c r="I8" s="11">
        <f>ROUND(F8,0)+331540+113683</f>
        <v>35276996</v>
      </c>
      <c r="J8" s="11">
        <f>I8-F8</f>
        <v>445223</v>
      </c>
      <c r="K8" s="127" t="s">
        <v>748</v>
      </c>
      <c r="L8" s="11">
        <f>ROUND(I8,0)</f>
        <v>35276996</v>
      </c>
      <c r="M8" s="11">
        <f>L8-I8</f>
        <v>0</v>
      </c>
      <c r="N8" s="127"/>
      <c r="O8" s="11">
        <f>ROUND(L8,0)</f>
        <v>35276996</v>
      </c>
      <c r="P8" s="11">
        <f>O8-L8</f>
        <v>0</v>
      </c>
      <c r="Q8" s="127"/>
      <c r="R8" s="11">
        <f>ROUND(O8,0)+19840</f>
        <v>35296836</v>
      </c>
      <c r="S8" s="11">
        <f>R8-O8</f>
        <v>19840</v>
      </c>
      <c r="T8" s="135" t="s">
        <v>881</v>
      </c>
      <c r="U8" s="11">
        <f>ROUND(R8,0)</f>
        <v>35296836</v>
      </c>
      <c r="V8" s="11">
        <f>U8-R8</f>
        <v>0</v>
      </c>
      <c r="W8" s="135"/>
      <c r="X8" s="456">
        <v>26886600.870000001</v>
      </c>
      <c r="Y8" s="201">
        <f t="shared" si="2"/>
        <v>0.76172835633199532</v>
      </c>
      <c r="Z8" s="456" t="s">
        <v>720</v>
      </c>
    </row>
    <row r="9" spans="1:26" ht="32.450000000000003" customHeight="1" x14ac:dyDescent="0.25">
      <c r="C9" s="63" t="s">
        <v>420</v>
      </c>
      <c r="D9" s="64" t="s">
        <v>421</v>
      </c>
      <c r="E9" s="53">
        <v>3172850.61</v>
      </c>
      <c r="F9" s="53">
        <f>F10+F13+F16</f>
        <v>3172851</v>
      </c>
      <c r="G9" s="8">
        <f t="shared" si="4"/>
        <v>0.39000000013038516</v>
      </c>
      <c r="H9" s="364"/>
      <c r="I9" s="53">
        <f>I10+I13+I16</f>
        <v>3172851</v>
      </c>
      <c r="J9" s="8">
        <f t="shared" ref="J9:J76" si="5">I9-F9</f>
        <v>0</v>
      </c>
      <c r="K9" s="125"/>
      <c r="L9" s="53">
        <f>L10+L13+L16</f>
        <v>3172851</v>
      </c>
      <c r="M9" s="8">
        <f t="shared" ref="M9:M76" si="6">L9-I9</f>
        <v>0</v>
      </c>
      <c r="N9" s="125"/>
      <c r="O9" s="53">
        <f>O10+O13+O16</f>
        <v>3172851</v>
      </c>
      <c r="P9" s="8">
        <f t="shared" ref="P9:P76" si="7">O9-L9</f>
        <v>0</v>
      </c>
      <c r="Q9" s="125"/>
      <c r="R9" s="53">
        <f>R10+R13+R16</f>
        <v>3172851</v>
      </c>
      <c r="S9" s="8">
        <f t="shared" ref="S9:S63" si="8">R9-O9</f>
        <v>0</v>
      </c>
      <c r="T9" s="125"/>
      <c r="U9" s="53">
        <f>U10+U13+U16</f>
        <v>3172851</v>
      </c>
      <c r="V9" s="8">
        <f t="shared" ref="V9:V63" si="9">U9-R9</f>
        <v>0</v>
      </c>
      <c r="W9" s="125"/>
      <c r="X9" s="531">
        <f>X10+X13+X16</f>
        <v>2940814.66</v>
      </c>
      <c r="Y9" s="203">
        <f t="shared" si="2"/>
        <v>0.92686818889383715</v>
      </c>
      <c r="Z9" s="538" t="s">
        <v>605</v>
      </c>
    </row>
    <row r="10" spans="1:26" x14ac:dyDescent="0.25">
      <c r="B10" s="2" t="s">
        <v>14</v>
      </c>
      <c r="C10" s="69" t="s">
        <v>15</v>
      </c>
      <c r="D10" s="70" t="s">
        <v>16</v>
      </c>
      <c r="E10" s="329">
        <v>2040017.74</v>
      </c>
      <c r="F10" s="329">
        <f>SUM(F11:F12)</f>
        <v>2040018</v>
      </c>
      <c r="G10" s="13">
        <f t="shared" si="4"/>
        <v>0.26000000000931323</v>
      </c>
      <c r="H10" s="368"/>
      <c r="I10" s="13">
        <f>SUM(I11:I12)</f>
        <v>2040018</v>
      </c>
      <c r="J10" s="13">
        <f t="shared" si="5"/>
        <v>0</v>
      </c>
      <c r="K10" s="129"/>
      <c r="L10" s="13">
        <f>SUM(L11:L12)</f>
        <v>2040018</v>
      </c>
      <c r="M10" s="13">
        <f t="shared" si="6"/>
        <v>0</v>
      </c>
      <c r="N10" s="129"/>
      <c r="O10" s="13">
        <f>SUM(O11:O12)</f>
        <v>2040018</v>
      </c>
      <c r="P10" s="13">
        <f t="shared" si="7"/>
        <v>0</v>
      </c>
      <c r="Q10" s="129"/>
      <c r="R10" s="13">
        <f>SUM(R11:R12)</f>
        <v>2040018</v>
      </c>
      <c r="S10" s="13">
        <f t="shared" si="8"/>
        <v>0</v>
      </c>
      <c r="T10" s="129"/>
      <c r="U10" s="13">
        <f>SUM(U11:U12)</f>
        <v>2040018</v>
      </c>
      <c r="V10" s="13">
        <f t="shared" si="9"/>
        <v>0</v>
      </c>
      <c r="W10" s="129"/>
      <c r="X10" s="499">
        <f>SUM(X11:X12)</f>
        <v>1872197.98</v>
      </c>
      <c r="Y10" s="200">
        <f t="shared" si="2"/>
        <v>0.9177360101724592</v>
      </c>
      <c r="Z10" s="508"/>
    </row>
    <row r="11" spans="1:26" x14ac:dyDescent="0.25">
      <c r="A11" s="2" t="s">
        <v>9</v>
      </c>
      <c r="B11" s="10" t="s">
        <v>17</v>
      </c>
      <c r="C11" s="67" t="s">
        <v>18</v>
      </c>
      <c r="D11" s="68" t="s">
        <v>13</v>
      </c>
      <c r="E11" s="330">
        <v>1900000</v>
      </c>
      <c r="F11" s="330">
        <f>ROUND(E11,0)</f>
        <v>1900000</v>
      </c>
      <c r="G11" s="11">
        <f t="shared" si="4"/>
        <v>0</v>
      </c>
      <c r="H11" s="369"/>
      <c r="I11" s="11">
        <f>ROUND(F11,0)</f>
        <v>1900000</v>
      </c>
      <c r="J11" s="11">
        <f t="shared" si="5"/>
        <v>0</v>
      </c>
      <c r="K11" s="130"/>
      <c r="L11" s="11">
        <f>ROUND(I11,0)</f>
        <v>1900000</v>
      </c>
      <c r="M11" s="11">
        <f t="shared" si="6"/>
        <v>0</v>
      </c>
      <c r="N11" s="130"/>
      <c r="O11" s="11">
        <f>ROUND(L11,0)</f>
        <v>1900000</v>
      </c>
      <c r="P11" s="11">
        <f t="shared" si="7"/>
        <v>0</v>
      </c>
      <c r="Q11" s="130"/>
      <c r="R11" s="11">
        <f>ROUND(O11,0)</f>
        <v>1900000</v>
      </c>
      <c r="S11" s="11">
        <f t="shared" si="8"/>
        <v>0</v>
      </c>
      <c r="T11" s="130"/>
      <c r="U11" s="11">
        <f>ROUND(R11,0)</f>
        <v>1900000</v>
      </c>
      <c r="V11" s="11">
        <f t="shared" si="9"/>
        <v>0</v>
      </c>
      <c r="W11" s="130"/>
      <c r="X11" s="456">
        <v>1792573.51</v>
      </c>
      <c r="Y11" s="201">
        <f t="shared" si="2"/>
        <v>0.94345974210526318</v>
      </c>
      <c r="Z11" s="486"/>
    </row>
    <row r="12" spans="1:26" x14ac:dyDescent="0.25">
      <c r="A12" s="2" t="s">
        <v>9</v>
      </c>
      <c r="B12" s="10" t="s">
        <v>19</v>
      </c>
      <c r="C12" s="67" t="s">
        <v>20</v>
      </c>
      <c r="D12" s="68" t="s">
        <v>21</v>
      </c>
      <c r="E12" s="330">
        <v>140017.74</v>
      </c>
      <c r="F12" s="330">
        <f>ROUND(E12,0)</f>
        <v>140018</v>
      </c>
      <c r="G12" s="11">
        <f t="shared" si="4"/>
        <v>0.26000000000931323</v>
      </c>
      <c r="H12" s="366"/>
      <c r="I12" s="11">
        <f>ROUND(F12,0)</f>
        <v>140018</v>
      </c>
      <c r="J12" s="11">
        <f t="shared" si="5"/>
        <v>0</v>
      </c>
      <c r="K12" s="127"/>
      <c r="L12" s="11">
        <f>ROUND(I12,0)</f>
        <v>140018</v>
      </c>
      <c r="M12" s="11">
        <f t="shared" si="6"/>
        <v>0</v>
      </c>
      <c r="N12" s="127"/>
      <c r="O12" s="11">
        <f>ROUND(L12,0)</f>
        <v>140018</v>
      </c>
      <c r="P12" s="11">
        <f t="shared" si="7"/>
        <v>0</v>
      </c>
      <c r="Q12" s="127"/>
      <c r="R12" s="11">
        <f>ROUND(O12,0)</f>
        <v>140018</v>
      </c>
      <c r="S12" s="11">
        <f t="shared" si="8"/>
        <v>0</v>
      </c>
      <c r="T12" s="127"/>
      <c r="U12" s="11">
        <f>ROUND(R12,0)</f>
        <v>140018</v>
      </c>
      <c r="V12" s="11">
        <f t="shared" si="9"/>
        <v>0</v>
      </c>
      <c r="W12" s="127"/>
      <c r="X12" s="456">
        <v>79624.47</v>
      </c>
      <c r="Y12" s="201">
        <f t="shared" si="2"/>
        <v>0.56867309917296349</v>
      </c>
      <c r="Z12" s="486"/>
    </row>
    <row r="13" spans="1:26" x14ac:dyDescent="0.25">
      <c r="B13" s="2" t="s">
        <v>22</v>
      </c>
      <c r="C13" s="69" t="s">
        <v>23</v>
      </c>
      <c r="D13" s="70" t="s">
        <v>24</v>
      </c>
      <c r="E13" s="329">
        <v>410966.93</v>
      </c>
      <c r="F13" s="329">
        <f>SUM(F14:F15)</f>
        <v>410967</v>
      </c>
      <c r="G13" s="13">
        <f t="shared" si="4"/>
        <v>7.0000000006984919E-2</v>
      </c>
      <c r="H13" s="368"/>
      <c r="I13" s="13">
        <f>SUM(I14:I15)</f>
        <v>410967</v>
      </c>
      <c r="J13" s="13">
        <f t="shared" si="5"/>
        <v>0</v>
      </c>
      <c r="K13" s="129"/>
      <c r="L13" s="13">
        <f>SUM(L14:L15)</f>
        <v>410967</v>
      </c>
      <c r="M13" s="13">
        <f t="shared" si="6"/>
        <v>0</v>
      </c>
      <c r="N13" s="129"/>
      <c r="O13" s="13">
        <f>SUM(O14:O15)</f>
        <v>410967</v>
      </c>
      <c r="P13" s="13">
        <f t="shared" si="7"/>
        <v>0</v>
      </c>
      <c r="Q13" s="129"/>
      <c r="R13" s="13">
        <f>SUM(R14:R15)</f>
        <v>410967</v>
      </c>
      <c r="S13" s="13">
        <f t="shared" si="8"/>
        <v>0</v>
      </c>
      <c r="T13" s="129"/>
      <c r="U13" s="13">
        <f>SUM(U14:U15)</f>
        <v>410967</v>
      </c>
      <c r="V13" s="13">
        <f t="shared" si="9"/>
        <v>0</v>
      </c>
      <c r="W13" s="129"/>
      <c r="X13" s="499">
        <f>SUM(X14:X15)</f>
        <v>363006.41000000003</v>
      </c>
      <c r="Y13" s="200">
        <f t="shared" si="2"/>
        <v>0.88329819669219189</v>
      </c>
      <c r="Z13" s="508"/>
    </row>
    <row r="14" spans="1:26" x14ac:dyDescent="0.25">
      <c r="A14" s="2" t="s">
        <v>9</v>
      </c>
      <c r="B14" s="10" t="s">
        <v>25</v>
      </c>
      <c r="C14" s="67" t="s">
        <v>26</v>
      </c>
      <c r="D14" s="68" t="s">
        <v>27</v>
      </c>
      <c r="E14" s="330">
        <v>350989</v>
      </c>
      <c r="F14" s="330">
        <f>ROUND(E14,0)</f>
        <v>350989</v>
      </c>
      <c r="G14" s="11">
        <f t="shared" si="4"/>
        <v>0</v>
      </c>
      <c r="H14" s="370"/>
      <c r="I14" s="11">
        <f>ROUND(F14,0)</f>
        <v>350989</v>
      </c>
      <c r="J14" s="11">
        <f t="shared" si="5"/>
        <v>0</v>
      </c>
      <c r="K14" s="131"/>
      <c r="L14" s="11">
        <f>ROUND(I14,0)</f>
        <v>350989</v>
      </c>
      <c r="M14" s="11">
        <f t="shared" si="6"/>
        <v>0</v>
      </c>
      <c r="N14" s="131"/>
      <c r="O14" s="11">
        <f>ROUND(L14,0)</f>
        <v>350989</v>
      </c>
      <c r="P14" s="11">
        <f t="shared" si="7"/>
        <v>0</v>
      </c>
      <c r="Q14" s="131"/>
      <c r="R14" s="11">
        <f>ROUND(O14,0)</f>
        <v>350989</v>
      </c>
      <c r="S14" s="11">
        <f t="shared" si="8"/>
        <v>0</v>
      </c>
      <c r="T14" s="131"/>
      <c r="U14" s="11">
        <f>ROUND(R14,0)</f>
        <v>350989</v>
      </c>
      <c r="V14" s="11">
        <f t="shared" si="9"/>
        <v>0</v>
      </c>
      <c r="W14" s="131"/>
      <c r="X14" s="456">
        <v>330557.52</v>
      </c>
      <c r="Y14" s="201">
        <f t="shared" si="2"/>
        <v>0.94178883098900545</v>
      </c>
      <c r="Z14" s="486"/>
    </row>
    <row r="15" spans="1:26" x14ac:dyDescent="0.25">
      <c r="A15" s="2" t="s">
        <v>9</v>
      </c>
      <c r="B15" s="10" t="s">
        <v>28</v>
      </c>
      <c r="C15" s="67" t="s">
        <v>29</v>
      </c>
      <c r="D15" s="68" t="s">
        <v>21</v>
      </c>
      <c r="E15" s="330">
        <v>59977.93</v>
      </c>
      <c r="F15" s="330">
        <f>ROUND(E15,0)</f>
        <v>59978</v>
      </c>
      <c r="G15" s="11">
        <f t="shared" si="4"/>
        <v>6.9999999999708962E-2</v>
      </c>
      <c r="H15" s="366"/>
      <c r="I15" s="11">
        <f>ROUND(F15,0)</f>
        <v>59978</v>
      </c>
      <c r="J15" s="11">
        <f t="shared" si="5"/>
        <v>0</v>
      </c>
      <c r="K15" s="127"/>
      <c r="L15" s="11">
        <f>ROUND(I15,0)</f>
        <v>59978</v>
      </c>
      <c r="M15" s="11">
        <f t="shared" si="6"/>
        <v>0</v>
      </c>
      <c r="N15" s="127"/>
      <c r="O15" s="11">
        <f>ROUND(L15,0)</f>
        <v>59978</v>
      </c>
      <c r="P15" s="11">
        <f t="shared" si="7"/>
        <v>0</v>
      </c>
      <c r="Q15" s="127"/>
      <c r="R15" s="11">
        <f>ROUND(O15,0)</f>
        <v>59978</v>
      </c>
      <c r="S15" s="11">
        <f t="shared" si="8"/>
        <v>0</v>
      </c>
      <c r="T15" s="127"/>
      <c r="U15" s="11">
        <f>ROUND(R15,0)</f>
        <v>59978</v>
      </c>
      <c r="V15" s="11">
        <f t="shared" si="9"/>
        <v>0</v>
      </c>
      <c r="W15" s="127"/>
      <c r="X15" s="456">
        <v>32448.89</v>
      </c>
      <c r="Y15" s="201">
        <f t="shared" si="2"/>
        <v>0.54101320484177529</v>
      </c>
      <c r="Z15" s="486"/>
    </row>
    <row r="16" spans="1:26" ht="29.25" x14ac:dyDescent="0.25">
      <c r="B16" s="2" t="s">
        <v>30</v>
      </c>
      <c r="C16" s="69" t="s">
        <v>31</v>
      </c>
      <c r="D16" s="70" t="s">
        <v>32</v>
      </c>
      <c r="E16" s="329">
        <v>721865.94</v>
      </c>
      <c r="F16" s="329">
        <f>SUM(F17:F18)</f>
        <v>721866</v>
      </c>
      <c r="G16" s="13">
        <f t="shared" si="4"/>
        <v>6.0000000055879354E-2</v>
      </c>
      <c r="H16" s="368"/>
      <c r="I16" s="13">
        <f>SUM(I17:I18)</f>
        <v>721866</v>
      </c>
      <c r="J16" s="13">
        <f t="shared" si="5"/>
        <v>0</v>
      </c>
      <c r="K16" s="129"/>
      <c r="L16" s="13">
        <f>SUM(L17:L18)</f>
        <v>721866</v>
      </c>
      <c r="M16" s="13">
        <f t="shared" si="6"/>
        <v>0</v>
      </c>
      <c r="N16" s="129"/>
      <c r="O16" s="13">
        <f>SUM(O17:O18)</f>
        <v>721866</v>
      </c>
      <c r="P16" s="13">
        <f t="shared" si="7"/>
        <v>0</v>
      </c>
      <c r="Q16" s="129"/>
      <c r="R16" s="13">
        <f>SUM(R17:R18)</f>
        <v>721866</v>
      </c>
      <c r="S16" s="13">
        <f t="shared" si="8"/>
        <v>0</v>
      </c>
      <c r="T16" s="129"/>
      <c r="U16" s="13">
        <f>SUM(U17:U18)</f>
        <v>721866</v>
      </c>
      <c r="V16" s="13">
        <f t="shared" si="9"/>
        <v>0</v>
      </c>
      <c r="W16" s="129"/>
      <c r="X16" s="499">
        <f>SUM(X17:X18)</f>
        <v>705610.27</v>
      </c>
      <c r="Y16" s="200">
        <f t="shared" si="2"/>
        <v>0.9774809590699659</v>
      </c>
      <c r="Z16" s="508"/>
    </row>
    <row r="17" spans="1:26" ht="18.75" customHeight="1" x14ac:dyDescent="0.25">
      <c r="A17" s="2" t="s">
        <v>9</v>
      </c>
      <c r="B17" s="10" t="s">
        <v>33</v>
      </c>
      <c r="C17" s="67" t="s">
        <v>34</v>
      </c>
      <c r="D17" s="68" t="s">
        <v>27</v>
      </c>
      <c r="E17" s="330">
        <v>650000</v>
      </c>
      <c r="F17" s="330">
        <f>ROUND(E17,0)</f>
        <v>650000</v>
      </c>
      <c r="G17" s="11">
        <f t="shared" si="4"/>
        <v>0</v>
      </c>
      <c r="H17" s="370"/>
      <c r="I17" s="11">
        <f>ROUND(F17,0)</f>
        <v>650000</v>
      </c>
      <c r="J17" s="11">
        <f t="shared" si="5"/>
        <v>0</v>
      </c>
      <c r="K17" s="131"/>
      <c r="L17" s="11">
        <f>ROUND(I17,0)</f>
        <v>650000</v>
      </c>
      <c r="M17" s="11">
        <f t="shared" si="6"/>
        <v>0</v>
      </c>
      <c r="N17" s="131"/>
      <c r="O17" s="11">
        <f>ROUND(L17,0)</f>
        <v>650000</v>
      </c>
      <c r="P17" s="11">
        <f t="shared" si="7"/>
        <v>0</v>
      </c>
      <c r="Q17" s="131"/>
      <c r="R17" s="11">
        <f>ROUND(O17,0)</f>
        <v>650000</v>
      </c>
      <c r="S17" s="11">
        <f t="shared" si="8"/>
        <v>0</v>
      </c>
      <c r="T17" s="131"/>
      <c r="U17" s="11">
        <f>ROUND(R17,0)</f>
        <v>650000</v>
      </c>
      <c r="V17" s="11">
        <f t="shared" si="9"/>
        <v>0</v>
      </c>
      <c r="W17" s="131"/>
      <c r="X17" s="456">
        <v>668706.42000000004</v>
      </c>
      <c r="Y17" s="201">
        <f t="shared" si="2"/>
        <v>1.0287791076923078</v>
      </c>
      <c r="Z17" s="486"/>
    </row>
    <row r="18" spans="1:26" x14ac:dyDescent="0.25">
      <c r="A18" s="2" t="s">
        <v>9</v>
      </c>
      <c r="B18" s="10" t="s">
        <v>35</v>
      </c>
      <c r="C18" s="67" t="s">
        <v>36</v>
      </c>
      <c r="D18" s="68" t="s">
        <v>21</v>
      </c>
      <c r="E18" s="330">
        <v>71865.94</v>
      </c>
      <c r="F18" s="330">
        <f>ROUND(E18,0)</f>
        <v>71866</v>
      </c>
      <c r="G18" s="11">
        <f t="shared" si="4"/>
        <v>5.9999999997671694E-2</v>
      </c>
      <c r="H18" s="369"/>
      <c r="I18" s="11">
        <f>ROUND(F18,0)</f>
        <v>71866</v>
      </c>
      <c r="J18" s="11">
        <f t="shared" si="5"/>
        <v>0</v>
      </c>
      <c r="K18" s="130"/>
      <c r="L18" s="11">
        <f>ROUND(I18,0)</f>
        <v>71866</v>
      </c>
      <c r="M18" s="11">
        <f t="shared" si="6"/>
        <v>0</v>
      </c>
      <c r="N18" s="130"/>
      <c r="O18" s="11">
        <f>ROUND(L18,0)</f>
        <v>71866</v>
      </c>
      <c r="P18" s="11">
        <f t="shared" si="7"/>
        <v>0</v>
      </c>
      <c r="Q18" s="130"/>
      <c r="R18" s="11">
        <f>ROUND(O18,0)</f>
        <v>71866</v>
      </c>
      <c r="S18" s="11">
        <f t="shared" si="8"/>
        <v>0</v>
      </c>
      <c r="T18" s="130"/>
      <c r="U18" s="11">
        <f>ROUND(R18,0)</f>
        <v>71866</v>
      </c>
      <c r="V18" s="11">
        <f t="shared" si="9"/>
        <v>0</v>
      </c>
      <c r="W18" s="130"/>
      <c r="X18" s="456">
        <v>36903.85</v>
      </c>
      <c r="Y18" s="201">
        <f t="shared" si="2"/>
        <v>0.51350916984387607</v>
      </c>
      <c r="Z18" s="486"/>
    </row>
    <row r="19" spans="1:26" ht="29.25" x14ac:dyDescent="0.25">
      <c r="B19" s="54"/>
      <c r="C19" s="69" t="s">
        <v>37</v>
      </c>
      <c r="D19" s="70" t="s">
        <v>347</v>
      </c>
      <c r="E19" s="329">
        <v>70000</v>
      </c>
      <c r="F19" s="329">
        <f t="shared" ref="F19" si="10">SUM(F20:F21)</f>
        <v>70000</v>
      </c>
      <c r="G19" s="13">
        <f t="shared" si="4"/>
        <v>0</v>
      </c>
      <c r="H19" s="368"/>
      <c r="I19" s="13">
        <f>SUM(I20:I21)</f>
        <v>70000</v>
      </c>
      <c r="J19" s="13">
        <f t="shared" si="5"/>
        <v>0</v>
      </c>
      <c r="K19" s="129"/>
      <c r="L19" s="13">
        <f>SUM(L20:L21)</f>
        <v>70000</v>
      </c>
      <c r="M19" s="13">
        <f t="shared" si="6"/>
        <v>0</v>
      </c>
      <c r="N19" s="129"/>
      <c r="O19" s="13">
        <f>SUM(O20:O21)</f>
        <v>70000</v>
      </c>
      <c r="P19" s="13">
        <f t="shared" si="7"/>
        <v>0</v>
      </c>
      <c r="Q19" s="129"/>
      <c r="R19" s="13">
        <f>SUM(R20:R21)</f>
        <v>70000</v>
      </c>
      <c r="S19" s="13">
        <f t="shared" si="8"/>
        <v>0</v>
      </c>
      <c r="T19" s="129"/>
      <c r="U19" s="13">
        <f>SUM(U20:U21)</f>
        <v>70000</v>
      </c>
      <c r="V19" s="13">
        <f t="shared" si="9"/>
        <v>0</v>
      </c>
      <c r="W19" s="129"/>
      <c r="X19" s="499">
        <f>SUM(X20:X21)</f>
        <v>58162.9</v>
      </c>
      <c r="Y19" s="200">
        <f t="shared" si="2"/>
        <v>0.83089857142857149</v>
      </c>
      <c r="Z19" s="508"/>
    </row>
    <row r="20" spans="1:26" ht="14.45" customHeight="1" outlineLevel="1" x14ac:dyDescent="0.25">
      <c r="B20" s="10" t="s">
        <v>424</v>
      </c>
      <c r="C20" s="67" t="s">
        <v>162</v>
      </c>
      <c r="D20" s="68" t="s">
        <v>38</v>
      </c>
      <c r="E20" s="330">
        <v>0</v>
      </c>
      <c r="F20" s="330">
        <f>ROUND(E20,0)</f>
        <v>0</v>
      </c>
      <c r="G20" s="11">
        <f t="shared" si="4"/>
        <v>0</v>
      </c>
      <c r="H20" s="370"/>
      <c r="I20" s="11">
        <f>ROUND(F20,0)</f>
        <v>0</v>
      </c>
      <c r="J20" s="11">
        <f t="shared" si="5"/>
        <v>0</v>
      </c>
      <c r="K20" s="131"/>
      <c r="L20" s="11">
        <f>ROUND(I20,0)</f>
        <v>0</v>
      </c>
      <c r="M20" s="11">
        <f t="shared" si="6"/>
        <v>0</v>
      </c>
      <c r="N20" s="131"/>
      <c r="O20" s="11">
        <f>ROUND(L20,0)</f>
        <v>0</v>
      </c>
      <c r="P20" s="11">
        <f t="shared" si="7"/>
        <v>0</v>
      </c>
      <c r="Q20" s="131"/>
      <c r="R20" s="11">
        <f>ROUND(O20,0)</f>
        <v>0</v>
      </c>
      <c r="S20" s="11">
        <f t="shared" si="8"/>
        <v>0</v>
      </c>
      <c r="T20" s="131"/>
      <c r="U20" s="11">
        <f>ROUND(R20,0)</f>
        <v>0</v>
      </c>
      <c r="V20" s="11">
        <f t="shared" si="9"/>
        <v>0</v>
      </c>
      <c r="W20" s="131"/>
      <c r="X20" s="456">
        <v>4713.5</v>
      </c>
      <c r="Y20" s="201"/>
      <c r="Z20" s="486"/>
    </row>
    <row r="21" spans="1:26" ht="15.6" customHeight="1" x14ac:dyDescent="0.25">
      <c r="B21" s="10" t="s">
        <v>423</v>
      </c>
      <c r="C21" s="67" t="s">
        <v>162</v>
      </c>
      <c r="D21" s="68" t="s">
        <v>422</v>
      </c>
      <c r="E21" s="330">
        <v>70000</v>
      </c>
      <c r="F21" s="330">
        <f>ROUND(E21,0)</f>
        <v>70000</v>
      </c>
      <c r="G21" s="11">
        <f t="shared" si="4"/>
        <v>0</v>
      </c>
      <c r="H21" s="371"/>
      <c r="I21" s="11">
        <f>ROUND(F21,0)</f>
        <v>70000</v>
      </c>
      <c r="J21" s="11">
        <f t="shared" si="5"/>
        <v>0</v>
      </c>
      <c r="K21" s="132"/>
      <c r="L21" s="11">
        <f>ROUND(I21,0)</f>
        <v>70000</v>
      </c>
      <c r="M21" s="11">
        <f t="shared" si="6"/>
        <v>0</v>
      </c>
      <c r="N21" s="132"/>
      <c r="O21" s="11">
        <f>ROUND(L21,0)</f>
        <v>70000</v>
      </c>
      <c r="P21" s="11">
        <f t="shared" si="7"/>
        <v>0</v>
      </c>
      <c r="Q21" s="132"/>
      <c r="R21" s="11">
        <f>ROUND(O21,0)</f>
        <v>70000</v>
      </c>
      <c r="S21" s="11">
        <f t="shared" si="8"/>
        <v>0</v>
      </c>
      <c r="T21" s="132"/>
      <c r="U21" s="11">
        <f>ROUND(R21,0)</f>
        <v>70000</v>
      </c>
      <c r="V21" s="11">
        <f t="shared" si="9"/>
        <v>0</v>
      </c>
      <c r="W21" s="132"/>
      <c r="X21" s="456">
        <v>53449.4</v>
      </c>
      <c r="Y21" s="201">
        <f t="shared" si="2"/>
        <v>0.76356285714285721</v>
      </c>
      <c r="Z21" s="486"/>
    </row>
    <row r="22" spans="1:26" ht="15.75" customHeight="1" x14ac:dyDescent="0.25">
      <c r="B22" s="2" t="s">
        <v>39</v>
      </c>
      <c r="C22" s="69" t="s">
        <v>40</v>
      </c>
      <c r="D22" s="70" t="s">
        <v>41</v>
      </c>
      <c r="E22" s="329">
        <v>160000</v>
      </c>
      <c r="F22" s="329">
        <f t="shared" ref="F22" si="11">F23+F27</f>
        <v>160000</v>
      </c>
      <c r="G22" s="13">
        <f t="shared" si="4"/>
        <v>0</v>
      </c>
      <c r="H22" s="368"/>
      <c r="I22" s="13">
        <f>I23+I27</f>
        <v>160000</v>
      </c>
      <c r="J22" s="13">
        <f t="shared" si="5"/>
        <v>0</v>
      </c>
      <c r="K22" s="129"/>
      <c r="L22" s="13">
        <f>L23+L27</f>
        <v>160000</v>
      </c>
      <c r="M22" s="13">
        <f t="shared" si="6"/>
        <v>0</v>
      </c>
      <c r="N22" s="129"/>
      <c r="O22" s="13">
        <f>O23+O27</f>
        <v>167000</v>
      </c>
      <c r="P22" s="13">
        <f t="shared" si="7"/>
        <v>7000</v>
      </c>
      <c r="Q22" s="129"/>
      <c r="R22" s="13">
        <f>R23+R27</f>
        <v>167000</v>
      </c>
      <c r="S22" s="13">
        <f t="shared" si="8"/>
        <v>0</v>
      </c>
      <c r="T22" s="129"/>
      <c r="U22" s="13">
        <f>U23+U27</f>
        <v>167000</v>
      </c>
      <c r="V22" s="13">
        <f t="shared" si="9"/>
        <v>0</v>
      </c>
      <c r="W22" s="129"/>
      <c r="X22" s="499">
        <f>X23+X27</f>
        <v>138876.38</v>
      </c>
      <c r="Y22" s="200">
        <f t="shared" si="2"/>
        <v>0.83159508982035935</v>
      </c>
      <c r="Z22" s="539"/>
    </row>
    <row r="23" spans="1:26" x14ac:dyDescent="0.25">
      <c r="A23" s="2" t="s">
        <v>9</v>
      </c>
      <c r="B23" s="2" t="s">
        <v>42</v>
      </c>
      <c r="C23" s="67" t="s">
        <v>43</v>
      </c>
      <c r="D23" s="68" t="s">
        <v>44</v>
      </c>
      <c r="E23" s="330">
        <v>6700</v>
      </c>
      <c r="F23" s="330">
        <f>F24+F25+F26</f>
        <v>6700</v>
      </c>
      <c r="G23" s="11">
        <f>F23-E23</f>
        <v>0</v>
      </c>
      <c r="H23" s="369"/>
      <c r="I23" s="11">
        <f>I24+I25+I26</f>
        <v>6700</v>
      </c>
      <c r="J23" s="11">
        <f t="shared" si="5"/>
        <v>0</v>
      </c>
      <c r="K23" s="130"/>
      <c r="L23" s="11">
        <f>L24+L25+L26</f>
        <v>6700</v>
      </c>
      <c r="M23" s="11">
        <f t="shared" si="6"/>
        <v>0</v>
      </c>
      <c r="N23" s="130"/>
      <c r="O23" s="11">
        <f>O24+O25+O26</f>
        <v>6700</v>
      </c>
      <c r="P23" s="11">
        <f t="shared" si="7"/>
        <v>0</v>
      </c>
      <c r="Q23" s="130"/>
      <c r="R23" s="11">
        <f>R24+R25+R26</f>
        <v>6700</v>
      </c>
      <c r="S23" s="11">
        <f t="shared" si="8"/>
        <v>0</v>
      </c>
      <c r="T23" s="130"/>
      <c r="U23" s="11">
        <f>U24+U25+U26</f>
        <v>6700</v>
      </c>
      <c r="V23" s="11">
        <f t="shared" si="9"/>
        <v>0</v>
      </c>
      <c r="W23" s="130"/>
      <c r="X23" s="456">
        <f>X24+X25+X26</f>
        <v>4680.9699999999993</v>
      </c>
      <c r="Y23" s="205">
        <f t="shared" si="2"/>
        <v>0.69865223880597005</v>
      </c>
      <c r="Z23" s="486"/>
    </row>
    <row r="24" spans="1:26" ht="26.25" x14ac:dyDescent="0.25">
      <c r="B24" s="10" t="s">
        <v>45</v>
      </c>
      <c r="C24" s="71" t="s">
        <v>46</v>
      </c>
      <c r="D24" s="72" t="s">
        <v>47</v>
      </c>
      <c r="E24" s="330">
        <v>1700</v>
      </c>
      <c r="F24" s="330">
        <f>ROUND(E24,0)</f>
        <v>1700</v>
      </c>
      <c r="G24" s="11">
        <f t="shared" si="4"/>
        <v>0</v>
      </c>
      <c r="H24" s="369"/>
      <c r="I24" s="11">
        <f>ROUND(F24,0)</f>
        <v>1700</v>
      </c>
      <c r="J24" s="11">
        <f t="shared" si="5"/>
        <v>0</v>
      </c>
      <c r="K24" s="130"/>
      <c r="L24" s="11">
        <f>ROUND(I24,0)</f>
        <v>1700</v>
      </c>
      <c r="M24" s="11">
        <f t="shared" si="6"/>
        <v>0</v>
      </c>
      <c r="N24" s="130"/>
      <c r="O24" s="11">
        <f>ROUND(L24,0)</f>
        <v>1700</v>
      </c>
      <c r="P24" s="11">
        <f t="shared" si="7"/>
        <v>0</v>
      </c>
      <c r="Q24" s="130"/>
      <c r="R24" s="11">
        <f>ROUND(O24,0)</f>
        <v>1700</v>
      </c>
      <c r="S24" s="11">
        <f t="shared" si="8"/>
        <v>0</v>
      </c>
      <c r="T24" s="130"/>
      <c r="U24" s="11">
        <f>ROUND(R24,0)</f>
        <v>1700</v>
      </c>
      <c r="V24" s="11">
        <f t="shared" si="9"/>
        <v>0</v>
      </c>
      <c r="W24" s="130"/>
      <c r="X24" s="456">
        <v>997.29</v>
      </c>
      <c r="Y24" s="201">
        <f t="shared" si="2"/>
        <v>0.58664117647058822</v>
      </c>
      <c r="Z24" s="486"/>
    </row>
    <row r="25" spans="1:26" ht="26.25" x14ac:dyDescent="0.25">
      <c r="B25" s="10" t="s">
        <v>48</v>
      </c>
      <c r="C25" s="71" t="s">
        <v>49</v>
      </c>
      <c r="D25" s="72" t="s">
        <v>269</v>
      </c>
      <c r="E25" s="330">
        <v>4500</v>
      </c>
      <c r="F25" s="330">
        <f>ROUND(E25,0)</f>
        <v>4500</v>
      </c>
      <c r="G25" s="11">
        <f t="shared" si="4"/>
        <v>0</v>
      </c>
      <c r="H25" s="369"/>
      <c r="I25" s="11">
        <f>ROUND(F25,0)</f>
        <v>4500</v>
      </c>
      <c r="J25" s="11">
        <f t="shared" si="5"/>
        <v>0</v>
      </c>
      <c r="K25" s="130"/>
      <c r="L25" s="11">
        <f>ROUND(I25,0)</f>
        <v>4500</v>
      </c>
      <c r="M25" s="11">
        <f t="shared" si="6"/>
        <v>0</v>
      </c>
      <c r="N25" s="130"/>
      <c r="O25" s="11">
        <f>ROUND(L25,0)</f>
        <v>4500</v>
      </c>
      <c r="P25" s="11">
        <f t="shared" si="7"/>
        <v>0</v>
      </c>
      <c r="Q25" s="130"/>
      <c r="R25" s="11">
        <f>ROUND(O25,0)</f>
        <v>4500</v>
      </c>
      <c r="S25" s="11">
        <f t="shared" si="8"/>
        <v>0</v>
      </c>
      <c r="T25" s="130"/>
      <c r="U25" s="11">
        <f>ROUND(R25,0)</f>
        <v>4500</v>
      </c>
      <c r="V25" s="11">
        <f t="shared" si="9"/>
        <v>0</v>
      </c>
      <c r="W25" s="130"/>
      <c r="X25" s="456">
        <v>3235.18</v>
      </c>
      <c r="Y25" s="201">
        <f t="shared" si="2"/>
        <v>0.71892888888888884</v>
      </c>
      <c r="Z25" s="486"/>
    </row>
    <row r="26" spans="1:26" ht="26.25" x14ac:dyDescent="0.25">
      <c r="B26" s="10" t="s">
        <v>50</v>
      </c>
      <c r="C26" s="71" t="s">
        <v>51</v>
      </c>
      <c r="D26" s="72" t="s">
        <v>270</v>
      </c>
      <c r="E26" s="330">
        <v>500</v>
      </c>
      <c r="F26" s="330">
        <f>ROUND(E26,0)</f>
        <v>500</v>
      </c>
      <c r="G26" s="11">
        <f t="shared" si="4"/>
        <v>0</v>
      </c>
      <c r="H26" s="369"/>
      <c r="I26" s="11">
        <f>ROUND(F26,0)</f>
        <v>500</v>
      </c>
      <c r="J26" s="11">
        <f t="shared" si="5"/>
        <v>0</v>
      </c>
      <c r="K26" s="130"/>
      <c r="L26" s="11">
        <f>ROUND(I26,0)</f>
        <v>500</v>
      </c>
      <c r="M26" s="11">
        <f t="shared" si="6"/>
        <v>0</v>
      </c>
      <c r="N26" s="130"/>
      <c r="O26" s="11">
        <f>ROUND(L26,0)</f>
        <v>500</v>
      </c>
      <c r="P26" s="11">
        <f t="shared" si="7"/>
        <v>0</v>
      </c>
      <c r="Q26" s="130"/>
      <c r="R26" s="11">
        <f>ROUND(O26,0)</f>
        <v>500</v>
      </c>
      <c r="S26" s="11">
        <f t="shared" si="8"/>
        <v>0</v>
      </c>
      <c r="T26" s="130"/>
      <c r="U26" s="11">
        <f>ROUND(R26,0)</f>
        <v>500</v>
      </c>
      <c r="V26" s="11">
        <f t="shared" si="9"/>
        <v>0</v>
      </c>
      <c r="W26" s="130"/>
      <c r="X26" s="456">
        <v>448.5</v>
      </c>
      <c r="Y26" s="201">
        <f t="shared" si="2"/>
        <v>0.89700000000000002</v>
      </c>
      <c r="Z26" s="486"/>
    </row>
    <row r="27" spans="1:26" x14ac:dyDescent="0.25">
      <c r="A27" s="2" t="s">
        <v>9</v>
      </c>
      <c r="B27" s="2" t="s">
        <v>52</v>
      </c>
      <c r="C27" s="67" t="s">
        <v>53</v>
      </c>
      <c r="D27" s="68" t="s">
        <v>54</v>
      </c>
      <c r="E27" s="330">
        <v>153300</v>
      </c>
      <c r="F27" s="330">
        <f t="shared" ref="F27" si="12">SUM(F28:F33)</f>
        <v>153300</v>
      </c>
      <c r="G27" s="11">
        <f t="shared" si="4"/>
        <v>0</v>
      </c>
      <c r="H27" s="369"/>
      <c r="I27" s="11">
        <f>SUM(I28:I33)</f>
        <v>153300</v>
      </c>
      <c r="J27" s="11">
        <f t="shared" si="5"/>
        <v>0</v>
      </c>
      <c r="K27" s="130"/>
      <c r="L27" s="11">
        <f>SUM(L28:L33)</f>
        <v>153300</v>
      </c>
      <c r="M27" s="11">
        <f t="shared" si="6"/>
        <v>0</v>
      </c>
      <c r="N27" s="130"/>
      <c r="O27" s="11">
        <f>SUM(O28:O33)</f>
        <v>160300</v>
      </c>
      <c r="P27" s="11">
        <f t="shared" si="7"/>
        <v>7000</v>
      </c>
      <c r="Q27" s="130"/>
      <c r="R27" s="11">
        <f>SUM(R28:R33)</f>
        <v>160300</v>
      </c>
      <c r="S27" s="11">
        <f t="shared" si="8"/>
        <v>0</v>
      </c>
      <c r="T27" s="130"/>
      <c r="U27" s="11">
        <f>SUM(U28:U33)</f>
        <v>160300</v>
      </c>
      <c r="V27" s="11">
        <f t="shared" si="9"/>
        <v>0</v>
      </c>
      <c r="W27" s="130"/>
      <c r="X27" s="456">
        <f>SUM(X28:X33)</f>
        <v>134195.41</v>
      </c>
      <c r="Y27" s="205">
        <f t="shared" si="2"/>
        <v>0.83715165315034312</v>
      </c>
      <c r="Z27" s="486"/>
    </row>
    <row r="28" spans="1:26" ht="26.25" x14ac:dyDescent="0.25">
      <c r="B28" s="10" t="s">
        <v>55</v>
      </c>
      <c r="C28" s="71" t="s">
        <v>56</v>
      </c>
      <c r="D28" s="72" t="s">
        <v>271</v>
      </c>
      <c r="E28" s="330">
        <v>350</v>
      </c>
      <c r="F28" s="330">
        <f t="shared" ref="F28:F33" si="13">ROUND(E28,0)</f>
        <v>350</v>
      </c>
      <c r="G28" s="11">
        <f t="shared" si="4"/>
        <v>0</v>
      </c>
      <c r="H28" s="369"/>
      <c r="I28" s="11">
        <f t="shared" ref="I28:I33" si="14">ROUND(F28,0)</f>
        <v>350</v>
      </c>
      <c r="J28" s="11">
        <f t="shared" si="5"/>
        <v>0</v>
      </c>
      <c r="K28" s="130"/>
      <c r="L28" s="11">
        <f t="shared" ref="L28:L33" si="15">ROUND(I28,0)</f>
        <v>350</v>
      </c>
      <c r="M28" s="11">
        <f t="shared" si="6"/>
        <v>0</v>
      </c>
      <c r="N28" s="130"/>
      <c r="O28" s="11">
        <f t="shared" ref="O28:O33" si="16">ROUND(L28,0)</f>
        <v>350</v>
      </c>
      <c r="P28" s="11">
        <f t="shared" si="7"/>
        <v>0</v>
      </c>
      <c r="Q28" s="130"/>
      <c r="R28" s="11">
        <f t="shared" ref="R28:R33" si="17">ROUND(O28,0)</f>
        <v>350</v>
      </c>
      <c r="S28" s="11">
        <f t="shared" si="8"/>
        <v>0</v>
      </c>
      <c r="T28" s="130"/>
      <c r="U28" s="11">
        <f t="shared" ref="U28:U33" si="18">ROUND(R28,0)</f>
        <v>350</v>
      </c>
      <c r="V28" s="11">
        <f t="shared" si="9"/>
        <v>0</v>
      </c>
      <c r="W28" s="130"/>
      <c r="X28" s="456">
        <v>81.5</v>
      </c>
      <c r="Y28" s="201">
        <f t="shared" si="2"/>
        <v>0.23285714285714285</v>
      </c>
      <c r="Z28" s="486"/>
    </row>
    <row r="29" spans="1:26" ht="26.25" x14ac:dyDescent="0.25">
      <c r="B29" s="60" t="s">
        <v>524</v>
      </c>
      <c r="C29" s="71" t="s">
        <v>58</v>
      </c>
      <c r="D29" s="72" t="s">
        <v>278</v>
      </c>
      <c r="E29" s="330">
        <v>1100</v>
      </c>
      <c r="F29" s="330">
        <f t="shared" si="13"/>
        <v>1100</v>
      </c>
      <c r="G29" s="52">
        <f t="shared" si="4"/>
        <v>0</v>
      </c>
      <c r="H29" s="372"/>
      <c r="I29" s="11">
        <f t="shared" si="14"/>
        <v>1100</v>
      </c>
      <c r="J29" s="52">
        <f t="shared" si="5"/>
        <v>0</v>
      </c>
      <c r="K29" s="133"/>
      <c r="L29" s="11">
        <f t="shared" si="15"/>
        <v>1100</v>
      </c>
      <c r="M29" s="52">
        <f t="shared" si="6"/>
        <v>0</v>
      </c>
      <c r="N29" s="133"/>
      <c r="O29" s="11">
        <f t="shared" si="16"/>
        <v>1100</v>
      </c>
      <c r="P29" s="52">
        <f t="shared" si="7"/>
        <v>0</v>
      </c>
      <c r="Q29" s="133"/>
      <c r="R29" s="11">
        <f t="shared" si="17"/>
        <v>1100</v>
      </c>
      <c r="S29" s="52">
        <f t="shared" si="8"/>
        <v>0</v>
      </c>
      <c r="T29" s="133"/>
      <c r="U29" s="11">
        <f t="shared" si="18"/>
        <v>1100</v>
      </c>
      <c r="V29" s="52">
        <f t="shared" si="9"/>
        <v>0</v>
      </c>
      <c r="W29" s="133"/>
      <c r="X29" s="456">
        <v>1925.98</v>
      </c>
      <c r="Y29" s="206">
        <f t="shared" si="2"/>
        <v>1.7508909090909091</v>
      </c>
      <c r="Z29" s="486"/>
    </row>
    <row r="30" spans="1:26" ht="60" x14ac:dyDescent="0.25">
      <c r="B30" s="10" t="s">
        <v>57</v>
      </c>
      <c r="C30" s="71" t="s">
        <v>59</v>
      </c>
      <c r="D30" s="72" t="s">
        <v>272</v>
      </c>
      <c r="E30" s="330">
        <v>27000</v>
      </c>
      <c r="F30" s="330">
        <f t="shared" si="13"/>
        <v>27000</v>
      </c>
      <c r="G30" s="11">
        <f t="shared" si="4"/>
        <v>0</v>
      </c>
      <c r="H30" s="369"/>
      <c r="I30" s="11">
        <f t="shared" si="14"/>
        <v>27000</v>
      </c>
      <c r="J30" s="11">
        <f t="shared" si="5"/>
        <v>0</v>
      </c>
      <c r="K30" s="130"/>
      <c r="L30" s="11">
        <f t="shared" si="15"/>
        <v>27000</v>
      </c>
      <c r="M30" s="11">
        <f t="shared" si="6"/>
        <v>0</v>
      </c>
      <c r="N30" s="130"/>
      <c r="O30" s="11">
        <f>ROUND(L30,0)+7000</f>
        <v>34000</v>
      </c>
      <c r="P30" s="11">
        <f t="shared" si="7"/>
        <v>7000</v>
      </c>
      <c r="Q30" s="170" t="s">
        <v>824</v>
      </c>
      <c r="R30" s="11">
        <f t="shared" si="17"/>
        <v>34000</v>
      </c>
      <c r="S30" s="11">
        <f t="shared" si="8"/>
        <v>0</v>
      </c>
      <c r="T30" s="170"/>
      <c r="U30" s="11">
        <f t="shared" si="18"/>
        <v>34000</v>
      </c>
      <c r="V30" s="11">
        <f t="shared" si="9"/>
        <v>0</v>
      </c>
      <c r="W30" s="170"/>
      <c r="X30" s="456">
        <v>33354.120000000003</v>
      </c>
      <c r="Y30" s="201">
        <f t="shared" si="2"/>
        <v>0.98100352941176483</v>
      </c>
      <c r="Z30" s="486"/>
    </row>
    <row r="31" spans="1:26" ht="26.25" x14ac:dyDescent="0.25">
      <c r="B31" s="10" t="s">
        <v>60</v>
      </c>
      <c r="C31" s="71" t="s">
        <v>61</v>
      </c>
      <c r="D31" s="72" t="s">
        <v>273</v>
      </c>
      <c r="E31" s="330">
        <v>11500</v>
      </c>
      <c r="F31" s="330">
        <f t="shared" si="13"/>
        <v>11500</v>
      </c>
      <c r="G31" s="11">
        <f t="shared" si="4"/>
        <v>0</v>
      </c>
      <c r="H31" s="369"/>
      <c r="I31" s="11">
        <f t="shared" si="14"/>
        <v>11500</v>
      </c>
      <c r="J31" s="11">
        <f t="shared" si="5"/>
        <v>0</v>
      </c>
      <c r="K31" s="130"/>
      <c r="L31" s="11">
        <f t="shared" si="15"/>
        <v>11500</v>
      </c>
      <c r="M31" s="11">
        <f t="shared" si="6"/>
        <v>0</v>
      </c>
      <c r="N31" s="130"/>
      <c r="O31" s="11">
        <f t="shared" si="16"/>
        <v>11500</v>
      </c>
      <c r="P31" s="11">
        <f t="shared" si="7"/>
        <v>0</v>
      </c>
      <c r="Q31" s="130"/>
      <c r="R31" s="11">
        <f t="shared" si="17"/>
        <v>11500</v>
      </c>
      <c r="S31" s="11">
        <f t="shared" si="8"/>
        <v>0</v>
      </c>
      <c r="T31" s="130"/>
      <c r="U31" s="11">
        <f t="shared" si="18"/>
        <v>11500</v>
      </c>
      <c r="V31" s="11">
        <f t="shared" si="9"/>
        <v>0</v>
      </c>
      <c r="W31" s="130"/>
      <c r="X31" s="456">
        <v>18321.87</v>
      </c>
      <c r="Y31" s="201">
        <f t="shared" si="2"/>
        <v>1.5932060869565217</v>
      </c>
      <c r="Z31" s="486"/>
    </row>
    <row r="32" spans="1:26" x14ac:dyDescent="0.25">
      <c r="B32" s="10" t="s">
        <v>62</v>
      </c>
      <c r="C32" s="71" t="s">
        <v>63</v>
      </c>
      <c r="D32" s="72" t="s">
        <v>274</v>
      </c>
      <c r="E32" s="330">
        <v>106350</v>
      </c>
      <c r="F32" s="330">
        <f t="shared" si="13"/>
        <v>106350</v>
      </c>
      <c r="G32" s="11">
        <f t="shared" si="4"/>
        <v>0</v>
      </c>
      <c r="H32" s="369"/>
      <c r="I32" s="11">
        <f t="shared" si="14"/>
        <v>106350</v>
      </c>
      <c r="J32" s="11">
        <f t="shared" si="5"/>
        <v>0</v>
      </c>
      <c r="K32" s="130"/>
      <c r="L32" s="11">
        <f t="shared" si="15"/>
        <v>106350</v>
      </c>
      <c r="M32" s="11">
        <f t="shared" si="6"/>
        <v>0</v>
      </c>
      <c r="N32" s="130"/>
      <c r="O32" s="11">
        <f t="shared" si="16"/>
        <v>106350</v>
      </c>
      <c r="P32" s="11">
        <f t="shared" si="7"/>
        <v>0</v>
      </c>
      <c r="Q32" s="130"/>
      <c r="R32" s="11">
        <f t="shared" si="17"/>
        <v>106350</v>
      </c>
      <c r="S32" s="11">
        <f t="shared" si="8"/>
        <v>0</v>
      </c>
      <c r="T32" s="130"/>
      <c r="U32" s="11">
        <f t="shared" si="18"/>
        <v>106350</v>
      </c>
      <c r="V32" s="11">
        <f t="shared" si="9"/>
        <v>0</v>
      </c>
      <c r="W32" s="130"/>
      <c r="X32" s="456">
        <v>76621.850000000006</v>
      </c>
      <c r="Y32" s="201">
        <f t="shared" si="2"/>
        <v>0.72046873530794553</v>
      </c>
      <c r="Z32" s="486"/>
    </row>
    <row r="33" spans="1:27" x14ac:dyDescent="0.25">
      <c r="B33" s="10" t="s">
        <v>64</v>
      </c>
      <c r="C33" s="71" t="s">
        <v>65</v>
      </c>
      <c r="D33" s="72" t="s">
        <v>275</v>
      </c>
      <c r="E33" s="330">
        <v>7000</v>
      </c>
      <c r="F33" s="330">
        <f t="shared" si="13"/>
        <v>7000</v>
      </c>
      <c r="G33" s="11">
        <f t="shared" si="4"/>
        <v>0</v>
      </c>
      <c r="H33" s="369"/>
      <c r="I33" s="11">
        <f t="shared" si="14"/>
        <v>7000</v>
      </c>
      <c r="J33" s="11">
        <f t="shared" si="5"/>
        <v>0</v>
      </c>
      <c r="K33" s="130"/>
      <c r="L33" s="11">
        <f t="shared" si="15"/>
        <v>7000</v>
      </c>
      <c r="M33" s="11">
        <f t="shared" si="6"/>
        <v>0</v>
      </c>
      <c r="N33" s="130"/>
      <c r="O33" s="11">
        <f t="shared" si="16"/>
        <v>7000</v>
      </c>
      <c r="P33" s="11">
        <f t="shared" si="7"/>
        <v>0</v>
      </c>
      <c r="Q33" s="130"/>
      <c r="R33" s="11">
        <f t="shared" si="17"/>
        <v>7000</v>
      </c>
      <c r="S33" s="11">
        <f t="shared" si="8"/>
        <v>0</v>
      </c>
      <c r="T33" s="130"/>
      <c r="U33" s="11">
        <f t="shared" si="18"/>
        <v>7000</v>
      </c>
      <c r="V33" s="11">
        <f t="shared" si="9"/>
        <v>0</v>
      </c>
      <c r="W33" s="130"/>
      <c r="X33" s="456">
        <v>3890.09</v>
      </c>
      <c r="Y33" s="201">
        <f t="shared" si="2"/>
        <v>0.55572714285714286</v>
      </c>
      <c r="Z33" s="486"/>
    </row>
    <row r="34" spans="1:27" ht="18" customHeight="1" x14ac:dyDescent="0.25">
      <c r="B34" s="2" t="s">
        <v>66</v>
      </c>
      <c r="C34" s="69" t="s">
        <v>67</v>
      </c>
      <c r="D34" s="70" t="s">
        <v>68</v>
      </c>
      <c r="E34" s="329">
        <v>65000</v>
      </c>
      <c r="F34" s="329">
        <f>F35+F36</f>
        <v>65000</v>
      </c>
      <c r="G34" s="13">
        <f t="shared" si="4"/>
        <v>0</v>
      </c>
      <c r="H34" s="373"/>
      <c r="I34" s="13">
        <f>I35+I36</f>
        <v>65000</v>
      </c>
      <c r="J34" s="13">
        <f t="shared" si="5"/>
        <v>0</v>
      </c>
      <c r="K34" s="134"/>
      <c r="L34" s="13">
        <f>L35+L36</f>
        <v>65000</v>
      </c>
      <c r="M34" s="13">
        <f t="shared" si="6"/>
        <v>0</v>
      </c>
      <c r="N34" s="134"/>
      <c r="O34" s="13">
        <f>O35+O36</f>
        <v>65000</v>
      </c>
      <c r="P34" s="13">
        <f t="shared" si="7"/>
        <v>0</v>
      </c>
      <c r="Q34" s="134"/>
      <c r="R34" s="13">
        <f>R35+R36</f>
        <v>110000</v>
      </c>
      <c r="S34" s="13">
        <f t="shared" si="8"/>
        <v>45000</v>
      </c>
      <c r="T34" s="134"/>
      <c r="U34" s="13">
        <f>U35+U36</f>
        <v>150000</v>
      </c>
      <c r="V34" s="13">
        <f t="shared" si="9"/>
        <v>40000</v>
      </c>
      <c r="W34" s="134"/>
      <c r="X34" s="499">
        <f>X35+X36</f>
        <v>152738.26</v>
      </c>
      <c r="Y34" s="200">
        <f t="shared" si="2"/>
        <v>1.0182550666666668</v>
      </c>
      <c r="Z34" s="539"/>
    </row>
    <row r="35" spans="1:27" ht="16.5" customHeight="1" x14ac:dyDescent="0.25">
      <c r="B35" s="54" t="s">
        <v>69</v>
      </c>
      <c r="C35" s="67" t="s">
        <v>70</v>
      </c>
      <c r="D35" s="68" t="s">
        <v>68</v>
      </c>
      <c r="E35" s="330">
        <v>31000</v>
      </c>
      <c r="F35" s="330">
        <f>ROUND(E35,0)</f>
        <v>31000</v>
      </c>
      <c r="G35" s="11">
        <f t="shared" si="4"/>
        <v>0</v>
      </c>
      <c r="H35" s="366"/>
      <c r="I35" s="11">
        <f>ROUND(F35,0)</f>
        <v>31000</v>
      </c>
      <c r="J35" s="11">
        <f t="shared" si="5"/>
        <v>0</v>
      </c>
      <c r="K35" s="127"/>
      <c r="L35" s="11">
        <f>ROUND(I35,0)</f>
        <v>31000</v>
      </c>
      <c r="M35" s="11">
        <f t="shared" si="6"/>
        <v>0</v>
      </c>
      <c r="N35" s="127"/>
      <c r="O35" s="11">
        <f>ROUND(L35,0)</f>
        <v>31000</v>
      </c>
      <c r="P35" s="11">
        <f t="shared" si="7"/>
        <v>0</v>
      </c>
      <c r="Q35" s="127"/>
      <c r="R35" s="11">
        <f>ROUND(O35,0)+45000</f>
        <v>76000</v>
      </c>
      <c r="S35" s="11">
        <f t="shared" si="8"/>
        <v>45000</v>
      </c>
      <c r="T35" s="127" t="s">
        <v>861</v>
      </c>
      <c r="U35" s="11">
        <f>ROUND(R35,0)+40000</f>
        <v>116000</v>
      </c>
      <c r="V35" s="11">
        <f t="shared" si="9"/>
        <v>40000</v>
      </c>
      <c r="W35" s="127" t="s">
        <v>910</v>
      </c>
      <c r="X35" s="456">
        <v>114544.92</v>
      </c>
      <c r="Y35" s="201">
        <f t="shared" si="2"/>
        <v>0.98745620689655167</v>
      </c>
      <c r="Z35" s="486"/>
    </row>
    <row r="36" spans="1:27" ht="30" x14ac:dyDescent="0.25">
      <c r="B36" s="54" t="s">
        <v>71</v>
      </c>
      <c r="C36" s="67" t="s">
        <v>72</v>
      </c>
      <c r="D36" s="68" t="s">
        <v>73</v>
      </c>
      <c r="E36" s="330">
        <v>34000</v>
      </c>
      <c r="F36" s="330">
        <f>ROUND(E36,0)</f>
        <v>34000</v>
      </c>
      <c r="G36" s="11">
        <f t="shared" si="4"/>
        <v>0</v>
      </c>
      <c r="H36" s="366"/>
      <c r="I36" s="11">
        <f>ROUND(F36,0)</f>
        <v>34000</v>
      </c>
      <c r="J36" s="11">
        <f t="shared" si="5"/>
        <v>0</v>
      </c>
      <c r="K36" s="127"/>
      <c r="L36" s="11">
        <f>ROUND(I36,0)</f>
        <v>34000</v>
      </c>
      <c r="M36" s="11">
        <f t="shared" si="6"/>
        <v>0</v>
      </c>
      <c r="N36" s="127"/>
      <c r="O36" s="11">
        <f>ROUND(L36,0)</f>
        <v>34000</v>
      </c>
      <c r="P36" s="11">
        <f t="shared" si="7"/>
        <v>0</v>
      </c>
      <c r="Q36" s="127"/>
      <c r="R36" s="11">
        <f>ROUND(O36,0)</f>
        <v>34000</v>
      </c>
      <c r="S36" s="11">
        <f t="shared" si="8"/>
        <v>0</v>
      </c>
      <c r="T36" s="127"/>
      <c r="U36" s="11">
        <f>ROUND(R36,0)</f>
        <v>34000</v>
      </c>
      <c r="V36" s="11">
        <f t="shared" si="9"/>
        <v>0</v>
      </c>
      <c r="W36" s="127"/>
      <c r="X36" s="456">
        <v>38193.339999999997</v>
      </c>
      <c r="Y36" s="201">
        <f t="shared" si="2"/>
        <v>1.1233335294117646</v>
      </c>
      <c r="Z36" s="486"/>
    </row>
    <row r="37" spans="1:27" x14ac:dyDescent="0.25">
      <c r="B37" s="2" t="s">
        <v>74</v>
      </c>
      <c r="C37" s="69" t="s">
        <v>75</v>
      </c>
      <c r="D37" s="70" t="s">
        <v>76</v>
      </c>
      <c r="E37" s="329">
        <v>6453</v>
      </c>
      <c r="F37" s="329">
        <f>F38+F39+F40</f>
        <v>6453</v>
      </c>
      <c r="G37" s="13">
        <f t="shared" si="4"/>
        <v>0</v>
      </c>
      <c r="H37" s="368"/>
      <c r="I37" s="13">
        <f>I38+I39+I40</f>
        <v>25797</v>
      </c>
      <c r="J37" s="13">
        <f t="shared" si="5"/>
        <v>19344</v>
      </c>
      <c r="K37" s="129"/>
      <c r="L37" s="13">
        <f>L38+L39+L40</f>
        <v>35106</v>
      </c>
      <c r="M37" s="13">
        <f t="shared" si="6"/>
        <v>9309</v>
      </c>
      <c r="N37" s="129"/>
      <c r="O37" s="13">
        <f>O38+O39+O40</f>
        <v>57106</v>
      </c>
      <c r="P37" s="13">
        <f t="shared" si="7"/>
        <v>22000</v>
      </c>
      <c r="Q37" s="129"/>
      <c r="R37" s="13">
        <f>R38+R39+R40</f>
        <v>124631</v>
      </c>
      <c r="S37" s="13">
        <f t="shared" si="8"/>
        <v>67525</v>
      </c>
      <c r="T37" s="129"/>
      <c r="U37" s="13">
        <f>U38+U39+U40</f>
        <v>161431</v>
      </c>
      <c r="V37" s="13">
        <f t="shared" si="9"/>
        <v>36800</v>
      </c>
      <c r="W37" s="129"/>
      <c r="X37" s="499">
        <f>X38+X39+X40</f>
        <v>176633.03999999998</v>
      </c>
      <c r="Y37" s="200">
        <f t="shared" si="2"/>
        <v>1.0941705124790158</v>
      </c>
      <c r="Z37" s="508"/>
      <c r="AA37" s="38"/>
    </row>
    <row r="38" spans="1:27" ht="60" customHeight="1" x14ac:dyDescent="0.25">
      <c r="A38" s="2" t="s">
        <v>9</v>
      </c>
      <c r="B38" s="3" t="s">
        <v>746</v>
      </c>
      <c r="C38" s="67" t="s">
        <v>77</v>
      </c>
      <c r="D38" s="275" t="s">
        <v>78</v>
      </c>
      <c r="E38" s="330">
        <v>0</v>
      </c>
      <c r="F38" s="330">
        <f>ROUND(E38,0)</f>
        <v>0</v>
      </c>
      <c r="G38" s="11">
        <f t="shared" si="4"/>
        <v>0</v>
      </c>
      <c r="H38" s="374"/>
      <c r="I38" s="11">
        <f>ROUND(F38,0)+19344</f>
        <v>19344</v>
      </c>
      <c r="J38" s="11">
        <f t="shared" si="5"/>
        <v>19344</v>
      </c>
      <c r="K38" s="135" t="s">
        <v>747</v>
      </c>
      <c r="L38" s="11">
        <f>ROUND(I38,0)+9309</f>
        <v>28653</v>
      </c>
      <c r="M38" s="11">
        <f t="shared" si="6"/>
        <v>9309</v>
      </c>
      <c r="N38" s="135" t="s">
        <v>798</v>
      </c>
      <c r="O38" s="11">
        <f>ROUND(L38,0)+22000</f>
        <v>50653</v>
      </c>
      <c r="P38" s="11">
        <f t="shared" si="7"/>
        <v>22000</v>
      </c>
      <c r="Q38" s="135" t="s">
        <v>834</v>
      </c>
      <c r="R38" s="11">
        <f>ROUND(O38,0)+(10000+20000)+31000</f>
        <v>111653</v>
      </c>
      <c r="S38" s="11">
        <f t="shared" si="8"/>
        <v>61000</v>
      </c>
      <c r="T38" s="135" t="s">
        <v>879</v>
      </c>
      <c r="U38" s="11">
        <f>ROUND(R38,0)+10000+20000</f>
        <v>141653</v>
      </c>
      <c r="V38" s="544">
        <f t="shared" si="9"/>
        <v>30000</v>
      </c>
      <c r="W38" s="135" t="s">
        <v>909</v>
      </c>
      <c r="X38" s="456">
        <f>89565+64858.59+2432+5650+2273-4104</f>
        <v>160674.59</v>
      </c>
      <c r="Y38" s="201">
        <f t="shared" si="2"/>
        <v>1.1342830014189604</v>
      </c>
      <c r="Z38" s="502" t="s">
        <v>906</v>
      </c>
    </row>
    <row r="39" spans="1:27" ht="27.75" customHeight="1" x14ac:dyDescent="0.25">
      <c r="B39" s="2" t="s">
        <v>239</v>
      </c>
      <c r="C39" s="67" t="s">
        <v>79</v>
      </c>
      <c r="D39" s="68" t="s">
        <v>238</v>
      </c>
      <c r="E39" s="330">
        <v>500</v>
      </c>
      <c r="F39" s="330">
        <f>ROUND(E39,0)</f>
        <v>500</v>
      </c>
      <c r="G39" s="11">
        <f t="shared" si="4"/>
        <v>0</v>
      </c>
      <c r="H39" s="374"/>
      <c r="I39" s="11">
        <f>ROUND(F39,0)</f>
        <v>500</v>
      </c>
      <c r="J39" s="11">
        <f t="shared" si="5"/>
        <v>0</v>
      </c>
      <c r="K39" s="135"/>
      <c r="L39" s="11">
        <f>ROUND(I39,0)</f>
        <v>500</v>
      </c>
      <c r="M39" s="11">
        <f t="shared" si="6"/>
        <v>0</v>
      </c>
      <c r="N39" s="135"/>
      <c r="O39" s="11">
        <f>ROUND(L39,0)</f>
        <v>500</v>
      </c>
      <c r="P39" s="11">
        <f t="shared" si="7"/>
        <v>0</v>
      </c>
      <c r="Q39" s="135"/>
      <c r="R39" s="11">
        <f>ROUND(O39,0)</f>
        <v>500</v>
      </c>
      <c r="S39" s="11">
        <f t="shared" si="8"/>
        <v>0</v>
      </c>
      <c r="T39" s="135"/>
      <c r="U39" s="11">
        <f>ROUND(R39,0)+6800</f>
        <v>7300</v>
      </c>
      <c r="V39" s="544">
        <f t="shared" si="9"/>
        <v>6800</v>
      </c>
      <c r="W39" s="135" t="s">
        <v>910</v>
      </c>
      <c r="X39" s="456">
        <f>3122.68+4101</f>
        <v>7223.68</v>
      </c>
      <c r="Y39" s="201">
        <f t="shared" si="2"/>
        <v>0.98954520547945213</v>
      </c>
      <c r="Z39" s="502" t="s">
        <v>779</v>
      </c>
    </row>
    <row r="40" spans="1:27" x14ac:dyDescent="0.25">
      <c r="C40" s="67" t="s">
        <v>80</v>
      </c>
      <c r="D40" s="68" t="s">
        <v>308</v>
      </c>
      <c r="E40" s="330">
        <v>5953</v>
      </c>
      <c r="F40" s="330">
        <f>ROUND(E40,0)</f>
        <v>5953</v>
      </c>
      <c r="G40" s="52">
        <f t="shared" si="4"/>
        <v>0</v>
      </c>
      <c r="H40" s="375"/>
      <c r="I40" s="11">
        <f>ROUND(F40,0)</f>
        <v>5953</v>
      </c>
      <c r="J40" s="52">
        <f t="shared" si="5"/>
        <v>0</v>
      </c>
      <c r="K40" s="136"/>
      <c r="L40" s="11">
        <f>ROUND(I40,0)</f>
        <v>5953</v>
      </c>
      <c r="M40" s="52">
        <f t="shared" si="6"/>
        <v>0</v>
      </c>
      <c r="N40" s="136"/>
      <c r="O40" s="11">
        <f>ROUND(L40,0)</f>
        <v>5953</v>
      </c>
      <c r="P40" s="52">
        <f t="shared" si="7"/>
        <v>0</v>
      </c>
      <c r="Q40" s="136"/>
      <c r="R40" s="11">
        <f>ROUND(O40,0)+6525</f>
        <v>12478</v>
      </c>
      <c r="S40" s="52">
        <f t="shared" si="8"/>
        <v>6525</v>
      </c>
      <c r="T40" s="136" t="s">
        <v>861</v>
      </c>
      <c r="U40" s="11">
        <f>ROUND(R40,0)</f>
        <v>12478</v>
      </c>
      <c r="V40" s="52">
        <f t="shared" si="9"/>
        <v>0</v>
      </c>
      <c r="W40" s="136"/>
      <c r="X40" s="456">
        <v>8734.77</v>
      </c>
      <c r="Y40" s="206">
        <f t="shared" si="2"/>
        <v>0.70001362397820166</v>
      </c>
      <c r="Z40" s="486"/>
      <c r="AA40" s="38">
        <f>X41-I41</f>
        <v>83422.78</v>
      </c>
    </row>
    <row r="41" spans="1:27" ht="26.45" customHeight="1" x14ac:dyDescent="0.25">
      <c r="B41" s="2" t="s">
        <v>234</v>
      </c>
      <c r="C41" s="73" t="s">
        <v>81</v>
      </c>
      <c r="D41" s="70" t="s">
        <v>82</v>
      </c>
      <c r="E41" s="329">
        <v>5856</v>
      </c>
      <c r="F41" s="329">
        <f>ROUND(E41,0)</f>
        <v>5856</v>
      </c>
      <c r="G41" s="13">
        <f t="shared" si="4"/>
        <v>0</v>
      </c>
      <c r="H41" s="373"/>
      <c r="I41" s="13">
        <f>ROUND(F41,0)</f>
        <v>5856</v>
      </c>
      <c r="J41" s="13">
        <f t="shared" si="5"/>
        <v>0</v>
      </c>
      <c r="K41" s="134"/>
      <c r="L41" s="13">
        <f>ROUND(I41,0)+23095</f>
        <v>28951</v>
      </c>
      <c r="M41" s="13">
        <f t="shared" si="6"/>
        <v>23095</v>
      </c>
      <c r="N41" s="134" t="s">
        <v>789</v>
      </c>
      <c r="O41" s="13">
        <f>ROUND(L41,0)</f>
        <v>28951</v>
      </c>
      <c r="P41" s="13">
        <f t="shared" si="7"/>
        <v>0</v>
      </c>
      <c r="Q41" s="134"/>
      <c r="R41" s="13">
        <f>ROUND(O41,0)+30205</f>
        <v>59156</v>
      </c>
      <c r="S41" s="13">
        <f t="shared" si="8"/>
        <v>30205</v>
      </c>
      <c r="T41" s="134" t="s">
        <v>861</v>
      </c>
      <c r="U41" s="13">
        <f>ROUND(R41,0)</f>
        <v>59156</v>
      </c>
      <c r="V41" s="13">
        <f t="shared" si="9"/>
        <v>0</v>
      </c>
      <c r="W41" s="134"/>
      <c r="X41" s="499">
        <f>89227.78+50+1</f>
        <v>89278.78</v>
      </c>
      <c r="Y41" s="200">
        <f t="shared" si="2"/>
        <v>1.5092092095476368</v>
      </c>
      <c r="Z41" s="539"/>
    </row>
    <row r="42" spans="1:27" ht="31.5" customHeight="1" x14ac:dyDescent="0.25">
      <c r="C42" s="73" t="s">
        <v>85</v>
      </c>
      <c r="D42" s="70" t="s">
        <v>243</v>
      </c>
      <c r="E42" s="329">
        <v>10153512</v>
      </c>
      <c r="F42" s="329">
        <f t="shared" ref="F42" si="19">F43+F66+F87</f>
        <v>10611779</v>
      </c>
      <c r="G42" s="13">
        <f t="shared" si="4"/>
        <v>458267</v>
      </c>
      <c r="H42" s="263"/>
      <c r="I42" s="13">
        <f>I43+I66+I87</f>
        <v>10715183</v>
      </c>
      <c r="J42" s="13">
        <f t="shared" si="5"/>
        <v>103404</v>
      </c>
      <c r="K42" s="13"/>
      <c r="L42" s="13">
        <f>L43+L66+L87</f>
        <v>10765964</v>
      </c>
      <c r="M42" s="13">
        <f t="shared" si="6"/>
        <v>50781</v>
      </c>
      <c r="N42" s="13"/>
      <c r="O42" s="13">
        <f>O43+O66+O87</f>
        <v>10765964</v>
      </c>
      <c r="P42" s="13">
        <f t="shared" si="7"/>
        <v>0</v>
      </c>
      <c r="Q42" s="13"/>
      <c r="R42" s="13">
        <f>R43+R66+R87</f>
        <v>10824662</v>
      </c>
      <c r="S42" s="13">
        <f t="shared" si="8"/>
        <v>58698</v>
      </c>
      <c r="T42" s="13"/>
      <c r="U42" s="13">
        <f>U43+U66+U87</f>
        <v>10925219</v>
      </c>
      <c r="V42" s="13">
        <f t="shared" si="9"/>
        <v>100557</v>
      </c>
      <c r="W42" s="13"/>
      <c r="X42" s="533">
        <f>X43+X66+X87</f>
        <v>7667539.1000000006</v>
      </c>
      <c r="Y42" s="200">
        <f t="shared" si="2"/>
        <v>0.7018201740395319</v>
      </c>
      <c r="Z42" s="508"/>
    </row>
    <row r="43" spans="1:27" ht="17.45" customHeight="1" x14ac:dyDescent="0.25">
      <c r="B43" s="10"/>
      <c r="C43" s="74" t="s">
        <v>89</v>
      </c>
      <c r="D43" s="277" t="s">
        <v>86</v>
      </c>
      <c r="E43" s="338">
        <v>8993696</v>
      </c>
      <c r="F43" s="338">
        <f t="shared" ref="F43" si="20">SUM(F44:F47)+F50+SUM(F54:F65)</f>
        <v>9340698</v>
      </c>
      <c r="G43" s="49">
        <f t="shared" si="4"/>
        <v>347002</v>
      </c>
      <c r="H43" s="274"/>
      <c r="I43" s="49">
        <f>SUM(I44:I47)+I50+SUM(I54:I65)</f>
        <v>9468249</v>
      </c>
      <c r="J43" s="49">
        <f t="shared" si="5"/>
        <v>127551</v>
      </c>
      <c r="K43" s="49"/>
      <c r="L43" s="49">
        <f>SUM(L44:L47)+L50+SUM(L54:L65)</f>
        <v>9519030</v>
      </c>
      <c r="M43" s="49">
        <f t="shared" si="6"/>
        <v>50781</v>
      </c>
      <c r="N43" s="49"/>
      <c r="O43" s="49">
        <f>SUM(O44:O47)+O50+SUM(O54:O65)</f>
        <v>9519030</v>
      </c>
      <c r="P43" s="49">
        <f t="shared" si="7"/>
        <v>0</v>
      </c>
      <c r="Q43" s="49"/>
      <c r="R43" s="49">
        <f>SUM(R44:R47)+R50+SUM(R54:R65)</f>
        <v>9519030</v>
      </c>
      <c r="S43" s="49">
        <f t="shared" si="8"/>
        <v>0</v>
      </c>
      <c r="T43" s="49"/>
      <c r="U43" s="49">
        <f>SUM(U44:U47)+U50+SUM(U54:U65)</f>
        <v>9619587</v>
      </c>
      <c r="V43" s="49">
        <f t="shared" si="9"/>
        <v>100557</v>
      </c>
      <c r="W43" s="49"/>
      <c r="X43" s="528">
        <f>SUM(X44:X47)+X50+SUM(X54:X65)</f>
        <v>6940114.8400000008</v>
      </c>
      <c r="Y43" s="229">
        <f t="shared" si="2"/>
        <v>0.72145663218181832</v>
      </c>
      <c r="Z43" s="528"/>
    </row>
    <row r="44" spans="1:27" ht="16.899999999999999" customHeight="1" x14ac:dyDescent="0.25">
      <c r="A44" s="2" t="s">
        <v>87</v>
      </c>
      <c r="B44" s="2" t="s">
        <v>88</v>
      </c>
      <c r="C44" s="71" t="s">
        <v>425</v>
      </c>
      <c r="D44" s="68" t="s">
        <v>90</v>
      </c>
      <c r="E44" s="330">
        <v>651116</v>
      </c>
      <c r="F44" s="330">
        <f>ROUND(E44,0)+142597</f>
        <v>793713</v>
      </c>
      <c r="G44" s="11">
        <f t="shared" si="4"/>
        <v>142597</v>
      </c>
      <c r="H44" s="135" t="s">
        <v>708</v>
      </c>
      <c r="I44" s="11">
        <f>ROUND(F44,0)</f>
        <v>793713</v>
      </c>
      <c r="J44" s="11">
        <f t="shared" si="5"/>
        <v>0</v>
      </c>
      <c r="K44" s="135"/>
      <c r="L44" s="11">
        <f>ROUND(I44,0)</f>
        <v>793713</v>
      </c>
      <c r="M44" s="11">
        <f t="shared" si="6"/>
        <v>0</v>
      </c>
      <c r="N44" s="135"/>
      <c r="O44" s="11">
        <f>ROUND(L44,0)</f>
        <v>793713</v>
      </c>
      <c r="P44" s="11">
        <f t="shared" si="7"/>
        <v>0</v>
      </c>
      <c r="Q44" s="135"/>
      <c r="R44" s="11">
        <f>ROUND(O44,0)</f>
        <v>793713</v>
      </c>
      <c r="S44" s="11">
        <f t="shared" si="8"/>
        <v>0</v>
      </c>
      <c r="T44" s="135"/>
      <c r="U44" s="11">
        <f>ROUND(R44,0)-4534</f>
        <v>789179</v>
      </c>
      <c r="V44" s="11">
        <f t="shared" si="9"/>
        <v>-4534</v>
      </c>
      <c r="W44" s="135" t="s">
        <v>897</v>
      </c>
      <c r="X44" s="456">
        <v>526119</v>
      </c>
      <c r="Y44" s="201">
        <f t="shared" si="2"/>
        <v>0.66666624428678412</v>
      </c>
      <c r="Z44" s="486"/>
    </row>
    <row r="45" spans="1:27" ht="13.9" customHeight="1" x14ac:dyDescent="0.25">
      <c r="A45" s="2" t="s">
        <v>87</v>
      </c>
      <c r="B45" s="54" t="s">
        <v>91</v>
      </c>
      <c r="C45" s="71" t="s">
        <v>426</v>
      </c>
      <c r="D45" s="68" t="s">
        <v>93</v>
      </c>
      <c r="E45" s="330">
        <v>314606</v>
      </c>
      <c r="F45" s="330">
        <f>ROUND(E45,0)</f>
        <v>314606</v>
      </c>
      <c r="G45" s="11">
        <f t="shared" si="4"/>
        <v>0</v>
      </c>
      <c r="H45" s="366"/>
      <c r="I45" s="11">
        <f>ROUND(F45,0)-22981</f>
        <v>291625</v>
      </c>
      <c r="J45" s="11">
        <f t="shared" si="5"/>
        <v>-22981</v>
      </c>
      <c r="K45" s="127" t="s">
        <v>739</v>
      </c>
      <c r="L45" s="11">
        <f>ROUND(I45,0)</f>
        <v>291625</v>
      </c>
      <c r="M45" s="11">
        <f t="shared" si="6"/>
        <v>0</v>
      </c>
      <c r="N45" s="127"/>
      <c r="O45" s="11">
        <f>ROUND(L45,0)</f>
        <v>291625</v>
      </c>
      <c r="P45" s="11">
        <f t="shared" si="7"/>
        <v>0</v>
      </c>
      <c r="Q45" s="127"/>
      <c r="R45" s="11">
        <f>ROUND(O45,0)</f>
        <v>291625</v>
      </c>
      <c r="S45" s="11">
        <f t="shared" si="8"/>
        <v>0</v>
      </c>
      <c r="T45" s="127"/>
      <c r="U45" s="11">
        <f>ROUND(R45,0)+3904</f>
        <v>295529</v>
      </c>
      <c r="V45" s="11">
        <f t="shared" si="9"/>
        <v>3904</v>
      </c>
      <c r="W45" s="127" t="s">
        <v>905</v>
      </c>
      <c r="X45" s="456">
        <v>218718</v>
      </c>
      <c r="Y45" s="201">
        <f t="shared" si="2"/>
        <v>0.74008980506143218</v>
      </c>
      <c r="Z45" s="486"/>
    </row>
    <row r="46" spans="1:27" x14ac:dyDescent="0.25">
      <c r="B46" s="48" t="s">
        <v>260</v>
      </c>
      <c r="C46" s="71" t="s">
        <v>427</v>
      </c>
      <c r="D46" s="68" t="s">
        <v>94</v>
      </c>
      <c r="E46" s="330">
        <v>249276</v>
      </c>
      <c r="F46" s="330">
        <f>ROUND(E46,0)</f>
        <v>249276</v>
      </c>
      <c r="G46" s="11">
        <f t="shared" si="4"/>
        <v>0</v>
      </c>
      <c r="H46" s="374"/>
      <c r="I46" s="11">
        <f>ROUND(F46,0)</f>
        <v>249276</v>
      </c>
      <c r="J46" s="11">
        <f t="shared" si="5"/>
        <v>0</v>
      </c>
      <c r="K46" s="135"/>
      <c r="L46" s="11">
        <f>ROUND(I46,0)</f>
        <v>249276</v>
      </c>
      <c r="M46" s="11">
        <f t="shared" si="6"/>
        <v>0</v>
      </c>
      <c r="N46" s="135"/>
      <c r="O46" s="11">
        <f>ROUND(L46,0)</f>
        <v>249276</v>
      </c>
      <c r="P46" s="11">
        <f t="shared" si="7"/>
        <v>0</v>
      </c>
      <c r="Q46" s="135"/>
      <c r="R46" s="11">
        <f>ROUND(O46,0)</f>
        <v>249276</v>
      </c>
      <c r="S46" s="11">
        <f t="shared" si="8"/>
        <v>0</v>
      </c>
      <c r="T46" s="135"/>
      <c r="U46" s="11">
        <f>ROUND(R46,0)</f>
        <v>249276</v>
      </c>
      <c r="V46" s="11">
        <f t="shared" si="9"/>
        <v>0</v>
      </c>
      <c r="W46" s="135"/>
      <c r="X46" s="456">
        <v>228051.24</v>
      </c>
      <c r="Y46" s="201">
        <f t="shared" si="2"/>
        <v>0.91485437827949734</v>
      </c>
      <c r="Z46" s="486"/>
    </row>
    <row r="47" spans="1:27" ht="14.25" customHeight="1" x14ac:dyDescent="0.25">
      <c r="A47" s="2" t="s">
        <v>87</v>
      </c>
      <c r="B47" s="54" t="s">
        <v>95</v>
      </c>
      <c r="C47" s="71" t="s">
        <v>428</v>
      </c>
      <c r="D47" s="68" t="s">
        <v>479</v>
      </c>
      <c r="E47" s="11">
        <v>0</v>
      </c>
      <c r="F47" s="330">
        <f t="shared" ref="F47" si="21">F48+F49</f>
        <v>0</v>
      </c>
      <c r="G47" s="11">
        <f t="shared" si="4"/>
        <v>0</v>
      </c>
      <c r="H47" s="12"/>
      <c r="I47" s="11">
        <f>I48+I49</f>
        <v>112839</v>
      </c>
      <c r="J47" s="11">
        <f t="shared" si="5"/>
        <v>112839</v>
      </c>
      <c r="K47" s="11" t="s">
        <v>754</v>
      </c>
      <c r="L47" s="11">
        <f>L48+L49</f>
        <v>112839</v>
      </c>
      <c r="M47" s="11">
        <f t="shared" si="6"/>
        <v>0</v>
      </c>
      <c r="N47" s="11"/>
      <c r="O47" s="11">
        <f>O48+O49</f>
        <v>112839</v>
      </c>
      <c r="P47" s="11">
        <f t="shared" si="7"/>
        <v>0</v>
      </c>
      <c r="Q47" s="11"/>
      <c r="R47" s="11">
        <f>R48+R49</f>
        <v>112839</v>
      </c>
      <c r="S47" s="11">
        <f t="shared" si="8"/>
        <v>0</v>
      </c>
      <c r="T47" s="11"/>
      <c r="U47" s="11">
        <f>U48+U49</f>
        <v>112839</v>
      </c>
      <c r="V47" s="11">
        <f t="shared" si="9"/>
        <v>0</v>
      </c>
      <c r="W47" s="11"/>
      <c r="X47" s="456">
        <f>X48</f>
        <v>112837.57</v>
      </c>
      <c r="Y47" s="201">
        <f t="shared" si="2"/>
        <v>0.9999873270766314</v>
      </c>
      <c r="Z47" s="456"/>
    </row>
    <row r="48" spans="1:27" ht="14.25" customHeight="1" x14ac:dyDescent="0.25">
      <c r="B48" s="54"/>
      <c r="C48" s="71" t="s">
        <v>476</v>
      </c>
      <c r="D48" s="72" t="s">
        <v>478</v>
      </c>
      <c r="E48" s="327"/>
      <c r="F48" s="336"/>
      <c r="G48" s="91">
        <f t="shared" si="4"/>
        <v>0</v>
      </c>
      <c r="H48" s="260"/>
      <c r="I48" s="91">
        <f>3025+2989+4538+2468+7380+112+71355+538+851+19583</f>
        <v>112839</v>
      </c>
      <c r="J48" s="91">
        <f t="shared" si="5"/>
        <v>112839</v>
      </c>
      <c r="K48" s="137"/>
      <c r="L48" s="91">
        <f>ROUND(I48,0)</f>
        <v>112839</v>
      </c>
      <c r="M48" s="91">
        <f t="shared" si="6"/>
        <v>0</v>
      </c>
      <c r="N48" s="137"/>
      <c r="O48" s="11">
        <f>ROUND(L48,0)</f>
        <v>112839</v>
      </c>
      <c r="P48" s="91">
        <f t="shared" si="7"/>
        <v>0</v>
      </c>
      <c r="Q48" s="137"/>
      <c r="R48" s="11">
        <f>ROUND(O48,0)</f>
        <v>112839</v>
      </c>
      <c r="S48" s="91">
        <f t="shared" si="8"/>
        <v>0</v>
      </c>
      <c r="T48" s="137"/>
      <c r="U48" s="11">
        <f>ROUND(R48,0)</f>
        <v>112839</v>
      </c>
      <c r="V48" s="91">
        <f t="shared" si="9"/>
        <v>0</v>
      </c>
      <c r="W48" s="137"/>
      <c r="X48" s="456">
        <v>112837.57</v>
      </c>
      <c r="Y48" s="201">
        <f t="shared" si="2"/>
        <v>0.9999873270766314</v>
      </c>
      <c r="Z48" s="486"/>
    </row>
    <row r="49" spans="1:26" ht="17.45" customHeight="1" x14ac:dyDescent="0.25">
      <c r="B49" s="54"/>
      <c r="C49" s="71" t="s">
        <v>477</v>
      </c>
      <c r="D49" s="72" t="s">
        <v>480</v>
      </c>
      <c r="E49" s="327"/>
      <c r="F49" s="336"/>
      <c r="G49" s="91">
        <f t="shared" si="4"/>
        <v>0</v>
      </c>
      <c r="H49" s="260"/>
      <c r="I49" s="91"/>
      <c r="J49" s="91">
        <f t="shared" si="5"/>
        <v>0</v>
      </c>
      <c r="K49" s="137"/>
      <c r="L49" s="91">
        <f>ROUND(I49,0)</f>
        <v>0</v>
      </c>
      <c r="M49" s="91">
        <f t="shared" si="6"/>
        <v>0</v>
      </c>
      <c r="N49" s="137"/>
      <c r="O49" s="91"/>
      <c r="P49" s="91">
        <f t="shared" si="7"/>
        <v>0</v>
      </c>
      <c r="Q49" s="137"/>
      <c r="R49" s="91"/>
      <c r="S49" s="91">
        <f t="shared" si="8"/>
        <v>0</v>
      </c>
      <c r="T49" s="137"/>
      <c r="U49" s="91"/>
      <c r="V49" s="91">
        <f t="shared" si="9"/>
        <v>0</v>
      </c>
      <c r="W49" s="137"/>
      <c r="X49" s="456">
        <v>0</v>
      </c>
      <c r="Y49" s="201"/>
      <c r="Z49" s="486"/>
    </row>
    <row r="50" spans="1:26" ht="13.9" customHeight="1" x14ac:dyDescent="0.25">
      <c r="B50" s="2" t="s">
        <v>96</v>
      </c>
      <c r="C50" s="71" t="s">
        <v>429</v>
      </c>
      <c r="D50" s="68" t="s">
        <v>97</v>
      </c>
      <c r="E50" s="333">
        <v>6510554</v>
      </c>
      <c r="F50" s="333">
        <f>F51+F52+F53</f>
        <v>6646187</v>
      </c>
      <c r="G50" s="44">
        <f t="shared" si="4"/>
        <v>135633</v>
      </c>
      <c r="H50" s="376"/>
      <c r="I50" s="44">
        <f>I51+I52+I53</f>
        <v>6646187</v>
      </c>
      <c r="J50" s="44">
        <f t="shared" si="5"/>
        <v>0</v>
      </c>
      <c r="K50" s="138"/>
      <c r="L50" s="44">
        <f>L51+L52+L53</f>
        <v>6646187</v>
      </c>
      <c r="M50" s="44">
        <f t="shared" si="6"/>
        <v>0</v>
      </c>
      <c r="N50" s="138"/>
      <c r="O50" s="44">
        <f>O51+O52+O53</f>
        <v>6646187</v>
      </c>
      <c r="P50" s="44">
        <f t="shared" si="7"/>
        <v>0</v>
      </c>
      <c r="Q50" s="138"/>
      <c r="R50" s="44">
        <f>R51+R52+R53</f>
        <v>6646187</v>
      </c>
      <c r="S50" s="44">
        <f t="shared" si="8"/>
        <v>0</v>
      </c>
      <c r="T50" s="138"/>
      <c r="U50" s="44">
        <f>U51+U52+U53</f>
        <v>6727374</v>
      </c>
      <c r="V50" s="44">
        <f t="shared" si="9"/>
        <v>81187</v>
      </c>
      <c r="W50" s="138" t="s">
        <v>897</v>
      </c>
      <c r="X50" s="534">
        <f>X51+X52+X53</f>
        <v>4833477</v>
      </c>
      <c r="Y50" s="207">
        <f t="shared" si="2"/>
        <v>0.71847900830249667</v>
      </c>
      <c r="Z50" s="540"/>
    </row>
    <row r="51" spans="1:26" s="16" customFormat="1" x14ac:dyDescent="0.25">
      <c r="A51" s="2" t="s">
        <v>87</v>
      </c>
      <c r="B51" s="54" t="s">
        <v>98</v>
      </c>
      <c r="C51" s="71" t="s">
        <v>430</v>
      </c>
      <c r="D51" s="72" t="s">
        <v>99</v>
      </c>
      <c r="E51" s="332">
        <v>1100762</v>
      </c>
      <c r="F51" s="332">
        <f t="shared" ref="F51:F64" si="22">ROUND(E51,0)</f>
        <v>1100762</v>
      </c>
      <c r="G51" s="15">
        <f t="shared" si="4"/>
        <v>0</v>
      </c>
      <c r="H51" s="377"/>
      <c r="I51" s="15">
        <f t="shared" ref="I51:I58" si="23">ROUND(F51,0)</f>
        <v>1100762</v>
      </c>
      <c r="J51" s="15">
        <f t="shared" si="5"/>
        <v>0</v>
      </c>
      <c r="K51" s="139"/>
      <c r="L51" s="15">
        <f t="shared" ref="L51:L58" si="24">ROUND(I51,0)</f>
        <v>1100762</v>
      </c>
      <c r="M51" s="15">
        <f t="shared" si="6"/>
        <v>0</v>
      </c>
      <c r="N51" s="139"/>
      <c r="O51" s="15">
        <f t="shared" ref="O51:O58" si="25">ROUND(L51,0)</f>
        <v>1100762</v>
      </c>
      <c r="P51" s="15">
        <f t="shared" si="7"/>
        <v>0</v>
      </c>
      <c r="Q51" s="139"/>
      <c r="R51" s="15">
        <f t="shared" ref="R51:R58" si="26">ROUND(O51,0)</f>
        <v>1100762</v>
      </c>
      <c r="S51" s="15">
        <f t="shared" si="8"/>
        <v>0</v>
      </c>
      <c r="T51" s="139"/>
      <c r="U51" s="15">
        <f>ROUND(R51,0)-15145+33858-18775-2065-5439-13078</f>
        <v>1080118</v>
      </c>
      <c r="V51" s="15">
        <f t="shared" si="9"/>
        <v>-20644</v>
      </c>
      <c r="W51" s="139"/>
      <c r="X51" s="535">
        <v>802639</v>
      </c>
      <c r="Y51" s="208">
        <f t="shared" si="2"/>
        <v>0.74310306836845608</v>
      </c>
      <c r="Z51" s="525"/>
    </row>
    <row r="52" spans="1:26" s="16" customFormat="1" x14ac:dyDescent="0.25">
      <c r="A52" s="2" t="s">
        <v>87</v>
      </c>
      <c r="B52" s="54" t="s">
        <v>100</v>
      </c>
      <c r="C52" s="71" t="s">
        <v>431</v>
      </c>
      <c r="D52" s="72" t="s">
        <v>276</v>
      </c>
      <c r="E52" s="332">
        <v>5092428</v>
      </c>
      <c r="F52" s="332">
        <f>ROUND(E52,0)+17418</f>
        <v>5109846</v>
      </c>
      <c r="G52" s="15">
        <f t="shared" si="4"/>
        <v>17418</v>
      </c>
      <c r="H52" s="431" t="s">
        <v>708</v>
      </c>
      <c r="I52" s="15">
        <f t="shared" si="23"/>
        <v>5109846</v>
      </c>
      <c r="J52" s="15">
        <f t="shared" si="5"/>
        <v>0</v>
      </c>
      <c r="K52" s="139"/>
      <c r="L52" s="15">
        <f t="shared" si="24"/>
        <v>5109846</v>
      </c>
      <c r="M52" s="15">
        <f t="shared" si="6"/>
        <v>0</v>
      </c>
      <c r="N52" s="139"/>
      <c r="O52" s="15">
        <f t="shared" si="25"/>
        <v>5109846</v>
      </c>
      <c r="P52" s="15">
        <f t="shared" si="7"/>
        <v>0</v>
      </c>
      <c r="Q52" s="139"/>
      <c r="R52" s="15">
        <f t="shared" si="26"/>
        <v>5109846</v>
      </c>
      <c r="S52" s="15">
        <f t="shared" si="8"/>
        <v>0</v>
      </c>
      <c r="T52" s="139"/>
      <c r="U52" s="15">
        <f>ROUND(R52,0)+(14311-2258)+85381</f>
        <v>5207280</v>
      </c>
      <c r="V52" s="15">
        <f t="shared" si="9"/>
        <v>97434</v>
      </c>
      <c r="W52" s="139"/>
      <c r="X52" s="565">
        <v>4030838</v>
      </c>
      <c r="Y52" s="567">
        <f t="shared" si="2"/>
        <v>0.77407744542256229</v>
      </c>
      <c r="Z52" s="525"/>
    </row>
    <row r="53" spans="1:26" s="16" customFormat="1" x14ac:dyDescent="0.25">
      <c r="A53" s="2" t="s">
        <v>87</v>
      </c>
      <c r="B53" s="2"/>
      <c r="C53" s="71" t="s">
        <v>432</v>
      </c>
      <c r="D53" s="72" t="s">
        <v>277</v>
      </c>
      <c r="E53" s="332">
        <v>317364</v>
      </c>
      <c r="F53" s="332">
        <f>ROUND(E53,0)-44403+110614+52004</f>
        <v>435579</v>
      </c>
      <c r="G53" s="140">
        <f t="shared" si="4"/>
        <v>118215</v>
      </c>
      <c r="H53" s="431" t="s">
        <v>708</v>
      </c>
      <c r="I53" s="15">
        <f t="shared" si="23"/>
        <v>435579</v>
      </c>
      <c r="J53" s="140">
        <f t="shared" si="5"/>
        <v>0</v>
      </c>
      <c r="K53" s="141"/>
      <c r="L53" s="15">
        <f t="shared" si="24"/>
        <v>435579</v>
      </c>
      <c r="M53" s="140">
        <f t="shared" si="6"/>
        <v>0</v>
      </c>
      <c r="N53" s="141"/>
      <c r="O53" s="15">
        <f t="shared" si="25"/>
        <v>435579</v>
      </c>
      <c r="P53" s="140">
        <f t="shared" si="7"/>
        <v>0</v>
      </c>
      <c r="Q53" s="141"/>
      <c r="R53" s="15">
        <f t="shared" si="26"/>
        <v>435579</v>
      </c>
      <c r="S53" s="140">
        <f t="shared" si="8"/>
        <v>0</v>
      </c>
      <c r="T53" s="141"/>
      <c r="U53" s="15">
        <f>ROUND(R53,0)-4668-2660+30088-18363</f>
        <v>439976</v>
      </c>
      <c r="V53" s="140">
        <f t="shared" si="9"/>
        <v>4397</v>
      </c>
      <c r="W53" s="141"/>
      <c r="X53" s="566"/>
      <c r="Y53" s="568">
        <f t="shared" ref="Y53:Y56" si="27">X53/R53</f>
        <v>0</v>
      </c>
      <c r="Z53" s="525"/>
    </row>
    <row r="54" spans="1:26" ht="31.5" customHeight="1" x14ac:dyDescent="0.25">
      <c r="A54" s="2" t="s">
        <v>87</v>
      </c>
      <c r="B54" s="2" t="s">
        <v>101</v>
      </c>
      <c r="C54" s="71" t="s">
        <v>433</v>
      </c>
      <c r="D54" s="68" t="s">
        <v>255</v>
      </c>
      <c r="E54" s="330">
        <v>13088</v>
      </c>
      <c r="F54" s="330">
        <f t="shared" si="22"/>
        <v>13088</v>
      </c>
      <c r="G54" s="11">
        <f t="shared" si="4"/>
        <v>0</v>
      </c>
      <c r="H54" s="369"/>
      <c r="I54" s="11">
        <f t="shared" si="23"/>
        <v>13088</v>
      </c>
      <c r="J54" s="11">
        <f t="shared" si="5"/>
        <v>0</v>
      </c>
      <c r="K54" s="130"/>
      <c r="L54" s="11">
        <f t="shared" si="24"/>
        <v>13088</v>
      </c>
      <c r="M54" s="11">
        <f t="shared" si="6"/>
        <v>0</v>
      </c>
      <c r="N54" s="130"/>
      <c r="O54" s="11">
        <f t="shared" si="25"/>
        <v>13088</v>
      </c>
      <c r="P54" s="11">
        <f t="shared" si="7"/>
        <v>0</v>
      </c>
      <c r="Q54" s="130"/>
      <c r="R54" s="11">
        <f t="shared" si="26"/>
        <v>13088</v>
      </c>
      <c r="S54" s="11">
        <f t="shared" si="8"/>
        <v>0</v>
      </c>
      <c r="T54" s="130"/>
      <c r="U54" s="11">
        <f>ROUND(R54,0)</f>
        <v>13088</v>
      </c>
      <c r="V54" s="11">
        <f t="shared" si="9"/>
        <v>0</v>
      </c>
      <c r="W54" s="130"/>
      <c r="X54" s="456">
        <v>12493</v>
      </c>
      <c r="Y54" s="201">
        <f>X54/U54</f>
        <v>0.95453850855745725</v>
      </c>
      <c r="Z54" s="486"/>
    </row>
    <row r="55" spans="1:26" ht="19.149999999999999" customHeight="1" x14ac:dyDescent="0.25">
      <c r="A55" s="2" t="s">
        <v>87</v>
      </c>
      <c r="B55" s="54" t="s">
        <v>102</v>
      </c>
      <c r="C55" s="71" t="s">
        <v>434</v>
      </c>
      <c r="D55" s="68" t="s">
        <v>294</v>
      </c>
      <c r="E55" s="330">
        <v>14485</v>
      </c>
      <c r="F55" s="330">
        <f>ROUND(E55,0)</f>
        <v>14485</v>
      </c>
      <c r="G55" s="11">
        <f t="shared" si="4"/>
        <v>0</v>
      </c>
      <c r="H55" s="366"/>
      <c r="I55" s="11">
        <f>ROUND(F55,0)+26175</f>
        <v>40660</v>
      </c>
      <c r="J55" s="11">
        <f t="shared" si="5"/>
        <v>26175</v>
      </c>
      <c r="K55" s="127" t="s">
        <v>742</v>
      </c>
      <c r="L55" s="11">
        <f t="shared" si="24"/>
        <v>40660</v>
      </c>
      <c r="M55" s="11">
        <f t="shared" si="6"/>
        <v>0</v>
      </c>
      <c r="N55" s="127"/>
      <c r="O55" s="11">
        <f t="shared" si="25"/>
        <v>40660</v>
      </c>
      <c r="P55" s="11">
        <f t="shared" si="7"/>
        <v>0</v>
      </c>
      <c r="Q55" s="127"/>
      <c r="R55" s="11">
        <f t="shared" si="26"/>
        <v>40660</v>
      </c>
      <c r="S55" s="11">
        <f t="shared" si="8"/>
        <v>0</v>
      </c>
      <c r="T55" s="127"/>
      <c r="U55" s="11">
        <f>ROUND(R55,0)</f>
        <v>40660</v>
      </c>
      <c r="V55" s="11">
        <f t="shared" si="9"/>
        <v>0</v>
      </c>
      <c r="W55" s="127"/>
      <c r="X55" s="569">
        <v>47414.18</v>
      </c>
      <c r="Y55" s="561">
        <f>X55/(U55+U56)</f>
        <v>0.91392020046260602</v>
      </c>
      <c r="Z55" s="541"/>
    </row>
    <row r="56" spans="1:26" ht="19.149999999999999" customHeight="1" x14ac:dyDescent="0.25">
      <c r="B56" s="54"/>
      <c r="C56" s="71" t="s">
        <v>435</v>
      </c>
      <c r="D56" s="68" t="s">
        <v>336</v>
      </c>
      <c r="E56" s="330">
        <v>3668</v>
      </c>
      <c r="F56" s="330">
        <f>ROUND(E56,0)</f>
        <v>3668</v>
      </c>
      <c r="G56" s="91">
        <f t="shared" si="4"/>
        <v>0</v>
      </c>
      <c r="H56" s="366"/>
      <c r="I56" s="11">
        <f>ROUND(F56,0)+7552</f>
        <v>11220</v>
      </c>
      <c r="J56" s="91">
        <f t="shared" si="5"/>
        <v>7552</v>
      </c>
      <c r="K56" s="127" t="s">
        <v>742</v>
      </c>
      <c r="L56" s="11">
        <f t="shared" si="24"/>
        <v>11220</v>
      </c>
      <c r="M56" s="91">
        <f t="shared" si="6"/>
        <v>0</v>
      </c>
      <c r="N56" s="127"/>
      <c r="O56" s="11">
        <f t="shared" si="25"/>
        <v>11220</v>
      </c>
      <c r="P56" s="91">
        <f t="shared" si="7"/>
        <v>0</v>
      </c>
      <c r="Q56" s="127"/>
      <c r="R56" s="11">
        <f t="shared" si="26"/>
        <v>11220</v>
      </c>
      <c r="S56" s="91">
        <f t="shared" si="8"/>
        <v>0</v>
      </c>
      <c r="T56" s="127"/>
      <c r="U56" s="11">
        <f>ROUND(R56,0)</f>
        <v>11220</v>
      </c>
      <c r="V56" s="91">
        <f t="shared" si="9"/>
        <v>0</v>
      </c>
      <c r="W56" s="127"/>
      <c r="X56" s="570"/>
      <c r="Y56" s="562">
        <f t="shared" si="27"/>
        <v>0</v>
      </c>
      <c r="Z56" s="541"/>
    </row>
    <row r="57" spans="1:26" ht="30.6" customHeight="1" x14ac:dyDescent="0.25">
      <c r="B57" s="2" t="s">
        <v>103</v>
      </c>
      <c r="C57" s="71" t="s">
        <v>436</v>
      </c>
      <c r="D57" s="68" t="s">
        <v>104</v>
      </c>
      <c r="E57" s="330">
        <v>501000</v>
      </c>
      <c r="F57" s="330">
        <f t="shared" si="22"/>
        <v>501000</v>
      </c>
      <c r="G57" s="11">
        <f t="shared" si="4"/>
        <v>0</v>
      </c>
      <c r="H57" s="374"/>
      <c r="I57" s="11">
        <f t="shared" si="23"/>
        <v>501000</v>
      </c>
      <c r="J57" s="11">
        <f t="shared" si="5"/>
        <v>0</v>
      </c>
      <c r="K57" s="135"/>
      <c r="L57" s="11">
        <f t="shared" si="24"/>
        <v>501000</v>
      </c>
      <c r="M57" s="11">
        <f t="shared" si="6"/>
        <v>0</v>
      </c>
      <c r="N57" s="135"/>
      <c r="O57" s="11">
        <f t="shared" si="25"/>
        <v>501000</v>
      </c>
      <c r="P57" s="11">
        <f t="shared" si="7"/>
        <v>0</v>
      </c>
      <c r="Q57" s="135"/>
      <c r="R57" s="11">
        <f t="shared" si="26"/>
        <v>501000</v>
      </c>
      <c r="S57" s="11">
        <f t="shared" si="8"/>
        <v>0</v>
      </c>
      <c r="T57" s="135"/>
      <c r="U57" s="11">
        <f>ROUND(R57,0)</f>
        <v>501000</v>
      </c>
      <c r="V57" s="11">
        <f t="shared" si="9"/>
        <v>0</v>
      </c>
      <c r="W57" s="135"/>
      <c r="X57" s="456">
        <v>432213.58</v>
      </c>
      <c r="Y57" s="201">
        <f t="shared" ref="Y57:Y88" si="28">X57/U57</f>
        <v>0.86270175648702596</v>
      </c>
      <c r="Z57" s="486"/>
    </row>
    <row r="58" spans="1:26" ht="31.5" customHeight="1" x14ac:dyDescent="0.25">
      <c r="C58" s="71" t="s">
        <v>437</v>
      </c>
      <c r="D58" s="68" t="s">
        <v>248</v>
      </c>
      <c r="E58" s="330">
        <v>0</v>
      </c>
      <c r="F58" s="330">
        <f t="shared" si="22"/>
        <v>0</v>
      </c>
      <c r="G58" s="11">
        <f t="shared" si="4"/>
        <v>0</v>
      </c>
      <c r="H58" s="367"/>
      <c r="I58" s="11">
        <f t="shared" si="23"/>
        <v>0</v>
      </c>
      <c r="J58" s="11">
        <f t="shared" si="5"/>
        <v>0</v>
      </c>
      <c r="K58" s="128"/>
      <c r="L58" s="11">
        <f t="shared" si="24"/>
        <v>0</v>
      </c>
      <c r="M58" s="11">
        <f t="shared" si="6"/>
        <v>0</v>
      </c>
      <c r="N58" s="128"/>
      <c r="O58" s="11">
        <f t="shared" si="25"/>
        <v>0</v>
      </c>
      <c r="P58" s="11">
        <f t="shared" si="7"/>
        <v>0</v>
      </c>
      <c r="Q58" s="128"/>
      <c r="R58" s="11">
        <f t="shared" si="26"/>
        <v>0</v>
      </c>
      <c r="S58" s="11">
        <f t="shared" si="8"/>
        <v>0</v>
      </c>
      <c r="T58" s="128"/>
      <c r="U58" s="11">
        <f>ROUND(R58,0)</f>
        <v>0</v>
      </c>
      <c r="V58" s="11">
        <f t="shared" si="9"/>
        <v>0</v>
      </c>
      <c r="W58" s="128"/>
      <c r="X58" s="486"/>
      <c r="Y58" s="201"/>
      <c r="Z58" s="486"/>
    </row>
    <row r="59" spans="1:26" ht="31.5" customHeight="1" x14ac:dyDescent="0.25">
      <c r="C59" s="121"/>
      <c r="D59" s="101" t="s">
        <v>659</v>
      </c>
      <c r="E59" s="334">
        <v>0</v>
      </c>
      <c r="F59" s="334"/>
      <c r="G59" s="11">
        <f t="shared" si="4"/>
        <v>0</v>
      </c>
      <c r="H59" s="378"/>
      <c r="I59" s="122"/>
      <c r="J59" s="122">
        <f t="shared" si="5"/>
        <v>0</v>
      </c>
      <c r="K59" s="143"/>
      <c r="L59" s="122"/>
      <c r="M59" s="122">
        <f t="shared" si="6"/>
        <v>0</v>
      </c>
      <c r="N59" s="143"/>
      <c r="O59" s="122"/>
      <c r="P59" s="122">
        <f t="shared" si="7"/>
        <v>0</v>
      </c>
      <c r="Q59" s="143"/>
      <c r="R59" s="122"/>
      <c r="S59" s="122">
        <f t="shared" si="8"/>
        <v>0</v>
      </c>
      <c r="T59" s="143"/>
      <c r="U59" s="122"/>
      <c r="V59" s="122">
        <f t="shared" si="9"/>
        <v>0</v>
      </c>
      <c r="W59" s="143"/>
      <c r="X59" s="486"/>
      <c r="Y59" s="209"/>
      <c r="Z59" s="486"/>
    </row>
    <row r="60" spans="1:26" ht="28.15" customHeight="1" x14ac:dyDescent="0.25">
      <c r="B60" s="58" t="s">
        <v>456</v>
      </c>
      <c r="C60" s="71" t="s">
        <v>438</v>
      </c>
      <c r="D60" s="282" t="s">
        <v>263</v>
      </c>
      <c r="E60" s="335">
        <v>342263</v>
      </c>
      <c r="F60" s="335">
        <f>ROUND(E60,0)+59292+1248</f>
        <v>402803</v>
      </c>
      <c r="G60" s="11">
        <f t="shared" si="4"/>
        <v>60540</v>
      </c>
      <c r="H60" s="427" t="s">
        <v>705</v>
      </c>
      <c r="I60" s="41">
        <f>ROUND(F60,0)+3966</f>
        <v>406769</v>
      </c>
      <c r="J60" s="11">
        <f t="shared" si="5"/>
        <v>3966</v>
      </c>
      <c r="K60" s="128" t="s">
        <v>745</v>
      </c>
      <c r="L60" s="41">
        <f>ROUND(I60,0)</f>
        <v>406769</v>
      </c>
      <c r="M60" s="11">
        <f t="shared" si="6"/>
        <v>0</v>
      </c>
      <c r="N60" s="128"/>
      <c r="O60" s="41">
        <f t="shared" ref="O60:O65" si="29">ROUND(L60,0)</f>
        <v>406769</v>
      </c>
      <c r="P60" s="11">
        <f t="shared" si="7"/>
        <v>0</v>
      </c>
      <c r="Q60" s="128"/>
      <c r="R60" s="41">
        <f t="shared" ref="R60:R65" si="30">ROUND(O60,0)</f>
        <v>406769</v>
      </c>
      <c r="S60" s="11">
        <f t="shared" si="8"/>
        <v>0</v>
      </c>
      <c r="T60" s="128"/>
      <c r="U60" s="41">
        <f t="shared" ref="U60:U65" si="31">ROUND(R60,0)</f>
        <v>406769</v>
      </c>
      <c r="V60" s="11">
        <f t="shared" si="9"/>
        <v>0</v>
      </c>
      <c r="W60" s="128"/>
      <c r="X60" s="456">
        <v>306379</v>
      </c>
      <c r="Y60" s="210">
        <f t="shared" si="28"/>
        <v>0.75320144848796244</v>
      </c>
      <c r="Z60" s="456" t="s">
        <v>554</v>
      </c>
    </row>
    <row r="61" spans="1:26" ht="58.9" customHeight="1" x14ac:dyDescent="0.25">
      <c r="C61" s="71"/>
      <c r="D61" s="311" t="s">
        <v>654</v>
      </c>
      <c r="E61" s="336">
        <v>0</v>
      </c>
      <c r="F61" s="336">
        <f t="shared" si="22"/>
        <v>0</v>
      </c>
      <c r="G61" s="91">
        <f t="shared" si="4"/>
        <v>0</v>
      </c>
      <c r="H61" s="260"/>
      <c r="I61" s="91">
        <f>ROUND(F61,0)</f>
        <v>0</v>
      </c>
      <c r="J61" s="91">
        <f t="shared" si="5"/>
        <v>0</v>
      </c>
      <c r="K61" s="137"/>
      <c r="L61" s="91">
        <f>ROUND(I61,0)</f>
        <v>0</v>
      </c>
      <c r="M61" s="91">
        <f t="shared" si="6"/>
        <v>0</v>
      </c>
      <c r="N61" s="137"/>
      <c r="O61" s="91">
        <f t="shared" si="29"/>
        <v>0</v>
      </c>
      <c r="P61" s="91">
        <f t="shared" si="7"/>
        <v>0</v>
      </c>
      <c r="Q61" s="137"/>
      <c r="R61" s="91">
        <f t="shared" si="30"/>
        <v>0</v>
      </c>
      <c r="S61" s="91">
        <f t="shared" si="8"/>
        <v>0</v>
      </c>
      <c r="T61" s="137"/>
      <c r="U61" s="91">
        <f t="shared" si="31"/>
        <v>0</v>
      </c>
      <c r="V61" s="91">
        <f t="shared" si="9"/>
        <v>0</v>
      </c>
      <c r="W61" s="137"/>
      <c r="X61" s="456"/>
      <c r="Y61" s="211"/>
      <c r="Z61" s="541"/>
    </row>
    <row r="62" spans="1:26" ht="15.6" customHeight="1" x14ac:dyDescent="0.25">
      <c r="C62" s="71" t="s">
        <v>549</v>
      </c>
      <c r="D62" s="284" t="s">
        <v>475</v>
      </c>
      <c r="E62" s="336">
        <v>50000</v>
      </c>
      <c r="F62" s="336">
        <f t="shared" si="22"/>
        <v>50000</v>
      </c>
      <c r="G62" s="91">
        <f t="shared" si="4"/>
        <v>0</v>
      </c>
      <c r="H62" s="260"/>
      <c r="I62" s="91">
        <f>ROUND(F62,0)</f>
        <v>50000</v>
      </c>
      <c r="J62" s="91">
        <f t="shared" si="5"/>
        <v>0</v>
      </c>
      <c r="K62" s="137"/>
      <c r="L62" s="91">
        <f>ROUND(I62,0)</f>
        <v>50000</v>
      </c>
      <c r="M62" s="91">
        <f t="shared" si="6"/>
        <v>0</v>
      </c>
      <c r="N62" s="137"/>
      <c r="O62" s="91">
        <f t="shared" si="29"/>
        <v>50000</v>
      </c>
      <c r="P62" s="91">
        <f t="shared" si="7"/>
        <v>0</v>
      </c>
      <c r="Q62" s="137"/>
      <c r="R62" s="91">
        <f t="shared" si="30"/>
        <v>50000</v>
      </c>
      <c r="S62" s="91">
        <f t="shared" si="8"/>
        <v>0</v>
      </c>
      <c r="T62" s="137"/>
      <c r="U62" s="91">
        <f>ROUND(R62,0)+20000</f>
        <v>70000</v>
      </c>
      <c r="V62" s="91">
        <f t="shared" si="9"/>
        <v>20000</v>
      </c>
      <c r="W62" s="137"/>
      <c r="X62" s="456">
        <v>57529.05</v>
      </c>
      <c r="Y62" s="211">
        <f t="shared" si="28"/>
        <v>0.82184357142857145</v>
      </c>
      <c r="Z62" s="504" t="s">
        <v>606</v>
      </c>
    </row>
    <row r="63" spans="1:26" ht="17.45" customHeight="1" x14ac:dyDescent="0.25">
      <c r="B63" s="2" t="s">
        <v>96</v>
      </c>
      <c r="C63" s="100" t="s">
        <v>550</v>
      </c>
      <c r="D63" s="101" t="s">
        <v>491</v>
      </c>
      <c r="E63" s="336">
        <v>200000</v>
      </c>
      <c r="F63" s="336">
        <f t="shared" si="22"/>
        <v>200000</v>
      </c>
      <c r="G63" s="91">
        <f t="shared" si="4"/>
        <v>0</v>
      </c>
      <c r="H63" s="260"/>
      <c r="I63" s="91">
        <f>ROUND(F63,0)</f>
        <v>200000</v>
      </c>
      <c r="J63" s="91">
        <f t="shared" si="5"/>
        <v>0</v>
      </c>
      <c r="K63" s="137"/>
      <c r="L63" s="91">
        <f>ROUND(I63,0)</f>
        <v>200000</v>
      </c>
      <c r="M63" s="91">
        <f t="shared" si="6"/>
        <v>0</v>
      </c>
      <c r="N63" s="137"/>
      <c r="O63" s="91">
        <f t="shared" si="29"/>
        <v>200000</v>
      </c>
      <c r="P63" s="91">
        <f t="shared" si="7"/>
        <v>0</v>
      </c>
      <c r="Q63" s="137"/>
      <c r="R63" s="91">
        <f t="shared" si="30"/>
        <v>200000</v>
      </c>
      <c r="S63" s="91">
        <f t="shared" si="8"/>
        <v>0</v>
      </c>
      <c r="T63" s="137"/>
      <c r="U63" s="91">
        <f t="shared" si="31"/>
        <v>200000</v>
      </c>
      <c r="V63" s="91">
        <f t="shared" si="9"/>
        <v>0</v>
      </c>
      <c r="W63" s="137"/>
      <c r="X63" s="486"/>
      <c r="Y63" s="211">
        <f t="shared" si="28"/>
        <v>0</v>
      </c>
      <c r="Z63" s="504" t="s">
        <v>607</v>
      </c>
    </row>
    <row r="64" spans="1:26" x14ac:dyDescent="0.25">
      <c r="A64" s="2" t="s">
        <v>87</v>
      </c>
      <c r="B64" s="47" t="s">
        <v>256</v>
      </c>
      <c r="C64" s="71" t="s">
        <v>551</v>
      </c>
      <c r="D64" s="292" t="s">
        <v>504</v>
      </c>
      <c r="E64" s="330">
        <v>0</v>
      </c>
      <c r="F64" s="330">
        <f t="shared" si="22"/>
        <v>0</v>
      </c>
      <c r="G64" s="11">
        <f>F64-E64</f>
        <v>0</v>
      </c>
      <c r="H64" s="379"/>
      <c r="I64" s="11">
        <f>ROUND(F64,0)</f>
        <v>0</v>
      </c>
      <c r="J64" s="11">
        <f>I64-F64</f>
        <v>0</v>
      </c>
      <c r="K64" s="146"/>
      <c r="L64" s="11">
        <f>ROUND(I64,0)</f>
        <v>0</v>
      </c>
      <c r="M64" s="11">
        <f>L64-I64</f>
        <v>0</v>
      </c>
      <c r="N64" s="146"/>
      <c r="O64" s="11">
        <f t="shared" si="29"/>
        <v>0</v>
      </c>
      <c r="P64" s="11">
        <f>O64-L64</f>
        <v>0</v>
      </c>
      <c r="Q64" s="146"/>
      <c r="R64" s="11">
        <f t="shared" si="30"/>
        <v>0</v>
      </c>
      <c r="S64" s="11">
        <f>R64-O64</f>
        <v>0</v>
      </c>
      <c r="T64" s="146"/>
      <c r="U64" s="11">
        <f t="shared" si="31"/>
        <v>0</v>
      </c>
      <c r="V64" s="11">
        <f>U64-R64</f>
        <v>0</v>
      </c>
      <c r="W64" s="146"/>
      <c r="X64" s="486"/>
      <c r="Y64" s="201"/>
      <c r="Z64" s="486"/>
    </row>
    <row r="65" spans="1:26" ht="72.75" customHeight="1" x14ac:dyDescent="0.25">
      <c r="A65" s="58" t="s">
        <v>214</v>
      </c>
      <c r="B65" s="2" t="s">
        <v>264</v>
      </c>
      <c r="C65" s="71" t="s">
        <v>667</v>
      </c>
      <c r="D65" s="68" t="s">
        <v>105</v>
      </c>
      <c r="E65" s="330">
        <v>143640</v>
      </c>
      <c r="F65" s="330">
        <f>ROUND(E65,0)+8232</f>
        <v>151872</v>
      </c>
      <c r="G65" s="11">
        <f t="shared" si="4"/>
        <v>8232</v>
      </c>
      <c r="H65" s="429" t="s">
        <v>715</v>
      </c>
      <c r="I65" s="11">
        <f>ROUND(F65,0)</f>
        <v>151872</v>
      </c>
      <c r="J65" s="11">
        <f t="shared" si="5"/>
        <v>0</v>
      </c>
      <c r="K65" s="144"/>
      <c r="L65" s="11">
        <f>ROUND(I65,0)+50781</f>
        <v>202653</v>
      </c>
      <c r="M65" s="11">
        <f t="shared" si="6"/>
        <v>50781</v>
      </c>
      <c r="N65" s="144" t="s">
        <v>794</v>
      </c>
      <c r="O65" s="11">
        <f t="shared" si="29"/>
        <v>202653</v>
      </c>
      <c r="P65" s="11">
        <f t="shared" si="7"/>
        <v>0</v>
      </c>
      <c r="Q65" s="144"/>
      <c r="R65" s="11">
        <f t="shared" si="30"/>
        <v>202653</v>
      </c>
      <c r="S65" s="11">
        <f t="shared" ref="S65:S124" si="32">R65-O65</f>
        <v>0</v>
      </c>
      <c r="T65" s="144"/>
      <c r="U65" s="11">
        <f t="shared" si="31"/>
        <v>202653</v>
      </c>
      <c r="V65" s="11">
        <f t="shared" ref="V65:V124" si="33">U65-R65</f>
        <v>0</v>
      </c>
      <c r="W65" s="144"/>
      <c r="X65" s="456">
        <f>129435.22+17448+18000</f>
        <v>164883.22</v>
      </c>
      <c r="Y65" s="201">
        <f t="shared" si="28"/>
        <v>0.81362338578752846</v>
      </c>
      <c r="Z65" s="502" t="s">
        <v>907</v>
      </c>
    </row>
    <row r="66" spans="1:26" ht="25.9" customHeight="1" x14ac:dyDescent="0.25">
      <c r="C66" s="74" t="s">
        <v>92</v>
      </c>
      <c r="D66" s="277" t="s">
        <v>242</v>
      </c>
      <c r="E66" s="36">
        <v>1159816</v>
      </c>
      <c r="F66" s="36">
        <f t="shared" ref="F66" si="34">SUM(F67:F86)</f>
        <v>1271081</v>
      </c>
      <c r="G66" s="18">
        <f t="shared" si="4"/>
        <v>111265</v>
      </c>
      <c r="H66" s="381"/>
      <c r="I66" s="18">
        <f>SUM(I67:I86)</f>
        <v>1246934</v>
      </c>
      <c r="J66" s="18">
        <f t="shared" si="5"/>
        <v>-24147</v>
      </c>
      <c r="K66" s="145"/>
      <c r="L66" s="18">
        <f>SUM(L67:L86)</f>
        <v>1246934</v>
      </c>
      <c r="M66" s="18">
        <f t="shared" si="6"/>
        <v>0</v>
      </c>
      <c r="N66" s="145"/>
      <c r="O66" s="18">
        <f>SUM(O67:O86)</f>
        <v>1246934</v>
      </c>
      <c r="P66" s="18">
        <f t="shared" si="7"/>
        <v>0</v>
      </c>
      <c r="Q66" s="145"/>
      <c r="R66" s="18">
        <f>SUM(R67:R86)</f>
        <v>1305632</v>
      </c>
      <c r="S66" s="18">
        <f t="shared" si="32"/>
        <v>58698</v>
      </c>
      <c r="T66" s="145"/>
      <c r="U66" s="18">
        <f>SUM(U67:U86)</f>
        <v>1305632</v>
      </c>
      <c r="V66" s="18">
        <f t="shared" si="33"/>
        <v>0</v>
      </c>
      <c r="W66" s="145"/>
      <c r="X66" s="492">
        <f>SUM(X67:X86)</f>
        <v>727424.26</v>
      </c>
      <c r="Y66" s="212">
        <f t="shared" si="28"/>
        <v>0.55714340641160753</v>
      </c>
      <c r="Z66" s="492" t="s">
        <v>553</v>
      </c>
    </row>
    <row r="67" spans="1:26" x14ac:dyDescent="0.25">
      <c r="A67" s="2" t="s">
        <v>453</v>
      </c>
      <c r="B67" s="2" t="s">
        <v>106</v>
      </c>
      <c r="C67" s="71" t="s">
        <v>439</v>
      </c>
      <c r="D67" s="292" t="s">
        <v>503</v>
      </c>
      <c r="E67" s="330">
        <v>0</v>
      </c>
      <c r="F67" s="330">
        <f>ROUND(E67,0)+(109839-16873)</f>
        <v>92966</v>
      </c>
      <c r="G67" s="11">
        <f t="shared" si="4"/>
        <v>92966</v>
      </c>
      <c r="H67" s="131" t="s">
        <v>575</v>
      </c>
      <c r="I67" s="11">
        <f t="shared" ref="I67:I81" si="35">ROUND(F67,0)</f>
        <v>92966</v>
      </c>
      <c r="J67" s="11">
        <f t="shared" si="5"/>
        <v>0</v>
      </c>
      <c r="K67" s="131"/>
      <c r="L67" s="11">
        <f t="shared" ref="L67:L81" si="36">ROUND(I67,0)</f>
        <v>92966</v>
      </c>
      <c r="M67" s="11">
        <f t="shared" si="6"/>
        <v>0</v>
      </c>
      <c r="N67" s="131"/>
      <c r="O67" s="11">
        <f t="shared" ref="O67:O81" si="37">ROUND(L67,0)</f>
        <v>92966</v>
      </c>
      <c r="P67" s="11">
        <f t="shared" si="7"/>
        <v>0</v>
      </c>
      <c r="Q67" s="131"/>
      <c r="R67" s="11">
        <f t="shared" ref="R67:R87" si="38">ROUND(O67,0)</f>
        <v>92966</v>
      </c>
      <c r="S67" s="11">
        <f t="shared" si="32"/>
        <v>0</v>
      </c>
      <c r="T67" s="131"/>
      <c r="U67" s="11">
        <f>ROUND(R67,0)</f>
        <v>92966</v>
      </c>
      <c r="V67" s="11">
        <f t="shared" si="33"/>
        <v>0</v>
      </c>
      <c r="W67" s="131"/>
      <c r="X67" s="456">
        <v>109838.99</v>
      </c>
      <c r="Y67" s="201">
        <f t="shared" si="28"/>
        <v>1.1814963535055827</v>
      </c>
      <c r="Z67" s="456" t="s">
        <v>553</v>
      </c>
    </row>
    <row r="68" spans="1:26" ht="14.25" customHeight="1" x14ac:dyDescent="0.25">
      <c r="C68" s="71" t="s">
        <v>440</v>
      </c>
      <c r="D68" s="292" t="s">
        <v>643</v>
      </c>
      <c r="E68" s="330">
        <v>63988</v>
      </c>
      <c r="F68" s="330">
        <f t="shared" ref="F68:F87" si="39">ROUND(E68,0)</f>
        <v>63988</v>
      </c>
      <c r="G68" s="11">
        <f t="shared" si="4"/>
        <v>0</v>
      </c>
      <c r="H68" s="374"/>
      <c r="I68" s="11">
        <f t="shared" si="35"/>
        <v>63988</v>
      </c>
      <c r="J68" s="11">
        <f t="shared" si="5"/>
        <v>0</v>
      </c>
      <c r="K68" s="135"/>
      <c r="L68" s="11">
        <f t="shared" si="36"/>
        <v>63988</v>
      </c>
      <c r="M68" s="11">
        <f t="shared" si="6"/>
        <v>0</v>
      </c>
      <c r="N68" s="135"/>
      <c r="O68" s="11">
        <f t="shared" si="37"/>
        <v>63988</v>
      </c>
      <c r="P68" s="11">
        <f t="shared" si="7"/>
        <v>0</v>
      </c>
      <c r="Q68" s="135"/>
      <c r="R68" s="11">
        <f t="shared" si="38"/>
        <v>63988</v>
      </c>
      <c r="S68" s="11">
        <f t="shared" si="32"/>
        <v>0</v>
      </c>
      <c r="T68" s="135"/>
      <c r="U68" s="11">
        <f>ROUND(R68,0)</f>
        <v>63988</v>
      </c>
      <c r="V68" s="11">
        <f t="shared" si="33"/>
        <v>0</v>
      </c>
      <c r="W68" s="135"/>
      <c r="X68" s="456">
        <v>0</v>
      </c>
      <c r="Y68" s="201">
        <f t="shared" si="28"/>
        <v>0</v>
      </c>
      <c r="Z68" s="502" t="s">
        <v>849</v>
      </c>
    </row>
    <row r="69" spans="1:26" ht="30" x14ac:dyDescent="0.25">
      <c r="B69" s="17" t="s">
        <v>249</v>
      </c>
      <c r="C69" s="71" t="s">
        <v>441</v>
      </c>
      <c r="D69" s="295" t="s">
        <v>650</v>
      </c>
      <c r="E69" s="330">
        <v>2532</v>
      </c>
      <c r="F69" s="330">
        <f t="shared" si="39"/>
        <v>2532</v>
      </c>
      <c r="G69" s="11">
        <f t="shared" si="4"/>
        <v>0</v>
      </c>
      <c r="H69" s="382"/>
      <c r="I69" s="11">
        <f t="shared" si="35"/>
        <v>2532</v>
      </c>
      <c r="J69" s="11">
        <f t="shared" si="5"/>
        <v>0</v>
      </c>
      <c r="K69" s="147"/>
      <c r="L69" s="11">
        <f t="shared" si="36"/>
        <v>2532</v>
      </c>
      <c r="M69" s="11">
        <f t="shared" si="6"/>
        <v>0</v>
      </c>
      <c r="N69" s="147"/>
      <c r="O69" s="11">
        <f t="shared" si="37"/>
        <v>2532</v>
      </c>
      <c r="P69" s="11">
        <f t="shared" si="7"/>
        <v>0</v>
      </c>
      <c r="Q69" s="147"/>
      <c r="R69" s="11">
        <f t="shared" si="38"/>
        <v>2532</v>
      </c>
      <c r="S69" s="11">
        <f t="shared" si="32"/>
        <v>0</v>
      </c>
      <c r="T69" s="147"/>
      <c r="U69" s="11">
        <f>ROUND(R69,0)</f>
        <v>2532</v>
      </c>
      <c r="V69" s="11">
        <f t="shared" si="33"/>
        <v>0</v>
      </c>
      <c r="W69" s="147"/>
      <c r="X69" s="456">
        <v>2532.0300000000002</v>
      </c>
      <c r="Y69" s="201">
        <f t="shared" si="28"/>
        <v>1.0000118483412324</v>
      </c>
      <c r="Z69" s="486"/>
    </row>
    <row r="70" spans="1:26" ht="30" x14ac:dyDescent="0.25">
      <c r="B70" s="17"/>
      <c r="C70" s="71" t="s">
        <v>442</v>
      </c>
      <c r="D70" s="296" t="s">
        <v>651</v>
      </c>
      <c r="E70" s="334">
        <v>5135</v>
      </c>
      <c r="F70" s="330">
        <f t="shared" si="39"/>
        <v>5135</v>
      </c>
      <c r="G70" s="11">
        <f t="shared" si="4"/>
        <v>0</v>
      </c>
      <c r="H70" s="383"/>
      <c r="I70" s="11">
        <f t="shared" ref="I70:I75" si="40">ROUND(F70,0)</f>
        <v>5135</v>
      </c>
      <c r="J70" s="11">
        <f t="shared" ref="J70:J75" si="41">I70-F70</f>
        <v>0</v>
      </c>
      <c r="K70" s="297"/>
      <c r="L70" s="11">
        <f t="shared" ref="L70:L75" si="42">ROUND(I70,0)</f>
        <v>5135</v>
      </c>
      <c r="M70" s="11">
        <f t="shared" ref="M70:M75" si="43">L70-I70</f>
        <v>0</v>
      </c>
      <c r="N70" s="297"/>
      <c r="O70" s="11">
        <f t="shared" ref="O70:O75" si="44">ROUND(L70,0)</f>
        <v>5135</v>
      </c>
      <c r="P70" s="11">
        <f t="shared" ref="P70:P75" si="45">O70-L70</f>
        <v>0</v>
      </c>
      <c r="Q70" s="297"/>
      <c r="R70" s="11">
        <f>ROUND(O70,0)+12598</f>
        <v>17733</v>
      </c>
      <c r="S70" s="11">
        <f t="shared" si="32"/>
        <v>12598</v>
      </c>
      <c r="T70" s="297" t="s">
        <v>884</v>
      </c>
      <c r="U70" s="11">
        <f>ROUND(R70,0)</f>
        <v>17733</v>
      </c>
      <c r="V70" s="11">
        <f t="shared" si="33"/>
        <v>0</v>
      </c>
      <c r="W70" s="297"/>
      <c r="X70" s="486"/>
      <c r="Y70" s="209">
        <f t="shared" si="28"/>
        <v>0</v>
      </c>
      <c r="Z70" s="486"/>
    </row>
    <row r="71" spans="1:26" x14ac:dyDescent="0.25">
      <c r="B71" s="17"/>
      <c r="C71" s="71" t="s">
        <v>443</v>
      </c>
      <c r="D71" s="296" t="s">
        <v>490</v>
      </c>
      <c r="E71" s="334">
        <v>9000</v>
      </c>
      <c r="F71" s="330">
        <f t="shared" si="39"/>
        <v>9000</v>
      </c>
      <c r="G71" s="11">
        <f t="shared" si="4"/>
        <v>0</v>
      </c>
      <c r="H71" s="383"/>
      <c r="I71" s="11">
        <f t="shared" si="40"/>
        <v>9000</v>
      </c>
      <c r="J71" s="11">
        <f t="shared" si="41"/>
        <v>0</v>
      </c>
      <c r="K71" s="297"/>
      <c r="L71" s="11">
        <f t="shared" si="42"/>
        <v>9000</v>
      </c>
      <c r="M71" s="11">
        <f t="shared" si="43"/>
        <v>0</v>
      </c>
      <c r="N71" s="297"/>
      <c r="O71" s="11">
        <f t="shared" si="44"/>
        <v>9000</v>
      </c>
      <c r="P71" s="11">
        <f t="shared" si="45"/>
        <v>0</v>
      </c>
      <c r="Q71" s="297"/>
      <c r="R71" s="11">
        <f t="shared" si="38"/>
        <v>9000</v>
      </c>
      <c r="S71" s="11">
        <f t="shared" si="32"/>
        <v>0</v>
      </c>
      <c r="T71" s="297"/>
      <c r="U71" s="11">
        <f t="shared" ref="U71:U81" si="46">ROUND(R71,0)</f>
        <v>9000</v>
      </c>
      <c r="V71" s="11">
        <f t="shared" si="33"/>
        <v>0</v>
      </c>
      <c r="W71" s="297"/>
      <c r="X71" s="486"/>
      <c r="Y71" s="209">
        <f t="shared" si="28"/>
        <v>0</v>
      </c>
      <c r="Z71" s="486"/>
    </row>
    <row r="72" spans="1:26" ht="60" x14ac:dyDescent="0.25">
      <c r="B72" s="17"/>
      <c r="C72" s="71" t="s">
        <v>444</v>
      </c>
      <c r="D72" s="296" t="s">
        <v>656</v>
      </c>
      <c r="E72" s="334">
        <v>6010</v>
      </c>
      <c r="F72" s="330">
        <f t="shared" si="39"/>
        <v>6010</v>
      </c>
      <c r="G72" s="11">
        <f>F72-E72</f>
        <v>0</v>
      </c>
      <c r="H72" s="383"/>
      <c r="I72" s="11">
        <f t="shared" si="40"/>
        <v>6010</v>
      </c>
      <c r="J72" s="11">
        <f t="shared" si="41"/>
        <v>0</v>
      </c>
      <c r="K72" s="297"/>
      <c r="L72" s="11">
        <f t="shared" si="42"/>
        <v>6010</v>
      </c>
      <c r="M72" s="11">
        <f t="shared" si="43"/>
        <v>0</v>
      </c>
      <c r="N72" s="297"/>
      <c r="O72" s="11">
        <f t="shared" si="44"/>
        <v>6010</v>
      </c>
      <c r="P72" s="11">
        <f t="shared" si="45"/>
        <v>0</v>
      </c>
      <c r="Q72" s="297"/>
      <c r="R72" s="11">
        <f t="shared" si="38"/>
        <v>6010</v>
      </c>
      <c r="S72" s="11">
        <f t="shared" si="32"/>
        <v>0</v>
      </c>
      <c r="T72" s="297"/>
      <c r="U72" s="11">
        <f t="shared" si="46"/>
        <v>6010</v>
      </c>
      <c r="V72" s="11">
        <f t="shared" si="33"/>
        <v>0</v>
      </c>
      <c r="W72" s="297"/>
      <c r="X72" s="486"/>
      <c r="Y72" s="209">
        <f t="shared" si="28"/>
        <v>0</v>
      </c>
      <c r="Z72" s="486"/>
    </row>
    <row r="73" spans="1:26" ht="45" x14ac:dyDescent="0.25">
      <c r="B73" s="17"/>
      <c r="C73" s="71" t="s">
        <v>679</v>
      </c>
      <c r="D73" s="296" t="s">
        <v>655</v>
      </c>
      <c r="E73" s="334">
        <v>30655</v>
      </c>
      <c r="F73" s="330">
        <f>ROUND(E73,0)</f>
        <v>30655</v>
      </c>
      <c r="G73" s="11">
        <f>F73-E73</f>
        <v>0</v>
      </c>
      <c r="H73" s="383"/>
      <c r="I73" s="11">
        <f t="shared" si="40"/>
        <v>30655</v>
      </c>
      <c r="J73" s="11">
        <f t="shared" si="41"/>
        <v>0</v>
      </c>
      <c r="K73" s="297"/>
      <c r="L73" s="11">
        <f t="shared" si="42"/>
        <v>30655</v>
      </c>
      <c r="M73" s="11">
        <f t="shared" si="43"/>
        <v>0</v>
      </c>
      <c r="N73" s="297"/>
      <c r="O73" s="11">
        <f t="shared" si="44"/>
        <v>30655</v>
      </c>
      <c r="P73" s="11">
        <f t="shared" si="45"/>
        <v>0</v>
      </c>
      <c r="Q73" s="297"/>
      <c r="R73" s="11">
        <f t="shared" si="38"/>
        <v>30655</v>
      </c>
      <c r="S73" s="11">
        <f t="shared" si="32"/>
        <v>0</v>
      </c>
      <c r="T73" s="297"/>
      <c r="U73" s="11">
        <f t="shared" si="46"/>
        <v>30655</v>
      </c>
      <c r="V73" s="11">
        <f t="shared" si="33"/>
        <v>0</v>
      </c>
      <c r="W73" s="297"/>
      <c r="X73" s="486"/>
      <c r="Y73" s="209">
        <f t="shared" si="28"/>
        <v>0</v>
      </c>
      <c r="Z73" s="486"/>
    </row>
    <row r="74" spans="1:26" x14ac:dyDescent="0.25">
      <c r="A74" s="58" t="s">
        <v>644</v>
      </c>
      <c r="B74" s="17"/>
      <c r="C74" s="71" t="s">
        <v>445</v>
      </c>
      <c r="D74" s="296" t="s">
        <v>645</v>
      </c>
      <c r="E74" s="334">
        <v>0</v>
      </c>
      <c r="F74" s="330">
        <f>ROUND(E74,0)</f>
        <v>0</v>
      </c>
      <c r="G74" s="11">
        <f>F74-E74</f>
        <v>0</v>
      </c>
      <c r="H74" s="383"/>
      <c r="I74" s="11">
        <f t="shared" si="40"/>
        <v>0</v>
      </c>
      <c r="J74" s="11">
        <f t="shared" si="41"/>
        <v>0</v>
      </c>
      <c r="K74" s="297"/>
      <c r="L74" s="11">
        <f t="shared" si="42"/>
        <v>0</v>
      </c>
      <c r="M74" s="11">
        <f t="shared" si="43"/>
        <v>0</v>
      </c>
      <c r="N74" s="297"/>
      <c r="O74" s="11">
        <f t="shared" si="44"/>
        <v>0</v>
      </c>
      <c r="P74" s="11">
        <f t="shared" si="45"/>
        <v>0</v>
      </c>
      <c r="Q74" s="297"/>
      <c r="R74" s="11">
        <f t="shared" si="38"/>
        <v>0</v>
      </c>
      <c r="S74" s="11">
        <f t="shared" si="32"/>
        <v>0</v>
      </c>
      <c r="T74" s="297"/>
      <c r="U74" s="11">
        <f t="shared" si="46"/>
        <v>0</v>
      </c>
      <c r="V74" s="11">
        <f t="shared" si="33"/>
        <v>0</v>
      </c>
      <c r="W74" s="297"/>
      <c r="X74" s="486"/>
      <c r="Y74" s="209" t="e">
        <f t="shared" si="28"/>
        <v>#DIV/0!</v>
      </c>
      <c r="Z74" s="486"/>
    </row>
    <row r="75" spans="1:26" ht="58.15" customHeight="1" x14ac:dyDescent="0.25">
      <c r="A75" s="58" t="s">
        <v>214</v>
      </c>
      <c r="B75" s="17"/>
      <c r="C75" s="71" t="s">
        <v>507</v>
      </c>
      <c r="D75" s="296" t="s">
        <v>712</v>
      </c>
      <c r="E75" s="334">
        <v>0</v>
      </c>
      <c r="F75" s="330">
        <f>ROUND(E75,0)+18299</f>
        <v>18299</v>
      </c>
      <c r="G75" s="11">
        <f>F75-E75</f>
        <v>18299</v>
      </c>
      <c r="H75" s="428" t="s">
        <v>714</v>
      </c>
      <c r="I75" s="11">
        <f t="shared" si="40"/>
        <v>18299</v>
      </c>
      <c r="J75" s="11">
        <f t="shared" si="41"/>
        <v>0</v>
      </c>
      <c r="K75" s="297"/>
      <c r="L75" s="11">
        <f t="shared" si="42"/>
        <v>18299</v>
      </c>
      <c r="M75" s="11">
        <f t="shared" si="43"/>
        <v>0</v>
      </c>
      <c r="N75" s="297"/>
      <c r="O75" s="11">
        <f t="shared" si="44"/>
        <v>18299</v>
      </c>
      <c r="P75" s="11">
        <f t="shared" si="45"/>
        <v>0</v>
      </c>
      <c r="Q75" s="297"/>
      <c r="R75" s="11">
        <f t="shared" si="38"/>
        <v>18299</v>
      </c>
      <c r="S75" s="11">
        <f t="shared" si="32"/>
        <v>0</v>
      </c>
      <c r="T75" s="297"/>
      <c r="U75" s="11">
        <f t="shared" si="46"/>
        <v>18299</v>
      </c>
      <c r="V75" s="11">
        <f t="shared" si="33"/>
        <v>0</v>
      </c>
      <c r="W75" s="297"/>
      <c r="X75" s="456">
        <v>150</v>
      </c>
      <c r="Y75" s="209">
        <f t="shared" si="28"/>
        <v>8.1971692442209965E-3</v>
      </c>
      <c r="Z75" s="486"/>
    </row>
    <row r="76" spans="1:26" ht="45" x14ac:dyDescent="0.25">
      <c r="B76" s="2" t="s">
        <v>250</v>
      </c>
      <c r="C76" s="71" t="s">
        <v>446</v>
      </c>
      <c r="D76" s="292" t="s">
        <v>235</v>
      </c>
      <c r="E76" s="330">
        <v>0</v>
      </c>
      <c r="F76" s="330">
        <f t="shared" si="39"/>
        <v>0</v>
      </c>
      <c r="G76" s="11">
        <f t="shared" ref="G76:G124" si="47">F76-E76</f>
        <v>0</v>
      </c>
      <c r="H76" s="384"/>
      <c r="I76" s="11">
        <f t="shared" si="35"/>
        <v>0</v>
      </c>
      <c r="J76" s="11">
        <f t="shared" si="5"/>
        <v>0</v>
      </c>
      <c r="K76" s="148"/>
      <c r="L76" s="11">
        <f t="shared" si="36"/>
        <v>0</v>
      </c>
      <c r="M76" s="11">
        <f t="shared" si="6"/>
        <v>0</v>
      </c>
      <c r="N76" s="148"/>
      <c r="O76" s="11">
        <f t="shared" si="37"/>
        <v>0</v>
      </c>
      <c r="P76" s="11">
        <f t="shared" si="7"/>
        <v>0</v>
      </c>
      <c r="Q76" s="148"/>
      <c r="R76" s="11">
        <f t="shared" si="38"/>
        <v>0</v>
      </c>
      <c r="S76" s="11">
        <f t="shared" si="32"/>
        <v>0</v>
      </c>
      <c r="T76" s="148"/>
      <c r="U76" s="11">
        <f t="shared" si="46"/>
        <v>0</v>
      </c>
      <c r="V76" s="11">
        <f t="shared" si="33"/>
        <v>0</v>
      </c>
      <c r="W76" s="148"/>
      <c r="X76" s="456">
        <v>30517.82</v>
      </c>
      <c r="Y76" s="201" t="e">
        <f t="shared" si="28"/>
        <v>#DIV/0!</v>
      </c>
      <c r="Z76" s="502" t="s">
        <v>771</v>
      </c>
    </row>
    <row r="77" spans="1:26" ht="30" x14ac:dyDescent="0.25">
      <c r="B77" s="54" t="s">
        <v>251</v>
      </c>
      <c r="C77" s="71" t="s">
        <v>447</v>
      </c>
      <c r="D77" s="292" t="s">
        <v>244</v>
      </c>
      <c r="E77" s="330">
        <v>0</v>
      </c>
      <c r="F77" s="330">
        <f t="shared" si="39"/>
        <v>0</v>
      </c>
      <c r="G77" s="11">
        <f t="shared" si="47"/>
        <v>0</v>
      </c>
      <c r="H77" s="385"/>
      <c r="I77" s="11">
        <f t="shared" si="35"/>
        <v>0</v>
      </c>
      <c r="J77" s="11">
        <f t="shared" ref="J77:J124" si="48">I77-F77</f>
        <v>0</v>
      </c>
      <c r="K77" s="149"/>
      <c r="L77" s="11">
        <f t="shared" si="36"/>
        <v>0</v>
      </c>
      <c r="M77" s="11">
        <f t="shared" ref="M77:M124" si="49">L77-I77</f>
        <v>0</v>
      </c>
      <c r="N77" s="149"/>
      <c r="O77" s="11">
        <f t="shared" si="37"/>
        <v>0</v>
      </c>
      <c r="P77" s="11">
        <f t="shared" ref="P77:P124" si="50">O77-L77</f>
        <v>0</v>
      </c>
      <c r="Q77" s="149"/>
      <c r="R77" s="11">
        <f t="shared" si="38"/>
        <v>0</v>
      </c>
      <c r="S77" s="11">
        <f t="shared" si="32"/>
        <v>0</v>
      </c>
      <c r="T77" s="149"/>
      <c r="U77" s="11">
        <f t="shared" si="46"/>
        <v>0</v>
      </c>
      <c r="V77" s="11">
        <f t="shared" si="33"/>
        <v>0</v>
      </c>
      <c r="W77" s="149"/>
      <c r="X77" s="456">
        <v>0</v>
      </c>
      <c r="Y77" s="201" t="e">
        <f t="shared" si="28"/>
        <v>#DIV/0!</v>
      </c>
      <c r="Z77" s="503"/>
    </row>
    <row r="78" spans="1:26" ht="30" x14ac:dyDescent="0.25">
      <c r="B78" s="54"/>
      <c r="C78" s="71" t="s">
        <v>508</v>
      </c>
      <c r="D78" s="292" t="s">
        <v>505</v>
      </c>
      <c r="E78" s="330">
        <v>0</v>
      </c>
      <c r="F78" s="330">
        <f t="shared" si="39"/>
        <v>0</v>
      </c>
      <c r="G78" s="11">
        <f t="shared" si="47"/>
        <v>0</v>
      </c>
      <c r="H78" s="386"/>
      <c r="I78" s="11">
        <f t="shared" si="35"/>
        <v>0</v>
      </c>
      <c r="J78" s="11">
        <f t="shared" si="48"/>
        <v>0</v>
      </c>
      <c r="K78" s="150"/>
      <c r="L78" s="11">
        <f t="shared" si="36"/>
        <v>0</v>
      </c>
      <c r="M78" s="11">
        <f t="shared" si="49"/>
        <v>0</v>
      </c>
      <c r="N78" s="150"/>
      <c r="O78" s="11">
        <f t="shared" si="37"/>
        <v>0</v>
      </c>
      <c r="P78" s="11">
        <f t="shared" si="50"/>
        <v>0</v>
      </c>
      <c r="Q78" s="150"/>
      <c r="R78" s="11">
        <f t="shared" si="38"/>
        <v>0</v>
      </c>
      <c r="S78" s="11">
        <f t="shared" si="32"/>
        <v>0</v>
      </c>
      <c r="T78" s="150"/>
      <c r="U78" s="11">
        <f t="shared" si="46"/>
        <v>0</v>
      </c>
      <c r="V78" s="11">
        <f t="shared" si="33"/>
        <v>0</v>
      </c>
      <c r="W78" s="150"/>
      <c r="X78" s="456">
        <v>62014.01</v>
      </c>
      <c r="Y78" s="201" t="e">
        <f t="shared" si="28"/>
        <v>#DIV/0!</v>
      </c>
      <c r="Z78" s="486"/>
    </row>
    <row r="79" spans="1:26" x14ac:dyDescent="0.25">
      <c r="B79" s="54"/>
      <c r="C79" s="71" t="s">
        <v>467</v>
      </c>
      <c r="D79" s="292" t="s">
        <v>506</v>
      </c>
      <c r="E79" s="330">
        <v>0</v>
      </c>
      <c r="F79" s="330">
        <f t="shared" si="39"/>
        <v>0</v>
      </c>
      <c r="G79" s="41">
        <f t="shared" si="47"/>
        <v>0</v>
      </c>
      <c r="H79" s="387"/>
      <c r="I79" s="11">
        <f t="shared" si="35"/>
        <v>0</v>
      </c>
      <c r="J79" s="41">
        <f t="shared" si="48"/>
        <v>0</v>
      </c>
      <c r="K79" s="151"/>
      <c r="L79" s="11">
        <f t="shared" si="36"/>
        <v>0</v>
      </c>
      <c r="M79" s="41">
        <f t="shared" si="49"/>
        <v>0</v>
      </c>
      <c r="N79" s="151"/>
      <c r="O79" s="11">
        <f t="shared" si="37"/>
        <v>0</v>
      </c>
      <c r="P79" s="41">
        <f t="shared" si="50"/>
        <v>0</v>
      </c>
      <c r="Q79" s="151"/>
      <c r="R79" s="11">
        <f t="shared" si="38"/>
        <v>0</v>
      </c>
      <c r="S79" s="41">
        <f t="shared" si="32"/>
        <v>0</v>
      </c>
      <c r="T79" s="151"/>
      <c r="U79" s="11">
        <f t="shared" si="46"/>
        <v>0</v>
      </c>
      <c r="V79" s="41">
        <f t="shared" si="33"/>
        <v>0</v>
      </c>
      <c r="W79" s="151"/>
      <c r="X79" s="456">
        <v>2318</v>
      </c>
      <c r="Y79" s="201" t="e">
        <f t="shared" si="28"/>
        <v>#DIV/0!</v>
      </c>
      <c r="Z79" s="456" t="s">
        <v>908</v>
      </c>
    </row>
    <row r="80" spans="1:26" ht="30" x14ac:dyDescent="0.25">
      <c r="B80" s="54"/>
      <c r="C80" s="71" t="s">
        <v>468</v>
      </c>
      <c r="D80" s="292" t="s">
        <v>297</v>
      </c>
      <c r="E80" s="337">
        <v>0</v>
      </c>
      <c r="F80" s="337">
        <f t="shared" si="39"/>
        <v>0</v>
      </c>
      <c r="G80" s="52">
        <f t="shared" si="47"/>
        <v>0</v>
      </c>
      <c r="H80" s="387"/>
      <c r="I80" s="52">
        <f t="shared" si="35"/>
        <v>0</v>
      </c>
      <c r="J80" s="52">
        <f t="shared" si="48"/>
        <v>0</v>
      </c>
      <c r="K80" s="151"/>
      <c r="L80" s="52">
        <f t="shared" si="36"/>
        <v>0</v>
      </c>
      <c r="M80" s="52">
        <f t="shared" si="49"/>
        <v>0</v>
      </c>
      <c r="N80" s="151"/>
      <c r="O80" s="52">
        <f t="shared" si="37"/>
        <v>0</v>
      </c>
      <c r="P80" s="52">
        <f t="shared" si="50"/>
        <v>0</v>
      </c>
      <c r="Q80" s="151"/>
      <c r="R80" s="52">
        <f t="shared" si="38"/>
        <v>0</v>
      </c>
      <c r="S80" s="52">
        <f t="shared" si="32"/>
        <v>0</v>
      </c>
      <c r="T80" s="151"/>
      <c r="U80" s="52">
        <f t="shared" si="46"/>
        <v>0</v>
      </c>
      <c r="V80" s="52">
        <f t="shared" si="33"/>
        <v>0</v>
      </c>
      <c r="W80" s="151"/>
      <c r="X80" s="456">
        <f>ROUND(N80,0)</f>
        <v>0</v>
      </c>
      <c r="Y80" s="206" t="e">
        <f t="shared" si="28"/>
        <v>#DIV/0!</v>
      </c>
      <c r="Z80" s="486"/>
    </row>
    <row r="81" spans="1:26" x14ac:dyDescent="0.25">
      <c r="B81" s="199" t="s">
        <v>577</v>
      </c>
      <c r="C81" s="71" t="s">
        <v>469</v>
      </c>
      <c r="D81" s="292" t="s">
        <v>298</v>
      </c>
      <c r="E81" s="337">
        <v>0</v>
      </c>
      <c r="F81" s="337">
        <f t="shared" si="39"/>
        <v>0</v>
      </c>
      <c r="G81" s="52">
        <f t="shared" si="47"/>
        <v>0</v>
      </c>
      <c r="H81" s="387"/>
      <c r="I81" s="52">
        <f t="shared" si="35"/>
        <v>0</v>
      </c>
      <c r="J81" s="52">
        <f t="shared" si="48"/>
        <v>0</v>
      </c>
      <c r="K81" s="151"/>
      <c r="L81" s="52">
        <f t="shared" si="36"/>
        <v>0</v>
      </c>
      <c r="M81" s="52">
        <f t="shared" si="49"/>
        <v>0</v>
      </c>
      <c r="N81" s="151"/>
      <c r="O81" s="52">
        <f t="shared" si="37"/>
        <v>0</v>
      </c>
      <c r="P81" s="52">
        <f t="shared" si="50"/>
        <v>0</v>
      </c>
      <c r="Q81" s="151"/>
      <c r="R81" s="52">
        <f t="shared" si="38"/>
        <v>0</v>
      </c>
      <c r="S81" s="52">
        <f t="shared" si="32"/>
        <v>0</v>
      </c>
      <c r="T81" s="151"/>
      <c r="U81" s="52">
        <f t="shared" si="46"/>
        <v>0</v>
      </c>
      <c r="V81" s="52">
        <f t="shared" si="33"/>
        <v>0</v>
      </c>
      <c r="W81" s="151"/>
      <c r="X81" s="456">
        <f>ROUND(N81,0)</f>
        <v>0</v>
      </c>
      <c r="Y81" s="206" t="e">
        <f t="shared" si="28"/>
        <v>#DIV/0!</v>
      </c>
      <c r="Z81" s="486"/>
    </row>
    <row r="82" spans="1:26" ht="30" x14ac:dyDescent="0.25">
      <c r="B82" s="54"/>
      <c r="C82" s="71" t="s">
        <v>481</v>
      </c>
      <c r="D82" s="292" t="s">
        <v>316</v>
      </c>
      <c r="E82" s="337">
        <v>150645</v>
      </c>
      <c r="F82" s="337">
        <f t="shared" si="39"/>
        <v>150645</v>
      </c>
      <c r="G82" s="52">
        <f t="shared" si="47"/>
        <v>0</v>
      </c>
      <c r="H82" s="387"/>
      <c r="I82" s="52">
        <f t="shared" ref="I82:I87" si="51">ROUND(F82,0)</f>
        <v>150645</v>
      </c>
      <c r="J82" s="52">
        <f t="shared" si="48"/>
        <v>0</v>
      </c>
      <c r="K82" s="151"/>
      <c r="L82" s="52">
        <f t="shared" ref="L82:L87" si="52">ROUND(I82,0)</f>
        <v>150645</v>
      </c>
      <c r="M82" s="52">
        <f t="shared" si="49"/>
        <v>0</v>
      </c>
      <c r="N82" s="151"/>
      <c r="O82" s="52">
        <f t="shared" ref="O82:O87" si="53">ROUND(L82,0)</f>
        <v>150645</v>
      </c>
      <c r="P82" s="52">
        <f t="shared" si="50"/>
        <v>0</v>
      </c>
      <c r="Q82" s="151"/>
      <c r="R82" s="52">
        <f>ROUND(O82,0)+16100+30000</f>
        <v>196745</v>
      </c>
      <c r="S82" s="52">
        <f t="shared" si="32"/>
        <v>46100</v>
      </c>
      <c r="T82" s="523" t="s">
        <v>878</v>
      </c>
      <c r="U82" s="52">
        <f t="shared" ref="U82:U87" si="54">ROUND(R82,0)</f>
        <v>196745</v>
      </c>
      <c r="V82" s="52">
        <f t="shared" si="33"/>
        <v>0</v>
      </c>
      <c r="W82" s="523"/>
      <c r="X82" s="456">
        <v>41673.199999999997</v>
      </c>
      <c r="Y82" s="206">
        <f t="shared" si="28"/>
        <v>0.21181326081984292</v>
      </c>
      <c r="Z82" s="503"/>
    </row>
    <row r="83" spans="1:26" ht="41.45" customHeight="1" x14ac:dyDescent="0.25">
      <c r="B83" s="54"/>
      <c r="C83" s="71" t="s">
        <v>509</v>
      </c>
      <c r="D83" s="292" t="s">
        <v>484</v>
      </c>
      <c r="E83" s="337">
        <v>118650</v>
      </c>
      <c r="F83" s="337">
        <f t="shared" si="39"/>
        <v>118650</v>
      </c>
      <c r="G83" s="52">
        <f t="shared" si="47"/>
        <v>0</v>
      </c>
      <c r="H83" s="388"/>
      <c r="I83" s="52">
        <f t="shared" si="51"/>
        <v>118650</v>
      </c>
      <c r="J83" s="52">
        <f t="shared" si="48"/>
        <v>0</v>
      </c>
      <c r="K83" s="152"/>
      <c r="L83" s="52">
        <f t="shared" si="52"/>
        <v>118650</v>
      </c>
      <c r="M83" s="52">
        <f t="shared" si="49"/>
        <v>0</v>
      </c>
      <c r="N83" s="152"/>
      <c r="O83" s="52">
        <f t="shared" si="53"/>
        <v>118650</v>
      </c>
      <c r="P83" s="52">
        <f t="shared" si="50"/>
        <v>0</v>
      </c>
      <c r="Q83" s="152"/>
      <c r="R83" s="52">
        <f t="shared" si="38"/>
        <v>118650</v>
      </c>
      <c r="S83" s="52">
        <f t="shared" si="32"/>
        <v>0</v>
      </c>
      <c r="T83" s="152"/>
      <c r="U83" s="52">
        <f t="shared" si="54"/>
        <v>118650</v>
      </c>
      <c r="V83" s="52">
        <f t="shared" si="33"/>
        <v>0</v>
      </c>
      <c r="W83" s="152"/>
      <c r="X83" s="456">
        <v>19384.2</v>
      </c>
      <c r="Y83" s="213">
        <f t="shared" si="28"/>
        <v>0.16337294563843238</v>
      </c>
      <c r="Z83" s="503"/>
    </row>
    <row r="84" spans="1:26" x14ac:dyDescent="0.25">
      <c r="B84" s="54"/>
      <c r="C84" s="71" t="s">
        <v>510</v>
      </c>
      <c r="D84" s="292" t="s">
        <v>345</v>
      </c>
      <c r="E84" s="337">
        <v>390462</v>
      </c>
      <c r="F84" s="337">
        <f t="shared" si="39"/>
        <v>390462</v>
      </c>
      <c r="G84" s="52">
        <f t="shared" si="47"/>
        <v>0</v>
      </c>
      <c r="H84" s="388"/>
      <c r="I84" s="52">
        <f t="shared" si="51"/>
        <v>390462</v>
      </c>
      <c r="J84" s="52">
        <f t="shared" si="48"/>
        <v>0</v>
      </c>
      <c r="K84" s="152"/>
      <c r="L84" s="52">
        <f t="shared" si="52"/>
        <v>390462</v>
      </c>
      <c r="M84" s="52">
        <f t="shared" si="49"/>
        <v>0</v>
      </c>
      <c r="N84" s="152"/>
      <c r="O84" s="52">
        <f t="shared" si="53"/>
        <v>390462</v>
      </c>
      <c r="P84" s="52">
        <f t="shared" si="50"/>
        <v>0</v>
      </c>
      <c r="Q84" s="152"/>
      <c r="R84" s="52">
        <f t="shared" si="38"/>
        <v>390462</v>
      </c>
      <c r="S84" s="52">
        <f t="shared" si="32"/>
        <v>0</v>
      </c>
      <c r="T84" s="152"/>
      <c r="U84" s="52">
        <f t="shared" si="54"/>
        <v>390462</v>
      </c>
      <c r="V84" s="52">
        <f t="shared" si="33"/>
        <v>0</v>
      </c>
      <c r="W84" s="152"/>
      <c r="X84" s="456">
        <v>344174.01</v>
      </c>
      <c r="Y84" s="213">
        <f t="shared" si="28"/>
        <v>0.88145327842402077</v>
      </c>
      <c r="Z84" s="503"/>
    </row>
    <row r="85" spans="1:26" ht="30" x14ac:dyDescent="0.25">
      <c r="B85" s="199" t="s">
        <v>577</v>
      </c>
      <c r="C85" s="71" t="s">
        <v>511</v>
      </c>
      <c r="D85" s="292" t="s">
        <v>517</v>
      </c>
      <c r="E85" s="337">
        <v>0</v>
      </c>
      <c r="F85" s="337">
        <f t="shared" si="39"/>
        <v>0</v>
      </c>
      <c r="G85" s="52">
        <f t="shared" si="47"/>
        <v>0</v>
      </c>
      <c r="H85" s="388"/>
      <c r="I85" s="52">
        <f t="shared" si="51"/>
        <v>0</v>
      </c>
      <c r="J85" s="52">
        <f t="shared" si="48"/>
        <v>0</v>
      </c>
      <c r="K85" s="152"/>
      <c r="L85" s="52">
        <f t="shared" si="52"/>
        <v>0</v>
      </c>
      <c r="M85" s="52">
        <f t="shared" si="49"/>
        <v>0</v>
      </c>
      <c r="N85" s="152"/>
      <c r="O85" s="52">
        <f t="shared" si="53"/>
        <v>0</v>
      </c>
      <c r="P85" s="52">
        <f t="shared" si="50"/>
        <v>0</v>
      </c>
      <c r="Q85" s="152"/>
      <c r="R85" s="52">
        <f t="shared" si="38"/>
        <v>0</v>
      </c>
      <c r="S85" s="52">
        <f t="shared" si="32"/>
        <v>0</v>
      </c>
      <c r="T85" s="152"/>
      <c r="U85" s="52">
        <f t="shared" si="54"/>
        <v>0</v>
      </c>
      <c r="V85" s="52">
        <f t="shared" si="33"/>
        <v>0</v>
      </c>
      <c r="W85" s="152"/>
      <c r="X85" s="456">
        <v>0</v>
      </c>
      <c r="Y85" s="213" t="e">
        <f t="shared" si="28"/>
        <v>#DIV/0!</v>
      </c>
      <c r="Z85" s="503"/>
    </row>
    <row r="86" spans="1:26" x14ac:dyDescent="0.25">
      <c r="B86" s="58" t="s">
        <v>639</v>
      </c>
      <c r="C86" s="71" t="s">
        <v>538</v>
      </c>
      <c r="D86" s="302" t="s">
        <v>542</v>
      </c>
      <c r="E86" s="336">
        <v>382739</v>
      </c>
      <c r="F86" s="337">
        <f t="shared" si="39"/>
        <v>382739</v>
      </c>
      <c r="G86" s="52">
        <f t="shared" si="47"/>
        <v>0</v>
      </c>
      <c r="H86" s="389"/>
      <c r="I86" s="52">
        <f>ROUND(F86,0)-24147</f>
        <v>358592</v>
      </c>
      <c r="J86" s="52">
        <f t="shared" si="48"/>
        <v>-24147</v>
      </c>
      <c r="K86" s="153" t="s">
        <v>770</v>
      </c>
      <c r="L86" s="52">
        <f t="shared" si="52"/>
        <v>358592</v>
      </c>
      <c r="M86" s="52">
        <f t="shared" si="49"/>
        <v>0</v>
      </c>
      <c r="N86" s="153"/>
      <c r="O86" s="52">
        <f t="shared" si="53"/>
        <v>358592</v>
      </c>
      <c r="P86" s="52">
        <f t="shared" si="50"/>
        <v>0</v>
      </c>
      <c r="Q86" s="153"/>
      <c r="R86" s="52">
        <f t="shared" si="38"/>
        <v>358592</v>
      </c>
      <c r="S86" s="52">
        <f t="shared" si="32"/>
        <v>0</v>
      </c>
      <c r="T86" s="153"/>
      <c r="U86" s="52">
        <f t="shared" si="54"/>
        <v>358592</v>
      </c>
      <c r="V86" s="52">
        <f t="shared" si="33"/>
        <v>0</v>
      </c>
      <c r="W86" s="153"/>
      <c r="X86" s="456">
        <v>114822</v>
      </c>
      <c r="Y86" s="213">
        <f t="shared" si="28"/>
        <v>0.32020234695698735</v>
      </c>
      <c r="Z86" s="503"/>
    </row>
    <row r="87" spans="1:26" hidden="1" outlineLevel="1" x14ac:dyDescent="0.25">
      <c r="B87" s="10" t="s">
        <v>448</v>
      </c>
      <c r="C87" s="67" t="s">
        <v>450</v>
      </c>
      <c r="D87" s="516" t="s">
        <v>449</v>
      </c>
      <c r="E87" s="328">
        <v>0</v>
      </c>
      <c r="F87" s="337">
        <f t="shared" si="39"/>
        <v>0</v>
      </c>
      <c r="G87" s="11">
        <f t="shared" si="47"/>
        <v>0</v>
      </c>
      <c r="H87" s="366"/>
      <c r="I87" s="52">
        <f t="shared" si="51"/>
        <v>0</v>
      </c>
      <c r="J87" s="11">
        <f t="shared" si="48"/>
        <v>0</v>
      </c>
      <c r="K87" s="127"/>
      <c r="L87" s="52">
        <f t="shared" si="52"/>
        <v>0</v>
      </c>
      <c r="M87" s="11">
        <f t="shared" si="49"/>
        <v>0</v>
      </c>
      <c r="N87" s="127"/>
      <c r="O87" s="52">
        <f t="shared" si="53"/>
        <v>0</v>
      </c>
      <c r="P87" s="11">
        <f t="shared" si="50"/>
        <v>0</v>
      </c>
      <c r="Q87" s="127"/>
      <c r="R87" s="52">
        <f t="shared" si="38"/>
        <v>0</v>
      </c>
      <c r="S87" s="11">
        <f t="shared" si="32"/>
        <v>0</v>
      </c>
      <c r="T87" s="127"/>
      <c r="U87" s="52">
        <f t="shared" si="54"/>
        <v>0</v>
      </c>
      <c r="V87" s="11">
        <f t="shared" si="33"/>
        <v>0</v>
      </c>
      <c r="W87" s="127"/>
      <c r="X87" s="268">
        <f>ROUND(H87,0)</f>
        <v>0</v>
      </c>
      <c r="Y87" s="213" t="e">
        <f t="shared" si="28"/>
        <v>#DIV/0!</v>
      </c>
      <c r="Z87" s="265"/>
    </row>
    <row r="88" spans="1:26" collapsed="1" x14ac:dyDescent="0.25">
      <c r="C88" s="73" t="s">
        <v>107</v>
      </c>
      <c r="D88" s="70" t="s">
        <v>108</v>
      </c>
      <c r="E88" s="329">
        <v>295000</v>
      </c>
      <c r="F88" s="329">
        <f>F89+F90</f>
        <v>295000</v>
      </c>
      <c r="G88" s="13">
        <f t="shared" si="47"/>
        <v>0</v>
      </c>
      <c r="H88" s="368"/>
      <c r="I88" s="13">
        <f>I89+I90</f>
        <v>295000</v>
      </c>
      <c r="J88" s="13">
        <f t="shared" si="48"/>
        <v>0</v>
      </c>
      <c r="K88" s="129"/>
      <c r="L88" s="13">
        <f>L89+L90</f>
        <v>295000</v>
      </c>
      <c r="M88" s="13">
        <f t="shared" si="49"/>
        <v>0</v>
      </c>
      <c r="N88" s="129"/>
      <c r="O88" s="13">
        <f>O89+O90</f>
        <v>295000</v>
      </c>
      <c r="P88" s="13">
        <f t="shared" si="50"/>
        <v>0</v>
      </c>
      <c r="Q88" s="129"/>
      <c r="R88" s="13">
        <f>R89+R90</f>
        <v>375000</v>
      </c>
      <c r="S88" s="13">
        <f t="shared" si="32"/>
        <v>80000</v>
      </c>
      <c r="T88" s="129"/>
      <c r="U88" s="13">
        <f>U89+U90</f>
        <v>375000</v>
      </c>
      <c r="V88" s="13">
        <f t="shared" si="33"/>
        <v>0</v>
      </c>
      <c r="W88" s="129"/>
      <c r="X88" s="499">
        <f>X89+X90</f>
        <v>245196.76</v>
      </c>
      <c r="Y88" s="200">
        <f t="shared" si="28"/>
        <v>0.6538580266666667</v>
      </c>
      <c r="Z88" s="508"/>
    </row>
    <row r="89" spans="1:26" ht="32.25" customHeight="1" x14ac:dyDescent="0.25">
      <c r="B89" s="2" t="s">
        <v>109</v>
      </c>
      <c r="C89" s="67" t="s">
        <v>110</v>
      </c>
      <c r="D89" s="68" t="s">
        <v>111</v>
      </c>
      <c r="E89" s="330">
        <v>295000</v>
      </c>
      <c r="F89" s="330">
        <f>ROUND(E89,0)</f>
        <v>295000</v>
      </c>
      <c r="G89" s="11">
        <f t="shared" si="47"/>
        <v>0</v>
      </c>
      <c r="H89" s="374"/>
      <c r="I89" s="11">
        <f>ROUND(F89,0)</f>
        <v>295000</v>
      </c>
      <c r="J89" s="11">
        <f t="shared" si="48"/>
        <v>0</v>
      </c>
      <c r="K89" s="135"/>
      <c r="L89" s="11">
        <f>ROUND(I89,0)</f>
        <v>295000</v>
      </c>
      <c r="M89" s="11">
        <f t="shared" si="49"/>
        <v>0</v>
      </c>
      <c r="N89" s="135"/>
      <c r="O89" s="11">
        <f>ROUND(L89,0)</f>
        <v>295000</v>
      </c>
      <c r="P89" s="11">
        <f t="shared" si="50"/>
        <v>0</v>
      </c>
      <c r="Q89" s="135"/>
      <c r="R89" s="11">
        <f>ROUND(O89,0)+80000</f>
        <v>375000</v>
      </c>
      <c r="S89" s="11">
        <f t="shared" si="32"/>
        <v>80000</v>
      </c>
      <c r="T89" s="135" t="s">
        <v>862</v>
      </c>
      <c r="U89" s="11">
        <f>ROUND(R89,0)</f>
        <v>375000</v>
      </c>
      <c r="V89" s="11">
        <f t="shared" si="33"/>
        <v>0</v>
      </c>
      <c r="W89" s="135"/>
      <c r="X89" s="456">
        <v>245196.76</v>
      </c>
      <c r="Y89" s="201">
        <f t="shared" ref="Y89:Y120" si="55">X89/U89</f>
        <v>0.6538580266666667</v>
      </c>
      <c r="Z89" s="456" t="s">
        <v>850</v>
      </c>
    </row>
    <row r="90" spans="1:26" ht="16.149999999999999" customHeight="1" x14ac:dyDescent="0.25">
      <c r="B90" s="2" t="s">
        <v>240</v>
      </c>
      <c r="C90" s="67" t="s">
        <v>112</v>
      </c>
      <c r="D90" s="68" t="s">
        <v>241</v>
      </c>
      <c r="E90" s="330">
        <v>0</v>
      </c>
      <c r="F90" s="330">
        <f>ROUND(E90,0)</f>
        <v>0</v>
      </c>
      <c r="G90" s="11">
        <f t="shared" si="47"/>
        <v>0</v>
      </c>
      <c r="H90" s="366"/>
      <c r="I90" s="11">
        <f>ROUND(F90,0)</f>
        <v>0</v>
      </c>
      <c r="J90" s="11">
        <f t="shared" si="48"/>
        <v>0</v>
      </c>
      <c r="K90" s="127"/>
      <c r="L90" s="11">
        <f>ROUND(I90,0)</f>
        <v>0</v>
      </c>
      <c r="M90" s="11">
        <f t="shared" si="49"/>
        <v>0</v>
      </c>
      <c r="N90" s="127"/>
      <c r="O90" s="11">
        <f>ROUND(L90,0)</f>
        <v>0</v>
      </c>
      <c r="P90" s="11">
        <f t="shared" si="50"/>
        <v>0</v>
      </c>
      <c r="Q90" s="127"/>
      <c r="R90" s="11">
        <f>ROUND(O90,0)</f>
        <v>0</v>
      </c>
      <c r="S90" s="11">
        <f t="shared" si="32"/>
        <v>0</v>
      </c>
      <c r="T90" s="127"/>
      <c r="U90" s="11">
        <f>ROUND(R90,0)</f>
        <v>0</v>
      </c>
      <c r="V90" s="11">
        <f t="shared" si="33"/>
        <v>0</v>
      </c>
      <c r="W90" s="127"/>
      <c r="X90" s="456">
        <v>0</v>
      </c>
      <c r="Y90" s="201" t="e">
        <f t="shared" si="55"/>
        <v>#DIV/0!</v>
      </c>
      <c r="Z90" s="486"/>
    </row>
    <row r="91" spans="1:26" ht="35.450000000000003" customHeight="1" x14ac:dyDescent="0.25">
      <c r="C91" s="73" t="s">
        <v>113</v>
      </c>
      <c r="D91" s="70" t="s">
        <v>114</v>
      </c>
      <c r="E91" s="329">
        <v>2153758</v>
      </c>
      <c r="F91" s="329">
        <f t="shared" ref="F91" si="56">F92+F95+F98+F102+F106</f>
        <v>1974755</v>
      </c>
      <c r="G91" s="13">
        <f t="shared" si="47"/>
        <v>-179003</v>
      </c>
      <c r="H91" s="368"/>
      <c r="I91" s="13">
        <f>I92+I95+I98+I102+I106</f>
        <v>1974755</v>
      </c>
      <c r="J91" s="13">
        <f t="shared" si="48"/>
        <v>0</v>
      </c>
      <c r="K91" s="129"/>
      <c r="L91" s="13">
        <f>L92+L95+L98+L102+L106</f>
        <v>1974755</v>
      </c>
      <c r="M91" s="13">
        <f t="shared" si="49"/>
        <v>0</v>
      </c>
      <c r="N91" s="129"/>
      <c r="O91" s="13">
        <f>O92+O95+O98+O102+O106</f>
        <v>2675467</v>
      </c>
      <c r="P91" s="13">
        <f t="shared" si="50"/>
        <v>700712</v>
      </c>
      <c r="Q91" s="129"/>
      <c r="R91" s="13">
        <f>R92+R95+R98+R102+R106</f>
        <v>2888467</v>
      </c>
      <c r="S91" s="13">
        <f t="shared" si="32"/>
        <v>213000</v>
      </c>
      <c r="T91" s="129"/>
      <c r="U91" s="13">
        <f>U92+U95+U98+U102+U106</f>
        <v>2908467</v>
      </c>
      <c r="V91" s="13">
        <f t="shared" si="33"/>
        <v>20000</v>
      </c>
      <c r="W91" s="129"/>
      <c r="X91" s="499">
        <f>X92+X95+X98+X102+X106</f>
        <v>1837776.52</v>
      </c>
      <c r="Y91" s="200">
        <f t="shared" si="55"/>
        <v>0.63187119537543324</v>
      </c>
      <c r="Z91" s="543"/>
    </row>
    <row r="92" spans="1:26" x14ac:dyDescent="0.25">
      <c r="A92" s="2" t="s">
        <v>9</v>
      </c>
      <c r="B92" s="2" t="s">
        <v>115</v>
      </c>
      <c r="C92" s="67" t="s">
        <v>116</v>
      </c>
      <c r="D92" s="68" t="s">
        <v>522</v>
      </c>
      <c r="E92" s="330">
        <v>149000</v>
      </c>
      <c r="F92" s="330">
        <f>SUM(F93:F94)</f>
        <v>149000</v>
      </c>
      <c r="G92" s="11">
        <f t="shared" si="47"/>
        <v>0</v>
      </c>
      <c r="H92" s="366"/>
      <c r="I92" s="11">
        <f>SUM(I93:I94)</f>
        <v>149000</v>
      </c>
      <c r="J92" s="11">
        <f t="shared" si="48"/>
        <v>0</v>
      </c>
      <c r="K92" s="127"/>
      <c r="L92" s="11">
        <f>SUM(L93:L94)</f>
        <v>149000</v>
      </c>
      <c r="M92" s="11">
        <f t="shared" si="49"/>
        <v>0</v>
      </c>
      <c r="N92" s="127"/>
      <c r="O92" s="11">
        <f>SUM(O93:O94)</f>
        <v>149000</v>
      </c>
      <c r="P92" s="11">
        <f t="shared" si="50"/>
        <v>0</v>
      </c>
      <c r="Q92" s="127"/>
      <c r="R92" s="11">
        <f>SUM(R93:R94)</f>
        <v>279000</v>
      </c>
      <c r="S92" s="11">
        <f t="shared" si="32"/>
        <v>130000</v>
      </c>
      <c r="T92" s="127"/>
      <c r="U92" s="11">
        <f>SUM(U93:U94)</f>
        <v>279000</v>
      </c>
      <c r="V92" s="11">
        <f t="shared" si="33"/>
        <v>0</v>
      </c>
      <c r="W92" s="127"/>
      <c r="X92" s="456">
        <f>SUM(X93:X94)</f>
        <v>156873.29999999999</v>
      </c>
      <c r="Y92" s="201">
        <f t="shared" si="55"/>
        <v>0.5622698924731182</v>
      </c>
      <c r="Z92" s="486"/>
    </row>
    <row r="93" spans="1:26" ht="14.25" customHeight="1" x14ac:dyDescent="0.25">
      <c r="B93" s="2" t="s">
        <v>118</v>
      </c>
      <c r="C93" s="75" t="s">
        <v>117</v>
      </c>
      <c r="D93" s="76" t="s">
        <v>518</v>
      </c>
      <c r="E93" s="330">
        <v>24000</v>
      </c>
      <c r="F93" s="330">
        <f>ROUND(E93,0)</f>
        <v>24000</v>
      </c>
      <c r="G93" s="11">
        <f t="shared" si="47"/>
        <v>0</v>
      </c>
      <c r="H93" s="369"/>
      <c r="I93" s="11">
        <f>ROUND(F93,0)</f>
        <v>24000</v>
      </c>
      <c r="J93" s="11">
        <f t="shared" si="48"/>
        <v>0</v>
      </c>
      <c r="K93" s="130"/>
      <c r="L93" s="11">
        <f>ROUND(I93,0)</f>
        <v>24000</v>
      </c>
      <c r="M93" s="11">
        <f t="shared" si="49"/>
        <v>0</v>
      </c>
      <c r="N93" s="130"/>
      <c r="O93" s="11">
        <f>ROUND(L93,0)</f>
        <v>24000</v>
      </c>
      <c r="P93" s="11">
        <f t="shared" si="50"/>
        <v>0</v>
      </c>
      <c r="Q93" s="130"/>
      <c r="R93" s="11">
        <f>ROUND(O93,0)+55000</f>
        <v>79000</v>
      </c>
      <c r="S93" s="11">
        <f t="shared" si="32"/>
        <v>55000</v>
      </c>
      <c r="T93" s="135" t="s">
        <v>862</v>
      </c>
      <c r="U93" s="11">
        <f>ROUND(R93,0)</f>
        <v>79000</v>
      </c>
      <c r="V93" s="11">
        <f t="shared" si="33"/>
        <v>0</v>
      </c>
      <c r="W93" s="135"/>
      <c r="X93" s="456">
        <v>44743.39</v>
      </c>
      <c r="Y93" s="201">
        <f t="shared" si="55"/>
        <v>0.5663720253164557</v>
      </c>
      <c r="Z93" s="486"/>
    </row>
    <row r="94" spans="1:26" ht="30" customHeight="1" x14ac:dyDescent="0.25">
      <c r="B94" s="2" t="s">
        <v>120</v>
      </c>
      <c r="C94" s="75" t="s">
        <v>119</v>
      </c>
      <c r="D94" s="111" t="s">
        <v>519</v>
      </c>
      <c r="E94" s="330">
        <v>125000</v>
      </c>
      <c r="F94" s="330">
        <f>ROUND(E94,0)</f>
        <v>125000</v>
      </c>
      <c r="G94" s="11">
        <f t="shared" si="47"/>
        <v>0</v>
      </c>
      <c r="H94" s="369"/>
      <c r="I94" s="11">
        <f>ROUND(F94,0)</f>
        <v>125000</v>
      </c>
      <c r="J94" s="11">
        <f t="shared" si="48"/>
        <v>0</v>
      </c>
      <c r="K94" s="130"/>
      <c r="L94" s="11">
        <f>ROUND(I94,0)</f>
        <v>125000</v>
      </c>
      <c r="M94" s="11">
        <f t="shared" si="49"/>
        <v>0</v>
      </c>
      <c r="N94" s="130"/>
      <c r="O94" s="11">
        <f>ROUND(L94,0)</f>
        <v>125000</v>
      </c>
      <c r="P94" s="11">
        <f t="shared" si="50"/>
        <v>0</v>
      </c>
      <c r="Q94" s="130"/>
      <c r="R94" s="11">
        <f>ROUND(O94,0)+75000</f>
        <v>200000</v>
      </c>
      <c r="S94" s="11">
        <f t="shared" si="32"/>
        <v>75000</v>
      </c>
      <c r="T94" s="135" t="s">
        <v>862</v>
      </c>
      <c r="U94" s="11">
        <f>ROUND(R94,0)</f>
        <v>200000</v>
      </c>
      <c r="V94" s="11">
        <f t="shared" si="33"/>
        <v>0</v>
      </c>
      <c r="W94" s="135"/>
      <c r="X94" s="456">
        <v>112129.91</v>
      </c>
      <c r="Y94" s="201">
        <f t="shared" si="55"/>
        <v>0.56064955000000005</v>
      </c>
      <c r="Z94" s="486"/>
    </row>
    <row r="95" spans="1:26" ht="13.9" customHeight="1" x14ac:dyDescent="0.25">
      <c r="C95" s="67" t="s">
        <v>122</v>
      </c>
      <c r="D95" s="68" t="s">
        <v>300</v>
      </c>
      <c r="E95" s="337">
        <v>0</v>
      </c>
      <c r="F95" s="337">
        <f>F96+F97</f>
        <v>0</v>
      </c>
      <c r="G95" s="52">
        <f t="shared" si="47"/>
        <v>0</v>
      </c>
      <c r="H95" s="390"/>
      <c r="I95" s="52">
        <f>I96+I97</f>
        <v>0</v>
      </c>
      <c r="J95" s="52">
        <f t="shared" si="48"/>
        <v>0</v>
      </c>
      <c r="K95" s="154"/>
      <c r="L95" s="52">
        <f>L96+L97</f>
        <v>0</v>
      </c>
      <c r="M95" s="52">
        <f t="shared" si="49"/>
        <v>0</v>
      </c>
      <c r="N95" s="154"/>
      <c r="O95" s="52">
        <f>O96+O97</f>
        <v>0</v>
      </c>
      <c r="P95" s="52">
        <f t="shared" si="50"/>
        <v>0</v>
      </c>
      <c r="Q95" s="154"/>
      <c r="R95" s="52">
        <f>R96+R97</f>
        <v>0</v>
      </c>
      <c r="S95" s="52">
        <f t="shared" si="32"/>
        <v>0</v>
      </c>
      <c r="T95" s="154"/>
      <c r="U95" s="52">
        <f>U96+U97</f>
        <v>0</v>
      </c>
      <c r="V95" s="52">
        <f t="shared" si="33"/>
        <v>0</v>
      </c>
      <c r="W95" s="154"/>
      <c r="X95" s="486"/>
      <c r="Y95" s="206" t="e">
        <f t="shared" si="55"/>
        <v>#DIV/0!</v>
      </c>
      <c r="Z95" s="486"/>
    </row>
    <row r="96" spans="1:26" x14ac:dyDescent="0.25">
      <c r="C96" s="75" t="s">
        <v>125</v>
      </c>
      <c r="D96" s="76" t="s">
        <v>296</v>
      </c>
      <c r="E96" s="330">
        <v>0</v>
      </c>
      <c r="F96" s="330"/>
      <c r="G96" s="52">
        <f t="shared" si="47"/>
        <v>0</v>
      </c>
      <c r="H96" s="372"/>
      <c r="I96" s="11"/>
      <c r="J96" s="52">
        <f t="shared" si="48"/>
        <v>0</v>
      </c>
      <c r="K96" s="133"/>
      <c r="L96" s="11"/>
      <c r="M96" s="52">
        <f t="shared" si="49"/>
        <v>0</v>
      </c>
      <c r="N96" s="133"/>
      <c r="O96" s="11"/>
      <c r="P96" s="52">
        <f t="shared" si="50"/>
        <v>0</v>
      </c>
      <c r="Q96" s="133"/>
      <c r="R96" s="11"/>
      <c r="S96" s="52">
        <f t="shared" si="32"/>
        <v>0</v>
      </c>
      <c r="T96" s="133"/>
      <c r="U96" s="11"/>
      <c r="V96" s="52">
        <f t="shared" si="33"/>
        <v>0</v>
      </c>
      <c r="W96" s="133"/>
      <c r="X96" s="486"/>
      <c r="Y96" s="206" t="e">
        <f t="shared" si="55"/>
        <v>#DIV/0!</v>
      </c>
      <c r="Z96" s="486"/>
    </row>
    <row r="97" spans="1:26" ht="30" customHeight="1" x14ac:dyDescent="0.25">
      <c r="B97" s="58" t="s">
        <v>470</v>
      </c>
      <c r="C97" s="75" t="s">
        <v>127</v>
      </c>
      <c r="D97" s="292" t="s">
        <v>299</v>
      </c>
      <c r="E97" s="330">
        <v>0</v>
      </c>
      <c r="F97" s="330">
        <f>ROUND(E97,0)</f>
        <v>0</v>
      </c>
      <c r="G97" s="52">
        <f t="shared" si="47"/>
        <v>0</v>
      </c>
      <c r="H97" s="372"/>
      <c r="I97" s="11">
        <f>ROUND(F97,0)</f>
        <v>0</v>
      </c>
      <c r="J97" s="52">
        <f t="shared" si="48"/>
        <v>0</v>
      </c>
      <c r="K97" s="133"/>
      <c r="L97" s="11">
        <f>ROUND(I97,0)</f>
        <v>0</v>
      </c>
      <c r="M97" s="52">
        <f t="shared" si="49"/>
        <v>0</v>
      </c>
      <c r="N97" s="133"/>
      <c r="O97" s="11">
        <f>ROUND(L97,0)</f>
        <v>0</v>
      </c>
      <c r="P97" s="52">
        <f t="shared" si="50"/>
        <v>0</v>
      </c>
      <c r="Q97" s="133"/>
      <c r="R97" s="11">
        <f>ROUND(O97,0)</f>
        <v>0</v>
      </c>
      <c r="S97" s="52">
        <f t="shared" si="32"/>
        <v>0</v>
      </c>
      <c r="T97" s="133"/>
      <c r="U97" s="11">
        <f>ROUND(R97,0)</f>
        <v>0</v>
      </c>
      <c r="V97" s="52">
        <f t="shared" si="33"/>
        <v>0</v>
      </c>
      <c r="W97" s="133"/>
      <c r="X97" s="486"/>
      <c r="Y97" s="206" t="e">
        <f t="shared" si="55"/>
        <v>#DIV/0!</v>
      </c>
      <c r="Z97" s="486"/>
    </row>
    <row r="98" spans="1:26" x14ac:dyDescent="0.25">
      <c r="A98" s="2" t="s">
        <v>9</v>
      </c>
      <c r="B98" s="2" t="s">
        <v>121</v>
      </c>
      <c r="C98" s="67" t="s">
        <v>129</v>
      </c>
      <c r="D98" s="68" t="s">
        <v>123</v>
      </c>
      <c r="E98" s="330">
        <v>180000</v>
      </c>
      <c r="F98" s="330">
        <f>SUM(F99:F101)</f>
        <v>180000</v>
      </c>
      <c r="G98" s="11">
        <f t="shared" si="47"/>
        <v>0</v>
      </c>
      <c r="H98" s="366"/>
      <c r="I98" s="11">
        <f>SUM(I99:I101)</f>
        <v>180000</v>
      </c>
      <c r="J98" s="11">
        <f t="shared" si="48"/>
        <v>0</v>
      </c>
      <c r="K98" s="127"/>
      <c r="L98" s="11">
        <f>SUM(L99:L101)</f>
        <v>180000</v>
      </c>
      <c r="M98" s="11">
        <f t="shared" si="49"/>
        <v>0</v>
      </c>
      <c r="N98" s="127"/>
      <c r="O98" s="11">
        <f>SUM(O99:O101)</f>
        <v>195370</v>
      </c>
      <c r="P98" s="11">
        <f t="shared" si="50"/>
        <v>15370</v>
      </c>
      <c r="Q98" s="127"/>
      <c r="R98" s="11">
        <f>SUM(R99:R101)</f>
        <v>278370</v>
      </c>
      <c r="S98" s="11">
        <f t="shared" si="32"/>
        <v>83000</v>
      </c>
      <c r="T98" s="127"/>
      <c r="U98" s="11">
        <f>SUM(U99:U101)</f>
        <v>278370</v>
      </c>
      <c r="V98" s="11">
        <f t="shared" si="33"/>
        <v>0</v>
      </c>
      <c r="W98" s="127"/>
      <c r="X98" s="456">
        <f>SUM(X99:X101)</f>
        <v>219865.81000000003</v>
      </c>
      <c r="Y98" s="201">
        <f t="shared" si="55"/>
        <v>0.78983299206092616</v>
      </c>
      <c r="Z98" s="486"/>
    </row>
    <row r="99" spans="1:26" ht="16.5" customHeight="1" x14ac:dyDescent="0.25">
      <c r="B99" s="2" t="s">
        <v>124</v>
      </c>
      <c r="C99" s="75" t="s">
        <v>301</v>
      </c>
      <c r="D99" s="76" t="s">
        <v>303</v>
      </c>
      <c r="E99" s="330">
        <v>143000</v>
      </c>
      <c r="F99" s="330">
        <f>ROUND(E99,0)</f>
        <v>143000</v>
      </c>
      <c r="G99" s="11">
        <f t="shared" si="47"/>
        <v>0</v>
      </c>
      <c r="H99" s="374"/>
      <c r="I99" s="11">
        <f>ROUND(F99,0)</f>
        <v>143000</v>
      </c>
      <c r="J99" s="11">
        <f t="shared" si="48"/>
        <v>0</v>
      </c>
      <c r="K99" s="135"/>
      <c r="L99" s="11">
        <f>ROUND(I99,0)</f>
        <v>143000</v>
      </c>
      <c r="M99" s="11">
        <f t="shared" si="49"/>
        <v>0</v>
      </c>
      <c r="N99" s="135"/>
      <c r="O99" s="11">
        <f>ROUND(L99,0)+6370+9000</f>
        <v>158370</v>
      </c>
      <c r="P99" s="11">
        <f t="shared" si="50"/>
        <v>15370</v>
      </c>
      <c r="Q99" s="135" t="s">
        <v>825</v>
      </c>
      <c r="R99" s="11">
        <f>ROUND(O99,0)+62000</f>
        <v>220370</v>
      </c>
      <c r="S99" s="11">
        <f t="shared" si="32"/>
        <v>62000</v>
      </c>
      <c r="T99" s="135" t="s">
        <v>863</v>
      </c>
      <c r="U99" s="11">
        <f>ROUND(R99,0)</f>
        <v>220370</v>
      </c>
      <c r="V99" s="11">
        <f t="shared" si="33"/>
        <v>0</v>
      </c>
      <c r="W99" s="135"/>
      <c r="X99" s="456">
        <f>161275.23+207</f>
        <v>161482.23000000001</v>
      </c>
      <c r="Y99" s="201">
        <f t="shared" si="55"/>
        <v>0.73277773744157559</v>
      </c>
      <c r="Z99" s="486"/>
    </row>
    <row r="100" spans="1:26" x14ac:dyDescent="0.25">
      <c r="B100" s="2" t="s">
        <v>126</v>
      </c>
      <c r="C100" s="75" t="s">
        <v>302</v>
      </c>
      <c r="D100" s="76" t="s">
        <v>304</v>
      </c>
      <c r="E100" s="330">
        <v>36000</v>
      </c>
      <c r="F100" s="330">
        <f>ROUND(E100,0)</f>
        <v>36000</v>
      </c>
      <c r="G100" s="11">
        <f t="shared" si="47"/>
        <v>0</v>
      </c>
      <c r="H100" s="366"/>
      <c r="I100" s="11">
        <f>ROUND(F100,0)</f>
        <v>36000</v>
      </c>
      <c r="J100" s="11">
        <f t="shared" si="48"/>
        <v>0</v>
      </c>
      <c r="K100" s="127"/>
      <c r="L100" s="11">
        <f>ROUND(I100,0)</f>
        <v>36000</v>
      </c>
      <c r="M100" s="11">
        <f t="shared" si="49"/>
        <v>0</v>
      </c>
      <c r="N100" s="127"/>
      <c r="O100" s="11">
        <f>ROUND(L100,0)</f>
        <v>36000</v>
      </c>
      <c r="P100" s="11">
        <f t="shared" si="50"/>
        <v>0</v>
      </c>
      <c r="Q100" s="127"/>
      <c r="R100" s="11">
        <f>ROUND(O100,0)+21000</f>
        <v>57000</v>
      </c>
      <c r="S100" s="11">
        <f t="shared" si="32"/>
        <v>21000</v>
      </c>
      <c r="T100" s="135" t="s">
        <v>863</v>
      </c>
      <c r="U100" s="11">
        <f>ROUND(R100,0)</f>
        <v>57000</v>
      </c>
      <c r="V100" s="11">
        <f t="shared" si="33"/>
        <v>0</v>
      </c>
      <c r="W100" s="135"/>
      <c r="X100" s="456">
        <v>58220.23</v>
      </c>
      <c r="Y100" s="201">
        <f t="shared" si="55"/>
        <v>1.0214075438596493</v>
      </c>
      <c r="Z100" s="486"/>
    </row>
    <row r="101" spans="1:26" x14ac:dyDescent="0.25">
      <c r="B101" s="2" t="s">
        <v>482</v>
      </c>
      <c r="C101" s="75" t="s">
        <v>305</v>
      </c>
      <c r="D101" s="292" t="s">
        <v>306</v>
      </c>
      <c r="E101" s="330">
        <v>1000</v>
      </c>
      <c r="F101" s="330">
        <f>ROUND(E101,0)</f>
        <v>1000</v>
      </c>
      <c r="G101" s="52">
        <f t="shared" si="47"/>
        <v>0</v>
      </c>
      <c r="H101" s="375"/>
      <c r="I101" s="11">
        <f>ROUND(F101,0)</f>
        <v>1000</v>
      </c>
      <c r="J101" s="52">
        <f t="shared" si="48"/>
        <v>0</v>
      </c>
      <c r="K101" s="136"/>
      <c r="L101" s="11">
        <f>ROUND(I101,0)</f>
        <v>1000</v>
      </c>
      <c r="M101" s="52">
        <f t="shared" si="49"/>
        <v>0</v>
      </c>
      <c r="N101" s="136"/>
      <c r="O101" s="11">
        <f>ROUND(L101,0)</f>
        <v>1000</v>
      </c>
      <c r="P101" s="52">
        <f t="shared" si="50"/>
        <v>0</v>
      </c>
      <c r="Q101" s="136"/>
      <c r="R101" s="11">
        <f>ROUND(O101,0)</f>
        <v>1000</v>
      </c>
      <c r="S101" s="52">
        <f t="shared" si="32"/>
        <v>0</v>
      </c>
      <c r="T101" s="136"/>
      <c r="U101" s="11">
        <f>ROUND(R101,0)</f>
        <v>1000</v>
      </c>
      <c r="V101" s="52">
        <f t="shared" si="33"/>
        <v>0</v>
      </c>
      <c r="W101" s="136"/>
      <c r="X101" s="456">
        <v>163.35</v>
      </c>
      <c r="Y101" s="206">
        <f t="shared" si="55"/>
        <v>0.16335</v>
      </c>
      <c r="Z101" s="486"/>
    </row>
    <row r="102" spans="1:26" ht="25.15" customHeight="1" x14ac:dyDescent="0.25">
      <c r="A102" s="2" t="s">
        <v>9</v>
      </c>
      <c r="B102" s="2" t="s">
        <v>128</v>
      </c>
      <c r="C102" s="67" t="s">
        <v>131</v>
      </c>
      <c r="D102" s="68" t="s">
        <v>130</v>
      </c>
      <c r="E102" s="330">
        <v>1712137</v>
      </c>
      <c r="F102" s="330">
        <f t="shared" ref="F102" si="57">SUM(F103:F105)</f>
        <v>1543755</v>
      </c>
      <c r="G102" s="11">
        <f t="shared" si="47"/>
        <v>-168382</v>
      </c>
      <c r="H102" s="380"/>
      <c r="I102" s="11">
        <f>SUM(I103:I105)</f>
        <v>1543755</v>
      </c>
      <c r="J102" s="11">
        <f t="shared" si="48"/>
        <v>0</v>
      </c>
      <c r="K102" s="144"/>
      <c r="L102" s="11">
        <f>SUM(L103:L105)</f>
        <v>1543755</v>
      </c>
      <c r="M102" s="11">
        <f t="shared" si="49"/>
        <v>0</v>
      </c>
      <c r="N102" s="144"/>
      <c r="O102" s="11">
        <f>SUM(O103:O105)</f>
        <v>2224097</v>
      </c>
      <c r="P102" s="11">
        <f t="shared" si="50"/>
        <v>680342</v>
      </c>
      <c r="Q102" s="144"/>
      <c r="R102" s="11">
        <f>SUM(R103:R105)</f>
        <v>2224097</v>
      </c>
      <c r="S102" s="11">
        <f t="shared" si="32"/>
        <v>0</v>
      </c>
      <c r="T102" s="144"/>
      <c r="U102" s="11">
        <f>SUM(U103:U105)</f>
        <v>2224097</v>
      </c>
      <c r="V102" s="11">
        <f t="shared" si="33"/>
        <v>0</v>
      </c>
      <c r="W102" s="144"/>
      <c r="X102" s="456">
        <f>SUM(X103:X105)</f>
        <v>1324711.28</v>
      </c>
      <c r="Y102" s="201">
        <f t="shared" si="55"/>
        <v>0.59561758322591152</v>
      </c>
      <c r="Z102" s="486"/>
    </row>
    <row r="103" spans="1:26" ht="28.15" customHeight="1" x14ac:dyDescent="0.25">
      <c r="A103" s="58" t="s">
        <v>215</v>
      </c>
      <c r="C103" s="75" t="s">
        <v>279</v>
      </c>
      <c r="D103" s="76" t="s">
        <v>130</v>
      </c>
      <c r="E103" s="330">
        <v>135600</v>
      </c>
      <c r="F103" s="330">
        <f>ROUND(E103,0)</f>
        <v>135600</v>
      </c>
      <c r="G103" s="52">
        <f t="shared" si="47"/>
        <v>0</v>
      </c>
      <c r="H103" s="375"/>
      <c r="I103" s="11">
        <f>ROUND(F103,0)</f>
        <v>135600</v>
      </c>
      <c r="J103" s="52">
        <f t="shared" si="48"/>
        <v>0</v>
      </c>
      <c r="K103" s="136"/>
      <c r="L103" s="11">
        <f>ROUND(I103,0)</f>
        <v>135600</v>
      </c>
      <c r="M103" s="52">
        <f t="shared" si="49"/>
        <v>0</v>
      </c>
      <c r="N103" s="136"/>
      <c r="O103" s="11">
        <f>ROUND(L103,0)</f>
        <v>135600</v>
      </c>
      <c r="P103" s="52">
        <f t="shared" si="50"/>
        <v>0</v>
      </c>
      <c r="Q103" s="144"/>
      <c r="R103" s="11">
        <f>ROUND(O103,0)</f>
        <v>135600</v>
      </c>
      <c r="S103" s="52">
        <f t="shared" si="32"/>
        <v>0</v>
      </c>
      <c r="T103" s="144"/>
      <c r="U103" s="11">
        <f>ROUND(R103,0)</f>
        <v>135600</v>
      </c>
      <c r="V103" s="52">
        <f t="shared" si="33"/>
        <v>0</v>
      </c>
      <c r="W103" s="144"/>
      <c r="X103" s="456">
        <f>33411.28+2886</f>
        <v>36297.279999999999</v>
      </c>
      <c r="Y103" s="206">
        <f t="shared" si="55"/>
        <v>0.26767905604719761</v>
      </c>
      <c r="Z103" s="486"/>
    </row>
    <row r="104" spans="1:26" ht="16.5" customHeight="1" x14ac:dyDescent="0.25">
      <c r="B104" s="2" t="s">
        <v>520</v>
      </c>
      <c r="C104" s="75" t="s">
        <v>280</v>
      </c>
      <c r="D104" s="76" t="s">
        <v>521</v>
      </c>
      <c r="E104" s="330">
        <v>2500</v>
      </c>
      <c r="F104" s="330">
        <f>ROUND(E104,0)</f>
        <v>2500</v>
      </c>
      <c r="G104" s="52">
        <f t="shared" si="47"/>
        <v>0</v>
      </c>
      <c r="H104" s="375"/>
      <c r="I104" s="11">
        <f>ROUND(F104,0)</f>
        <v>2500</v>
      </c>
      <c r="J104" s="52">
        <f t="shared" si="48"/>
        <v>0</v>
      </c>
      <c r="K104" s="136"/>
      <c r="L104" s="11">
        <f>ROUND(I104,0)</f>
        <v>2500</v>
      </c>
      <c r="M104" s="52">
        <f t="shared" si="49"/>
        <v>0</v>
      </c>
      <c r="N104" s="136"/>
      <c r="O104" s="11">
        <f>ROUND(L104,0)</f>
        <v>2500</v>
      </c>
      <c r="P104" s="52">
        <f t="shared" si="50"/>
        <v>0</v>
      </c>
      <c r="Q104" s="136"/>
      <c r="R104" s="11">
        <f>ROUND(O104,0)</f>
        <v>2500</v>
      </c>
      <c r="S104" s="52">
        <f t="shared" si="32"/>
        <v>0</v>
      </c>
      <c r="T104" s="136"/>
      <c r="U104" s="11">
        <f>ROUND(R104,0)</f>
        <v>2500</v>
      </c>
      <c r="V104" s="52">
        <f t="shared" si="33"/>
        <v>0</v>
      </c>
      <c r="W104" s="136"/>
      <c r="X104" s="456">
        <v>0</v>
      </c>
      <c r="Y104" s="206">
        <f t="shared" si="55"/>
        <v>0</v>
      </c>
      <c r="Z104" s="486"/>
    </row>
    <row r="105" spans="1:26" ht="28.9" customHeight="1" x14ac:dyDescent="0.25">
      <c r="B105" s="2" t="s">
        <v>657</v>
      </c>
      <c r="C105" s="75" t="s">
        <v>281</v>
      </c>
      <c r="D105" s="76" t="s">
        <v>307</v>
      </c>
      <c r="E105" s="330">
        <v>1574037</v>
      </c>
      <c r="F105" s="330">
        <f>ROUND(E105,0)-168382</f>
        <v>1405655</v>
      </c>
      <c r="G105" s="52">
        <f t="shared" si="47"/>
        <v>-168382</v>
      </c>
      <c r="H105" s="430" t="s">
        <v>722</v>
      </c>
      <c r="I105" s="11">
        <f>ROUND(F105,0)</f>
        <v>1405655</v>
      </c>
      <c r="J105" s="52">
        <f t="shared" si="48"/>
        <v>0</v>
      </c>
      <c r="K105" s="136"/>
      <c r="L105" s="11">
        <f>ROUND(I105,0)</f>
        <v>1405655</v>
      </c>
      <c r="M105" s="52">
        <f t="shared" si="49"/>
        <v>0</v>
      </c>
      <c r="N105" s="144"/>
      <c r="O105" s="11">
        <f>ROUND(L105,0)+680342</f>
        <v>2085997</v>
      </c>
      <c r="P105" s="52">
        <f t="shared" si="50"/>
        <v>680342</v>
      </c>
      <c r="Q105" s="144" t="s">
        <v>826</v>
      </c>
      <c r="R105" s="11">
        <f>ROUND(O105,0)</f>
        <v>2085997</v>
      </c>
      <c r="S105" s="52">
        <f t="shared" si="32"/>
        <v>0</v>
      </c>
      <c r="T105" s="144"/>
      <c r="U105" s="11">
        <f>ROUND(R105,0)</f>
        <v>2085997</v>
      </c>
      <c r="V105" s="52">
        <f t="shared" si="33"/>
        <v>0</v>
      </c>
      <c r="W105" s="144"/>
      <c r="X105" s="456">
        <v>1288414</v>
      </c>
      <c r="Y105" s="206">
        <f t="shared" si="55"/>
        <v>0.61764901867068844</v>
      </c>
      <c r="Z105" s="456" t="s">
        <v>609</v>
      </c>
    </row>
    <row r="106" spans="1:26" ht="15" customHeight="1" thickBot="1" x14ac:dyDescent="0.3">
      <c r="A106" s="2" t="s">
        <v>9</v>
      </c>
      <c r="B106" s="281" t="s">
        <v>658</v>
      </c>
      <c r="C106" s="67" t="s">
        <v>282</v>
      </c>
      <c r="D106" s="68" t="s">
        <v>523</v>
      </c>
      <c r="E106" s="330">
        <v>112621</v>
      </c>
      <c r="F106" s="330">
        <f>ROUND(E106,0)-10621</f>
        <v>102000</v>
      </c>
      <c r="G106" s="11">
        <f t="shared" si="47"/>
        <v>-10621</v>
      </c>
      <c r="H106" s="135" t="s">
        <v>680</v>
      </c>
      <c r="I106" s="11">
        <f>ROUND(F106,0)</f>
        <v>102000</v>
      </c>
      <c r="J106" s="11">
        <f t="shared" si="48"/>
        <v>0</v>
      </c>
      <c r="K106" s="127"/>
      <c r="L106" s="11">
        <f>ROUND(I106,0)</f>
        <v>102000</v>
      </c>
      <c r="M106" s="11">
        <f t="shared" si="49"/>
        <v>0</v>
      </c>
      <c r="N106" s="127"/>
      <c r="O106" s="11">
        <f>ROUND(L106,0)+5000</f>
        <v>107000</v>
      </c>
      <c r="P106" s="11">
        <f t="shared" si="50"/>
        <v>5000</v>
      </c>
      <c r="Q106" s="135" t="s">
        <v>824</v>
      </c>
      <c r="R106" s="11">
        <f>ROUND(O106,0)</f>
        <v>107000</v>
      </c>
      <c r="S106" s="11">
        <f t="shared" si="32"/>
        <v>0</v>
      </c>
      <c r="T106" s="135"/>
      <c r="U106" s="11">
        <f>ROUND(R106,0)+20000</f>
        <v>127000</v>
      </c>
      <c r="V106" s="11">
        <f t="shared" si="33"/>
        <v>20000</v>
      </c>
      <c r="W106" s="135" t="s">
        <v>911</v>
      </c>
      <c r="X106" s="456">
        <f>37471.13+151+144+26+770+576+95948+1240</f>
        <v>136326.13</v>
      </c>
      <c r="Y106" s="201">
        <f t="shared" si="55"/>
        <v>1.0734340944881891</v>
      </c>
      <c r="Z106" s="486"/>
    </row>
    <row r="107" spans="1:26" ht="15" customHeight="1" thickBot="1" x14ac:dyDescent="0.3">
      <c r="C107" s="20"/>
      <c r="D107" s="21" t="s">
        <v>132</v>
      </c>
      <c r="E107" s="339">
        <v>50914202.609999999</v>
      </c>
      <c r="F107" s="339">
        <f t="shared" ref="F107" si="58">F7+F10+F13+F16+F19+F22+F34+F37+F41+F42+F88+F91</f>
        <v>51193467</v>
      </c>
      <c r="G107" s="39">
        <f t="shared" si="47"/>
        <v>279264.3900000006</v>
      </c>
      <c r="H107" s="391"/>
      <c r="I107" s="39">
        <f>I7+I10+I13+I16+I19+I22+I34+I37+I41+I42+I88+I91</f>
        <v>51761438</v>
      </c>
      <c r="J107" s="39">
        <f t="shared" si="48"/>
        <v>567971</v>
      </c>
      <c r="K107" s="155"/>
      <c r="L107" s="39">
        <f>L7+L10+L13+L16+L19+L22+L34+L37+L41+L42+L88+L91</f>
        <v>51844623</v>
      </c>
      <c r="M107" s="39">
        <f t="shared" si="49"/>
        <v>83185</v>
      </c>
      <c r="N107" s="155"/>
      <c r="O107" s="39">
        <f>O7+O10+O13+O16+O19+O22+O34+O37+O41+O42+O88+O91</f>
        <v>52574335</v>
      </c>
      <c r="P107" s="39">
        <f t="shared" si="50"/>
        <v>729712</v>
      </c>
      <c r="Q107" s="155"/>
      <c r="R107" s="39">
        <f>R7+R10+R13+R16+R19+R22+R34+R37+R41+R42+R88+R91</f>
        <v>53088603</v>
      </c>
      <c r="S107" s="39">
        <f t="shared" si="32"/>
        <v>514268</v>
      </c>
      <c r="T107" s="155"/>
      <c r="U107" s="39">
        <f>U7+U10+U13+U16+U19+U22+U34+U37+U41+U42+U88+U91</f>
        <v>53285960</v>
      </c>
      <c r="V107" s="39">
        <f t="shared" si="33"/>
        <v>197357</v>
      </c>
      <c r="W107" s="155"/>
      <c r="X107" s="39">
        <f>X7+X10+X13+X16+X19+X22+X34+X37+X41+X42+X88+X91</f>
        <v>40193617.270000003</v>
      </c>
      <c r="Y107" s="214">
        <f t="shared" si="55"/>
        <v>0.75430033108158323</v>
      </c>
      <c r="Z107" s="464"/>
    </row>
    <row r="108" spans="1:26" ht="15.75" thickBot="1" x14ac:dyDescent="0.3">
      <c r="C108" s="77" t="s">
        <v>133</v>
      </c>
      <c r="D108" s="340" t="s">
        <v>134</v>
      </c>
      <c r="E108" s="341">
        <v>9016614.0299999993</v>
      </c>
      <c r="F108" s="341">
        <f>SUM(F109:F110)</f>
        <v>9755067</v>
      </c>
      <c r="G108" s="40">
        <f t="shared" si="47"/>
        <v>738452.97000000067</v>
      </c>
      <c r="H108" s="392"/>
      <c r="I108" s="40">
        <f>SUM(I109:I110)</f>
        <v>9755067</v>
      </c>
      <c r="J108" s="40">
        <f t="shared" si="48"/>
        <v>0</v>
      </c>
      <c r="K108" s="156"/>
      <c r="L108" s="40">
        <f>SUM(L109:L110)</f>
        <v>9755067</v>
      </c>
      <c r="M108" s="40">
        <f t="shared" si="49"/>
        <v>0</v>
      </c>
      <c r="N108" s="156"/>
      <c r="O108" s="40">
        <f>SUM(O109:O110)</f>
        <v>9755067</v>
      </c>
      <c r="P108" s="40">
        <f t="shared" si="50"/>
        <v>0</v>
      </c>
      <c r="Q108" s="156"/>
      <c r="R108" s="40">
        <f>SUM(R109:R110)</f>
        <v>9755067</v>
      </c>
      <c r="S108" s="40">
        <f t="shared" si="32"/>
        <v>0</v>
      </c>
      <c r="T108" s="156"/>
      <c r="U108" s="40">
        <f>SUM(U109:U110)</f>
        <v>9755067</v>
      </c>
      <c r="V108" s="40">
        <f t="shared" si="33"/>
        <v>0</v>
      </c>
      <c r="W108" s="156"/>
      <c r="X108" s="40">
        <f>SUM(X109:X110)</f>
        <v>9755067</v>
      </c>
      <c r="Y108" s="215">
        <f t="shared" si="55"/>
        <v>1</v>
      </c>
      <c r="Z108" s="270"/>
    </row>
    <row r="109" spans="1:26" ht="14.45" customHeight="1" x14ac:dyDescent="0.25">
      <c r="C109" s="67" t="s">
        <v>135</v>
      </c>
      <c r="D109" s="68" t="s">
        <v>136</v>
      </c>
      <c r="E109" s="330">
        <v>2707710.83</v>
      </c>
      <c r="F109" s="330">
        <f>ROUND(E109,0)+104970+230-1+750-1034+19357+1832+41+1093+13000+168382+10621+3808+904+17685+76439+38150+31285</f>
        <v>3195223</v>
      </c>
      <c r="G109" s="11">
        <f t="shared" si="47"/>
        <v>487512.16999999993</v>
      </c>
      <c r="H109" s="402" t="s">
        <v>711</v>
      </c>
      <c r="I109" s="11">
        <f>ROUND(F109,0)</f>
        <v>3195223</v>
      </c>
      <c r="J109" s="11">
        <f t="shared" si="48"/>
        <v>0</v>
      </c>
      <c r="K109" s="135"/>
      <c r="L109" s="11">
        <f>ROUND(I109,0)</f>
        <v>3195223</v>
      </c>
      <c r="M109" s="11">
        <f t="shared" si="49"/>
        <v>0</v>
      </c>
      <c r="N109" s="135"/>
      <c r="O109" s="11">
        <f>ROUND(L109,0)</f>
        <v>3195223</v>
      </c>
      <c r="P109" s="11">
        <f t="shared" si="50"/>
        <v>0</v>
      </c>
      <c r="Q109" s="135"/>
      <c r="R109" s="11">
        <f>ROUND(O109,0)</f>
        <v>3195223</v>
      </c>
      <c r="S109" s="11">
        <f t="shared" si="32"/>
        <v>0</v>
      </c>
      <c r="T109" s="135"/>
      <c r="U109" s="11">
        <f>ROUND(R109,0)</f>
        <v>3195223</v>
      </c>
      <c r="V109" s="11">
        <f t="shared" si="33"/>
        <v>0</v>
      </c>
      <c r="W109" s="135"/>
      <c r="X109" s="456">
        <v>3195223</v>
      </c>
      <c r="Y109" s="201">
        <f t="shared" si="55"/>
        <v>1</v>
      </c>
      <c r="Z109" s="486"/>
    </row>
    <row r="110" spans="1:26" x14ac:dyDescent="0.25">
      <c r="C110" s="67" t="s">
        <v>137</v>
      </c>
      <c r="D110" s="68" t="s">
        <v>138</v>
      </c>
      <c r="E110" s="330">
        <v>6308903</v>
      </c>
      <c r="F110" s="330">
        <f>ROUND(E110,0)+3445956+208-F109</f>
        <v>6559844</v>
      </c>
      <c r="G110" s="11">
        <f t="shared" si="47"/>
        <v>250941</v>
      </c>
      <c r="H110" s="366"/>
      <c r="I110" s="11">
        <f>ROUND(F110,0)</f>
        <v>6559844</v>
      </c>
      <c r="J110" s="11">
        <f t="shared" si="48"/>
        <v>0</v>
      </c>
      <c r="K110" s="127"/>
      <c r="L110" s="11">
        <f>ROUND(I110,0)</f>
        <v>6559844</v>
      </c>
      <c r="M110" s="11">
        <f t="shared" si="49"/>
        <v>0</v>
      </c>
      <c r="N110" s="127"/>
      <c r="O110" s="11">
        <f>ROUND(L110,0)</f>
        <v>6559844</v>
      </c>
      <c r="P110" s="11">
        <f t="shared" si="50"/>
        <v>0</v>
      </c>
      <c r="Q110" s="127"/>
      <c r="R110" s="11">
        <f>ROUND(O110,0)</f>
        <v>6559844</v>
      </c>
      <c r="S110" s="11">
        <f t="shared" si="32"/>
        <v>0</v>
      </c>
      <c r="T110" s="127"/>
      <c r="U110" s="11">
        <f>ROUND(R110,0)</f>
        <v>6559844</v>
      </c>
      <c r="V110" s="11">
        <f t="shared" si="33"/>
        <v>0</v>
      </c>
      <c r="W110" s="127"/>
      <c r="X110" s="456">
        <v>6559844</v>
      </c>
      <c r="Y110" s="201">
        <f t="shared" si="55"/>
        <v>1</v>
      </c>
      <c r="Z110" s="486"/>
    </row>
    <row r="111" spans="1:26" x14ac:dyDescent="0.25">
      <c r="C111" s="73" t="s">
        <v>139</v>
      </c>
      <c r="D111" s="319" t="s">
        <v>140</v>
      </c>
      <c r="E111" s="342">
        <v>1873161</v>
      </c>
      <c r="F111" s="342">
        <f>SUM(F112:F123)</f>
        <v>1917782</v>
      </c>
      <c r="G111" s="13">
        <f t="shared" si="47"/>
        <v>44621</v>
      </c>
      <c r="H111" s="368"/>
      <c r="I111" s="55">
        <f>SUM(I112:I123)</f>
        <v>1941929</v>
      </c>
      <c r="J111" s="13">
        <f t="shared" si="48"/>
        <v>24147</v>
      </c>
      <c r="K111" s="129"/>
      <c r="L111" s="55">
        <f>SUM(L112:L123)</f>
        <v>1941929</v>
      </c>
      <c r="M111" s="13">
        <f t="shared" si="49"/>
        <v>0</v>
      </c>
      <c r="N111" s="129"/>
      <c r="O111" s="55">
        <f>SUM(O112:O123)</f>
        <v>1941929</v>
      </c>
      <c r="P111" s="13">
        <f t="shared" si="50"/>
        <v>0</v>
      </c>
      <c r="Q111" s="129"/>
      <c r="R111" s="55">
        <f>SUM(R112:R123)</f>
        <v>1913234</v>
      </c>
      <c r="S111" s="13">
        <f t="shared" si="32"/>
        <v>-28695</v>
      </c>
      <c r="T111" s="129"/>
      <c r="U111" s="55">
        <f>SUM(U112:U123)</f>
        <v>1913234</v>
      </c>
      <c r="V111" s="13">
        <f t="shared" si="33"/>
        <v>0</v>
      </c>
      <c r="W111" s="129"/>
      <c r="X111" s="542">
        <f>SUM(X112:X123)</f>
        <v>70310.559999999998</v>
      </c>
      <c r="Y111" s="221">
        <f t="shared" si="55"/>
        <v>3.6749587347914579E-2</v>
      </c>
      <c r="Z111" s="542" t="s">
        <v>608</v>
      </c>
    </row>
    <row r="112" spans="1:26" ht="45" hidden="1" outlineLevel="1" x14ac:dyDescent="0.25">
      <c r="A112" s="58"/>
      <c r="B112" s="58"/>
      <c r="C112" s="109" t="s">
        <v>497</v>
      </c>
      <c r="D112" s="301" t="s">
        <v>484</v>
      </c>
      <c r="E112" s="336">
        <v>0</v>
      </c>
      <c r="F112" s="336">
        <f t="shared" ref="F112:F123" si="59">ROUND(E112,0)</f>
        <v>0</v>
      </c>
      <c r="G112" s="157">
        <f t="shared" si="47"/>
        <v>0</v>
      </c>
      <c r="H112" s="393"/>
      <c r="I112" s="91">
        <f t="shared" ref="I112:I123" si="60">ROUND(F112,0)</f>
        <v>0</v>
      </c>
      <c r="J112" s="157">
        <f t="shared" si="48"/>
        <v>0</v>
      </c>
      <c r="K112" s="158"/>
      <c r="L112" s="91">
        <f t="shared" ref="L112:L117" si="61">ROUND(I112,0)</f>
        <v>0</v>
      </c>
      <c r="M112" s="157">
        <f t="shared" si="49"/>
        <v>0</v>
      </c>
      <c r="N112" s="158"/>
      <c r="O112" s="91">
        <f t="shared" ref="O112:O121" si="62">ROUND(L112,0)</f>
        <v>0</v>
      </c>
      <c r="P112" s="157">
        <f t="shared" si="50"/>
        <v>0</v>
      </c>
      <c r="Q112" s="158"/>
      <c r="R112" s="91">
        <f t="shared" ref="R112:R121" si="63">ROUND(O112,0)</f>
        <v>0</v>
      </c>
      <c r="S112" s="157">
        <f t="shared" si="32"/>
        <v>0</v>
      </c>
      <c r="T112" s="158"/>
      <c r="U112" s="91">
        <f>ROUND(R112,0)</f>
        <v>0</v>
      </c>
      <c r="V112" s="157">
        <f t="shared" si="33"/>
        <v>0</v>
      </c>
      <c r="W112" s="158"/>
      <c r="X112" s="91">
        <f>ROUND(H112,0)</f>
        <v>0</v>
      </c>
      <c r="Y112" s="216" t="e">
        <f t="shared" si="55"/>
        <v>#DIV/0!</v>
      </c>
      <c r="Z112" s="465"/>
    </row>
    <row r="113" spans="1:26" hidden="1" outlineLevel="1" x14ac:dyDescent="0.25">
      <c r="A113" s="58"/>
      <c r="B113" s="58"/>
      <c r="C113" s="109" t="s">
        <v>498</v>
      </c>
      <c r="D113" s="301" t="s">
        <v>345</v>
      </c>
      <c r="E113" s="336">
        <v>0</v>
      </c>
      <c r="F113" s="336">
        <f t="shared" si="59"/>
        <v>0</v>
      </c>
      <c r="G113" s="157">
        <f t="shared" si="47"/>
        <v>0</v>
      </c>
      <c r="H113" s="393"/>
      <c r="I113" s="91">
        <f t="shared" si="60"/>
        <v>0</v>
      </c>
      <c r="J113" s="157">
        <f t="shared" si="48"/>
        <v>0</v>
      </c>
      <c r="K113" s="158"/>
      <c r="L113" s="91">
        <f t="shared" si="61"/>
        <v>0</v>
      </c>
      <c r="M113" s="157">
        <f t="shared" si="49"/>
        <v>0</v>
      </c>
      <c r="N113" s="158"/>
      <c r="O113" s="91">
        <f t="shared" si="62"/>
        <v>0</v>
      </c>
      <c r="P113" s="157">
        <f t="shared" si="50"/>
        <v>0</v>
      </c>
      <c r="Q113" s="158"/>
      <c r="R113" s="91">
        <f t="shared" si="63"/>
        <v>0</v>
      </c>
      <c r="S113" s="157">
        <f t="shared" si="32"/>
        <v>0</v>
      </c>
      <c r="T113" s="158"/>
      <c r="U113" s="91">
        <f>ROUND(R113,0)</f>
        <v>0</v>
      </c>
      <c r="V113" s="157">
        <f t="shared" si="33"/>
        <v>0</v>
      </c>
      <c r="W113" s="158"/>
      <c r="X113" s="91">
        <f>ROUND(H113,0)</f>
        <v>0</v>
      </c>
      <c r="Y113" s="216" t="e">
        <f t="shared" si="55"/>
        <v>#DIV/0!</v>
      </c>
      <c r="Z113" s="465"/>
    </row>
    <row r="114" spans="1:26" ht="30.6" customHeight="1" collapsed="1" x14ac:dyDescent="0.25">
      <c r="A114" s="58" t="s">
        <v>717</v>
      </c>
      <c r="B114" s="58"/>
      <c r="C114" s="109" t="s">
        <v>497</v>
      </c>
      <c r="D114" s="301" t="s">
        <v>664</v>
      </c>
      <c r="E114" s="336">
        <v>541742</v>
      </c>
      <c r="F114" s="336">
        <f t="shared" si="59"/>
        <v>541742</v>
      </c>
      <c r="G114" s="157">
        <f t="shared" si="47"/>
        <v>0</v>
      </c>
      <c r="H114" s="393"/>
      <c r="I114" s="91">
        <f t="shared" si="60"/>
        <v>541742</v>
      </c>
      <c r="J114" s="157">
        <f t="shared" si="48"/>
        <v>0</v>
      </c>
      <c r="K114" s="158"/>
      <c r="L114" s="91">
        <f t="shared" si="61"/>
        <v>541742</v>
      </c>
      <c r="M114" s="157">
        <f t="shared" si="49"/>
        <v>0</v>
      </c>
      <c r="N114" s="158"/>
      <c r="O114" s="91">
        <f t="shared" si="62"/>
        <v>541742</v>
      </c>
      <c r="P114" s="157">
        <f t="shared" si="50"/>
        <v>0</v>
      </c>
      <c r="Q114" s="158"/>
      <c r="R114" s="91">
        <f>ROUND(O114,0)-28695</f>
        <v>513047</v>
      </c>
      <c r="S114" s="157">
        <f t="shared" si="32"/>
        <v>-28695</v>
      </c>
      <c r="T114" s="158" t="s">
        <v>870</v>
      </c>
      <c r="U114" s="91">
        <f>ROUND(R114,0)</f>
        <v>513047</v>
      </c>
      <c r="V114" s="157">
        <f t="shared" si="33"/>
        <v>0</v>
      </c>
      <c r="W114" s="158"/>
      <c r="X114" s="456">
        <v>0</v>
      </c>
      <c r="Y114" s="216">
        <f t="shared" si="55"/>
        <v>0</v>
      </c>
      <c r="Z114" s="465"/>
    </row>
    <row r="115" spans="1:26" ht="30" x14ac:dyDescent="0.25">
      <c r="A115" s="58" t="s">
        <v>453</v>
      </c>
      <c r="B115" s="58" t="s">
        <v>457</v>
      </c>
      <c r="C115" s="109" t="s">
        <v>498</v>
      </c>
      <c r="D115" s="304" t="s">
        <v>495</v>
      </c>
      <c r="E115" s="330">
        <v>353405</v>
      </c>
      <c r="F115" s="330">
        <f>ROUND(E115,0)-3420</f>
        <v>349985</v>
      </c>
      <c r="G115" s="159">
        <f t="shared" si="47"/>
        <v>-3420</v>
      </c>
      <c r="H115" s="426" t="s">
        <v>701</v>
      </c>
      <c r="I115" s="11">
        <f t="shared" si="60"/>
        <v>349985</v>
      </c>
      <c r="J115" s="159">
        <f t="shared" si="48"/>
        <v>0</v>
      </c>
      <c r="K115" s="160"/>
      <c r="L115" s="11">
        <f t="shared" si="61"/>
        <v>349985</v>
      </c>
      <c r="M115" s="159">
        <f t="shared" si="49"/>
        <v>0</v>
      </c>
      <c r="N115" s="160"/>
      <c r="O115" s="11">
        <f t="shared" si="62"/>
        <v>349985</v>
      </c>
      <c r="P115" s="159">
        <f t="shared" si="50"/>
        <v>0</v>
      </c>
      <c r="Q115" s="160"/>
      <c r="R115" s="11">
        <f t="shared" si="63"/>
        <v>349985</v>
      </c>
      <c r="S115" s="159">
        <f t="shared" si="32"/>
        <v>0</v>
      </c>
      <c r="T115" s="160"/>
      <c r="U115" s="11">
        <f t="shared" ref="U115:U121" si="64">ROUND(R115,0)</f>
        <v>349985</v>
      </c>
      <c r="V115" s="159">
        <f t="shared" si="33"/>
        <v>0</v>
      </c>
      <c r="W115" s="160"/>
      <c r="X115" s="456">
        <v>0</v>
      </c>
      <c r="Y115" s="217">
        <f t="shared" si="55"/>
        <v>0</v>
      </c>
      <c r="Z115" s="466"/>
    </row>
    <row r="116" spans="1:26" ht="16.899999999999999" hidden="1" customHeight="1" outlineLevel="1" x14ac:dyDescent="0.25">
      <c r="A116" s="58"/>
      <c r="B116" s="58"/>
      <c r="C116" s="109" t="s">
        <v>501</v>
      </c>
      <c r="D116" s="304"/>
      <c r="E116" s="336">
        <v>0</v>
      </c>
      <c r="F116" s="336">
        <f t="shared" si="59"/>
        <v>0</v>
      </c>
      <c r="G116" s="157">
        <f t="shared" si="47"/>
        <v>0</v>
      </c>
      <c r="H116" s="262"/>
      <c r="I116" s="91">
        <f t="shared" si="60"/>
        <v>0</v>
      </c>
      <c r="J116" s="157">
        <f t="shared" si="48"/>
        <v>0</v>
      </c>
      <c r="K116" s="161"/>
      <c r="L116" s="91">
        <f t="shared" si="61"/>
        <v>0</v>
      </c>
      <c r="M116" s="157">
        <f t="shared" si="49"/>
        <v>0</v>
      </c>
      <c r="N116" s="161"/>
      <c r="O116" s="91">
        <f t="shared" si="62"/>
        <v>0</v>
      </c>
      <c r="P116" s="157">
        <f t="shared" si="50"/>
        <v>0</v>
      </c>
      <c r="Q116" s="161"/>
      <c r="R116" s="91">
        <f t="shared" si="63"/>
        <v>0</v>
      </c>
      <c r="S116" s="157">
        <f t="shared" si="32"/>
        <v>0</v>
      </c>
      <c r="T116" s="161"/>
      <c r="U116" s="91">
        <f t="shared" si="64"/>
        <v>0</v>
      </c>
      <c r="V116" s="157">
        <f t="shared" si="33"/>
        <v>0</v>
      </c>
      <c r="W116" s="161"/>
      <c r="X116" s="456"/>
      <c r="Y116" s="217" t="e">
        <f t="shared" si="55"/>
        <v>#DIV/0!</v>
      </c>
      <c r="Z116" s="466"/>
    </row>
    <row r="117" spans="1:26" hidden="1" outlineLevel="1" x14ac:dyDescent="0.25">
      <c r="B117" s="58"/>
      <c r="C117" s="109" t="s">
        <v>502</v>
      </c>
      <c r="D117" s="304" t="s">
        <v>473</v>
      </c>
      <c r="E117" s="197">
        <v>0</v>
      </c>
      <c r="F117" s="197">
        <f t="shared" si="59"/>
        <v>0</v>
      </c>
      <c r="G117" s="162">
        <f t="shared" si="47"/>
        <v>0</v>
      </c>
      <c r="H117" s="432"/>
      <c r="I117" s="92">
        <f>ROUND(F117,0)</f>
        <v>0</v>
      </c>
      <c r="J117" s="162">
        <f t="shared" si="48"/>
        <v>0</v>
      </c>
      <c r="K117" s="158"/>
      <c r="L117" s="92">
        <f t="shared" si="61"/>
        <v>0</v>
      </c>
      <c r="M117" s="162">
        <f t="shared" si="49"/>
        <v>0</v>
      </c>
      <c r="N117" s="158"/>
      <c r="O117" s="92">
        <f t="shared" si="62"/>
        <v>0</v>
      </c>
      <c r="P117" s="162">
        <f t="shared" si="50"/>
        <v>0</v>
      </c>
      <c r="Q117" s="158"/>
      <c r="R117" s="92">
        <f t="shared" si="63"/>
        <v>0</v>
      </c>
      <c r="S117" s="162">
        <f t="shared" si="32"/>
        <v>0</v>
      </c>
      <c r="T117" s="158"/>
      <c r="U117" s="92">
        <f t="shared" si="64"/>
        <v>0</v>
      </c>
      <c r="V117" s="162">
        <f t="shared" si="33"/>
        <v>0</v>
      </c>
      <c r="W117" s="158"/>
      <c r="X117" s="456"/>
      <c r="Y117" s="217" t="e">
        <f t="shared" si="55"/>
        <v>#DIV/0!</v>
      </c>
      <c r="Z117" s="466"/>
    </row>
    <row r="118" spans="1:26" ht="42" customHeight="1" collapsed="1" x14ac:dyDescent="0.25">
      <c r="A118" s="58" t="s">
        <v>318</v>
      </c>
      <c r="B118" s="58"/>
      <c r="C118" s="109" t="s">
        <v>499</v>
      </c>
      <c r="D118" s="307" t="s">
        <v>488</v>
      </c>
      <c r="E118" s="308">
        <v>30982</v>
      </c>
      <c r="F118" s="197">
        <f>ROUND(E118,0)+48041</f>
        <v>79023</v>
      </c>
      <c r="G118" s="162">
        <f t="shared" si="47"/>
        <v>48041</v>
      </c>
      <c r="H118" s="433" t="s">
        <v>697</v>
      </c>
      <c r="I118" s="92">
        <f t="shared" si="60"/>
        <v>79023</v>
      </c>
      <c r="J118" s="162">
        <f t="shared" si="48"/>
        <v>0</v>
      </c>
      <c r="K118" s="158"/>
      <c r="L118" s="92">
        <f t="shared" ref="L118:L123" si="65">ROUND(I118,0)</f>
        <v>79023</v>
      </c>
      <c r="M118" s="162">
        <f t="shared" si="49"/>
        <v>0</v>
      </c>
      <c r="N118" s="161"/>
      <c r="O118" s="92">
        <f t="shared" si="62"/>
        <v>79023</v>
      </c>
      <c r="P118" s="162">
        <f t="shared" si="50"/>
        <v>0</v>
      </c>
      <c r="Q118" s="161"/>
      <c r="R118" s="92">
        <f t="shared" si="63"/>
        <v>79023</v>
      </c>
      <c r="S118" s="162">
        <f t="shared" si="32"/>
        <v>0</v>
      </c>
      <c r="T118" s="161"/>
      <c r="U118" s="92">
        <f t="shared" si="64"/>
        <v>79023</v>
      </c>
      <c r="V118" s="162">
        <f t="shared" si="33"/>
        <v>0</v>
      </c>
      <c r="W118" s="161"/>
      <c r="X118" s="456">
        <f>69236.56+1074</f>
        <v>70310.559999999998</v>
      </c>
      <c r="Y118" s="217">
        <f t="shared" si="55"/>
        <v>0.88974804803664753</v>
      </c>
      <c r="Z118" s="271"/>
    </row>
    <row r="119" spans="1:26" ht="57.6" customHeight="1" x14ac:dyDescent="0.25">
      <c r="A119" s="58" t="s">
        <v>318</v>
      </c>
      <c r="B119" s="58"/>
      <c r="C119" s="109" t="s">
        <v>500</v>
      </c>
      <c r="D119" s="303" t="s">
        <v>642</v>
      </c>
      <c r="E119" s="483">
        <v>783000</v>
      </c>
      <c r="F119" s="484">
        <f t="shared" si="59"/>
        <v>783000</v>
      </c>
      <c r="G119" s="425">
        <f t="shared" si="47"/>
        <v>0</v>
      </c>
      <c r="H119" s="383"/>
      <c r="I119" s="92">
        <f t="shared" si="60"/>
        <v>783000</v>
      </c>
      <c r="J119" s="162">
        <f t="shared" si="48"/>
        <v>0</v>
      </c>
      <c r="K119" s="158"/>
      <c r="L119" s="92">
        <f t="shared" si="65"/>
        <v>783000</v>
      </c>
      <c r="M119" s="162">
        <f t="shared" si="49"/>
        <v>0</v>
      </c>
      <c r="N119" s="161"/>
      <c r="O119" s="92">
        <f t="shared" si="62"/>
        <v>783000</v>
      </c>
      <c r="P119" s="162">
        <f t="shared" si="50"/>
        <v>0</v>
      </c>
      <c r="Q119" s="161"/>
      <c r="R119" s="92">
        <f t="shared" si="63"/>
        <v>783000</v>
      </c>
      <c r="S119" s="162">
        <f t="shared" si="32"/>
        <v>0</v>
      </c>
      <c r="T119" s="161"/>
      <c r="U119" s="92">
        <f t="shared" si="64"/>
        <v>783000</v>
      </c>
      <c r="V119" s="162">
        <f t="shared" si="33"/>
        <v>0</v>
      </c>
      <c r="W119" s="161"/>
      <c r="X119" s="456">
        <v>0</v>
      </c>
      <c r="Y119" s="217">
        <f t="shared" si="55"/>
        <v>0</v>
      </c>
      <c r="Z119" s="192" t="s">
        <v>892</v>
      </c>
    </row>
    <row r="120" spans="1:26" ht="16.149999999999999" customHeight="1" x14ac:dyDescent="0.25">
      <c r="B120" s="58" t="s">
        <v>639</v>
      </c>
      <c r="C120" s="109" t="s">
        <v>501</v>
      </c>
      <c r="D120" s="303" t="s">
        <v>542</v>
      </c>
      <c r="E120" s="483">
        <v>164032</v>
      </c>
      <c r="F120" s="484">
        <f t="shared" si="59"/>
        <v>164032</v>
      </c>
      <c r="G120" s="122">
        <f t="shared" si="47"/>
        <v>0</v>
      </c>
      <c r="H120" s="434"/>
      <c r="I120" s="92">
        <f>ROUND(F120,0)+24147</f>
        <v>188179</v>
      </c>
      <c r="J120" s="452">
        <f t="shared" si="48"/>
        <v>24147</v>
      </c>
      <c r="K120" s="158" t="s">
        <v>770</v>
      </c>
      <c r="L120" s="481">
        <f t="shared" si="65"/>
        <v>188179</v>
      </c>
      <c r="M120" s="452">
        <f t="shared" si="49"/>
        <v>0</v>
      </c>
      <c r="N120" s="153"/>
      <c r="O120" s="452">
        <f t="shared" si="62"/>
        <v>188179</v>
      </c>
      <c r="P120" s="452">
        <f t="shared" si="50"/>
        <v>0</v>
      </c>
      <c r="Q120" s="161"/>
      <c r="R120" s="92">
        <f t="shared" si="63"/>
        <v>188179</v>
      </c>
      <c r="S120" s="452">
        <f t="shared" si="32"/>
        <v>0</v>
      </c>
      <c r="T120" s="161"/>
      <c r="U120" s="92">
        <f t="shared" si="64"/>
        <v>188179</v>
      </c>
      <c r="V120" s="452">
        <f t="shared" si="33"/>
        <v>0</v>
      </c>
      <c r="W120" s="161"/>
      <c r="X120" s="456">
        <v>0</v>
      </c>
      <c r="Y120" s="217">
        <f t="shared" si="55"/>
        <v>0</v>
      </c>
      <c r="Z120" s="192" t="s">
        <v>772</v>
      </c>
    </row>
    <row r="121" spans="1:26" ht="18.600000000000001" hidden="1" customHeight="1" outlineLevel="1" x14ac:dyDescent="0.25">
      <c r="B121" s="58"/>
      <c r="C121" s="109" t="s">
        <v>539</v>
      </c>
      <c r="D121" s="303" t="s">
        <v>543</v>
      </c>
      <c r="E121" s="305">
        <v>0</v>
      </c>
      <c r="F121" s="450">
        <f t="shared" si="59"/>
        <v>0</v>
      </c>
      <c r="G121" s="424">
        <f t="shared" si="47"/>
        <v>0</v>
      </c>
      <c r="H121" s="432"/>
      <c r="I121" s="92">
        <f t="shared" si="60"/>
        <v>0</v>
      </c>
      <c r="J121" s="162">
        <f t="shared" si="48"/>
        <v>0</v>
      </c>
      <c r="K121" s="158"/>
      <c r="L121" s="92">
        <f t="shared" si="65"/>
        <v>0</v>
      </c>
      <c r="M121" s="162">
        <f t="shared" si="49"/>
        <v>0</v>
      </c>
      <c r="N121" s="478"/>
      <c r="O121" s="92">
        <f t="shared" si="62"/>
        <v>0</v>
      </c>
      <c r="P121" s="162">
        <f t="shared" si="50"/>
        <v>0</v>
      </c>
      <c r="Q121" s="161"/>
      <c r="R121" s="92">
        <f t="shared" si="63"/>
        <v>0</v>
      </c>
      <c r="S121" s="162">
        <f t="shared" si="32"/>
        <v>0</v>
      </c>
      <c r="T121" s="161"/>
      <c r="U121" s="92">
        <f t="shared" si="64"/>
        <v>0</v>
      </c>
      <c r="V121" s="162">
        <f t="shared" si="33"/>
        <v>0</v>
      </c>
      <c r="W121" s="161"/>
      <c r="X121" s="12">
        <f>ROUND(H121,0)</f>
        <v>0</v>
      </c>
      <c r="Y121" s="217" t="e">
        <f t="shared" ref="Y121:Y124" si="66">X121/U121</f>
        <v>#DIV/0!</v>
      </c>
      <c r="Z121" s="466"/>
    </row>
    <row r="122" spans="1:26" ht="27.6" hidden="1" customHeight="1" outlineLevel="1" x14ac:dyDescent="0.25">
      <c r="B122" s="58"/>
      <c r="C122" s="119" t="s">
        <v>540</v>
      </c>
      <c r="D122" s="517" t="s">
        <v>489</v>
      </c>
      <c r="E122" s="305">
        <v>0</v>
      </c>
      <c r="F122" s="197">
        <f t="shared" si="59"/>
        <v>0</v>
      </c>
      <c r="G122" s="162">
        <f t="shared" si="47"/>
        <v>0</v>
      </c>
      <c r="H122" s="432"/>
      <c r="I122" s="92">
        <f t="shared" si="60"/>
        <v>0</v>
      </c>
      <c r="J122" s="162">
        <f t="shared" si="48"/>
        <v>0</v>
      </c>
      <c r="K122" s="158"/>
      <c r="L122" s="92"/>
      <c r="M122" s="162"/>
      <c r="N122" s="479"/>
      <c r="O122" s="92">
        <f>ROUND(L122,0)</f>
        <v>0</v>
      </c>
      <c r="P122" s="162">
        <f t="shared" si="50"/>
        <v>0</v>
      </c>
      <c r="Q122" s="161"/>
      <c r="R122" s="92">
        <f>ROUND(O122,0)</f>
        <v>0</v>
      </c>
      <c r="S122" s="162">
        <f t="shared" si="32"/>
        <v>0</v>
      </c>
      <c r="T122" s="161"/>
      <c r="U122" s="92">
        <f>ROUND(R122,0)</f>
        <v>0</v>
      </c>
      <c r="V122" s="162">
        <f t="shared" si="33"/>
        <v>0</v>
      </c>
      <c r="W122" s="161"/>
      <c r="X122" s="12">
        <f>ROUND(H122,0)</f>
        <v>0</v>
      </c>
      <c r="Y122" s="217" t="e">
        <f t="shared" si="66"/>
        <v>#DIV/0!</v>
      </c>
      <c r="Z122" s="466"/>
    </row>
    <row r="123" spans="1:26" ht="28.9" hidden="1" customHeight="1" outlineLevel="1" x14ac:dyDescent="0.25">
      <c r="B123" s="58"/>
      <c r="C123" s="191" t="s">
        <v>541</v>
      </c>
      <c r="D123" s="518" t="s">
        <v>544</v>
      </c>
      <c r="E123" s="198">
        <v>0</v>
      </c>
      <c r="F123" s="197">
        <f t="shared" si="59"/>
        <v>0</v>
      </c>
      <c r="G123" s="162">
        <f t="shared" si="47"/>
        <v>0</v>
      </c>
      <c r="H123" s="432"/>
      <c r="I123" s="92">
        <f t="shared" si="60"/>
        <v>0</v>
      </c>
      <c r="J123" s="162">
        <f t="shared" si="48"/>
        <v>0</v>
      </c>
      <c r="K123" s="158"/>
      <c r="L123" s="92">
        <f t="shared" si="65"/>
        <v>0</v>
      </c>
      <c r="M123" s="162">
        <f t="shared" si="49"/>
        <v>0</v>
      </c>
      <c r="N123" s="143"/>
      <c r="O123" s="92">
        <f>ROUND(L123,0)</f>
        <v>0</v>
      </c>
      <c r="P123" s="162">
        <f t="shared" si="50"/>
        <v>0</v>
      </c>
      <c r="Q123" s="161"/>
      <c r="R123" s="92">
        <f>ROUND(O123,0)</f>
        <v>0</v>
      </c>
      <c r="S123" s="162">
        <f t="shared" si="32"/>
        <v>0</v>
      </c>
      <c r="T123" s="161"/>
      <c r="U123" s="92">
        <f>ROUND(R123,0)</f>
        <v>0</v>
      </c>
      <c r="V123" s="162">
        <f t="shared" si="33"/>
        <v>0</v>
      </c>
      <c r="W123" s="161"/>
      <c r="X123" s="12">
        <f>ROUND(H123,0)</f>
        <v>0</v>
      </c>
      <c r="Y123" s="217" t="e">
        <f t="shared" si="66"/>
        <v>#DIV/0!</v>
      </c>
      <c r="Z123" s="466"/>
    </row>
    <row r="124" spans="1:26" ht="15.75" collapsed="1" thickBot="1" x14ac:dyDescent="0.3">
      <c r="C124" s="56"/>
      <c r="D124" s="325" t="s">
        <v>141</v>
      </c>
      <c r="E124" s="341">
        <v>61803977.640000001</v>
      </c>
      <c r="F124" s="341">
        <f t="shared" ref="F124" si="67">F107+F108+F111</f>
        <v>62866316</v>
      </c>
      <c r="G124" s="40">
        <f t="shared" si="47"/>
        <v>1062338.3599999994</v>
      </c>
      <c r="H124" s="394"/>
      <c r="I124" s="40">
        <f>I107+I108+I111</f>
        <v>63458434</v>
      </c>
      <c r="J124" s="40">
        <f t="shared" si="48"/>
        <v>592118</v>
      </c>
      <c r="K124" s="163"/>
      <c r="L124" s="40">
        <f>L107+L108+L111</f>
        <v>63541619</v>
      </c>
      <c r="M124" s="40">
        <f t="shared" si="49"/>
        <v>83185</v>
      </c>
      <c r="N124" s="163"/>
      <c r="O124" s="40">
        <f>O107+O108+O111</f>
        <v>64271331</v>
      </c>
      <c r="P124" s="40">
        <f t="shared" si="50"/>
        <v>729712</v>
      </c>
      <c r="Q124" s="163"/>
      <c r="R124" s="40">
        <f>R107+R108+R111</f>
        <v>64756904</v>
      </c>
      <c r="S124" s="40">
        <f t="shared" si="32"/>
        <v>485573</v>
      </c>
      <c r="T124" s="163"/>
      <c r="U124" s="40">
        <f>U107+U108+U111</f>
        <v>64954261</v>
      </c>
      <c r="V124" s="40">
        <f t="shared" si="33"/>
        <v>197357</v>
      </c>
      <c r="W124" s="163"/>
      <c r="X124" s="40">
        <f>X107+X108+X111</f>
        <v>50018994.830000006</v>
      </c>
      <c r="Y124" s="218">
        <f t="shared" si="66"/>
        <v>0.77006487426590853</v>
      </c>
      <c r="Z124" s="270"/>
    </row>
    <row r="126" spans="1:26" x14ac:dyDescent="0.25">
      <c r="G126" s="38"/>
      <c r="I126" s="38"/>
      <c r="J126" s="38"/>
      <c r="L126" s="38"/>
      <c r="M126" s="38"/>
      <c r="O126" s="38"/>
      <c r="P126" s="38"/>
      <c r="R126" s="38"/>
      <c r="S126" s="38"/>
      <c r="U126" s="38"/>
      <c r="V126" s="38"/>
      <c r="X126" s="266"/>
      <c r="Z126" s="113"/>
    </row>
    <row r="127" spans="1:26" ht="20.25" x14ac:dyDescent="0.3">
      <c r="C127" s="577" t="s">
        <v>142</v>
      </c>
      <c r="D127" s="577"/>
      <c r="G127" s="38"/>
      <c r="I127" s="38"/>
      <c r="J127" s="38"/>
      <c r="L127" s="38"/>
      <c r="M127" s="38"/>
      <c r="O127" s="38"/>
      <c r="P127" s="38"/>
      <c r="R127" s="38"/>
      <c r="S127" s="38"/>
      <c r="U127" s="38"/>
      <c r="V127" s="38"/>
      <c r="X127" s="266"/>
      <c r="Z127" s="113"/>
    </row>
    <row r="128" spans="1:26" ht="15.75" thickBot="1" x14ac:dyDescent="0.3">
      <c r="C128" s="578"/>
      <c r="D128" s="578"/>
      <c r="G128" s="45"/>
      <c r="I128" s="45"/>
      <c r="J128" s="45"/>
      <c r="L128" s="45"/>
      <c r="M128" s="45"/>
      <c r="O128" s="45"/>
      <c r="P128" s="45"/>
      <c r="R128" s="45"/>
      <c r="S128" s="45"/>
      <c r="U128" s="45"/>
      <c r="V128" s="45"/>
      <c r="X128" s="272"/>
      <c r="Z128" s="115"/>
    </row>
    <row r="129" spans="2:26" ht="57" customHeight="1" thickBot="1" x14ac:dyDescent="0.3">
      <c r="C129" s="6" t="s">
        <v>1</v>
      </c>
      <c r="D129" s="7" t="s">
        <v>2</v>
      </c>
      <c r="E129" s="343" t="s">
        <v>668</v>
      </c>
      <c r="F129" s="343" t="s">
        <v>677</v>
      </c>
      <c r="G129" s="43" t="s">
        <v>552</v>
      </c>
      <c r="H129" s="363" t="s">
        <v>3</v>
      </c>
      <c r="I129" s="43" t="s">
        <v>768</v>
      </c>
      <c r="J129" s="43" t="s">
        <v>743</v>
      </c>
      <c r="K129" s="46" t="s">
        <v>3</v>
      </c>
      <c r="L129" s="43" t="s">
        <v>791</v>
      </c>
      <c r="M129" s="43" t="s">
        <v>792</v>
      </c>
      <c r="N129" s="46" t="s">
        <v>3</v>
      </c>
      <c r="O129" s="43" t="s">
        <v>806</v>
      </c>
      <c r="P129" s="43" t="s">
        <v>807</v>
      </c>
      <c r="Q129" s="46" t="s">
        <v>3</v>
      </c>
      <c r="R129" s="43" t="str">
        <f>R5</f>
        <v>29.08.2024. grozījumi</v>
      </c>
      <c r="S129" s="43" t="str">
        <f>S5</f>
        <v>Izmaiņa 29.08.2024. -27.06.2024.</v>
      </c>
      <c r="T129" s="46" t="s">
        <v>3</v>
      </c>
      <c r="U129" s="43" t="str">
        <f>U5</f>
        <v>24.10.2024. grozījumi</v>
      </c>
      <c r="V129" s="43" t="str">
        <f>V5</f>
        <v>Izmaiņa 24.10.2024. -29.08.2024.</v>
      </c>
      <c r="W129" s="46" t="s">
        <v>3</v>
      </c>
      <c r="X129" s="43" t="str">
        <f>X5</f>
        <v>30.09.2024. fakts</v>
      </c>
      <c r="Y129" s="202" t="str">
        <f>Y5</f>
        <v>30.09.2024. fakts (%) pret 2024. plānu</v>
      </c>
      <c r="Z129" s="190" t="s">
        <v>4</v>
      </c>
    </row>
    <row r="130" spans="2:26" x14ac:dyDescent="0.25">
      <c r="C130" s="78" t="s">
        <v>7</v>
      </c>
      <c r="D130" s="317" t="s">
        <v>143</v>
      </c>
      <c r="E130" s="344">
        <v>11584924</v>
      </c>
      <c r="F130" s="344">
        <f t="shared" ref="F130" si="68">SUM(F131:F139)</f>
        <v>11593156</v>
      </c>
      <c r="G130" s="23">
        <f t="shared" ref="G130:G181" si="69">F130-E130</f>
        <v>8232</v>
      </c>
      <c r="H130" s="395"/>
      <c r="I130" s="23">
        <f>SUM(I131:I139)</f>
        <v>11675168</v>
      </c>
      <c r="J130" s="23">
        <f t="shared" ref="J130:J201" si="70">I130-F130</f>
        <v>82012</v>
      </c>
      <c r="K130" s="164"/>
      <c r="L130" s="23">
        <f>SUM(L131:L139)</f>
        <v>11718990</v>
      </c>
      <c r="M130" s="23">
        <f t="shared" ref="M130:M201" si="71">L130-I130</f>
        <v>43822</v>
      </c>
      <c r="N130" s="164"/>
      <c r="O130" s="23">
        <f>SUM(O131:O139)</f>
        <v>11668303</v>
      </c>
      <c r="P130" s="23">
        <f t="shared" ref="P130:P201" si="72">O130-L130</f>
        <v>-50687</v>
      </c>
      <c r="Q130" s="164"/>
      <c r="R130" s="23">
        <f>SUM(R131:R139)</f>
        <v>11628303</v>
      </c>
      <c r="S130" s="23">
        <f t="shared" ref="S130:S187" si="73">R130-O130</f>
        <v>-40000</v>
      </c>
      <c r="T130" s="164"/>
      <c r="U130" s="23">
        <f>SUM(U131:U139)</f>
        <v>11628303</v>
      </c>
      <c r="V130" s="23">
        <f t="shared" ref="V130:V187" si="74">U130-R130</f>
        <v>0</v>
      </c>
      <c r="W130" s="164"/>
      <c r="X130" s="23">
        <f>SUM(X131:X139)</f>
        <v>8350513.8899999997</v>
      </c>
      <c r="Y130" s="223">
        <f t="shared" ref="Y130:Y139" si="75">X130/U130</f>
        <v>0.71811973681800345</v>
      </c>
      <c r="Z130" s="97"/>
    </row>
    <row r="131" spans="2:26" ht="31.5" customHeight="1" x14ac:dyDescent="0.25">
      <c r="B131" s="58" t="s">
        <v>205</v>
      </c>
      <c r="C131" s="79" t="s">
        <v>10</v>
      </c>
      <c r="D131" s="280" t="s">
        <v>144</v>
      </c>
      <c r="E131" s="36">
        <v>1983487</v>
      </c>
      <c r="F131" s="36">
        <f>ROUND(E131,0)</f>
        <v>1983487</v>
      </c>
      <c r="G131" s="18">
        <f t="shared" si="69"/>
        <v>0</v>
      </c>
      <c r="H131" s="381"/>
      <c r="I131" s="18">
        <f>ROUND(F131,0)</f>
        <v>1983487</v>
      </c>
      <c r="J131" s="18">
        <f t="shared" si="70"/>
        <v>0</v>
      </c>
      <c r="K131" s="145"/>
      <c r="L131" s="18">
        <f t="shared" ref="L131:L142" si="76">ROUND(I131,0)</f>
        <v>1983487</v>
      </c>
      <c r="M131" s="18">
        <f t="shared" si="71"/>
        <v>0</v>
      </c>
      <c r="N131" s="145"/>
      <c r="O131" s="18">
        <f t="shared" ref="O131:O141" si="77">ROUND(L131,0)</f>
        <v>1983487</v>
      </c>
      <c r="P131" s="18">
        <f t="shared" si="72"/>
        <v>0</v>
      </c>
      <c r="Q131" s="145"/>
      <c r="R131" s="18">
        <f t="shared" ref="R131:R136" si="78">ROUND(O131,0)</f>
        <v>1983487</v>
      </c>
      <c r="S131" s="18">
        <f t="shared" si="73"/>
        <v>0</v>
      </c>
      <c r="T131" s="145" t="s">
        <v>883</v>
      </c>
      <c r="U131" s="18">
        <f t="shared" ref="U131:U136" si="79">ROUND(R131,0)</f>
        <v>1983487</v>
      </c>
      <c r="V131" s="18">
        <f t="shared" si="74"/>
        <v>0</v>
      </c>
      <c r="W131" s="145"/>
      <c r="X131" s="546">
        <f>7830051.8-X137-X138</f>
        <v>1268466.3299999991</v>
      </c>
      <c r="Y131" s="212">
        <f t="shared" si="75"/>
        <v>0.63951330661607519</v>
      </c>
      <c r="Z131" s="96"/>
    </row>
    <row r="132" spans="2:26" x14ac:dyDescent="0.25">
      <c r="B132" s="58" t="s">
        <v>206</v>
      </c>
      <c r="C132" s="79" t="s">
        <v>12</v>
      </c>
      <c r="D132" s="280" t="s">
        <v>145</v>
      </c>
      <c r="E132" s="36">
        <v>376850</v>
      </c>
      <c r="F132" s="36">
        <f t="shared" ref="F132:F141" si="80">ROUND(E132,0)</f>
        <v>376850</v>
      </c>
      <c r="G132" s="18">
        <f t="shared" si="69"/>
        <v>0</v>
      </c>
      <c r="H132" s="261"/>
      <c r="I132" s="18">
        <f t="shared" ref="I132:I137" si="81">ROUND(F132,0)</f>
        <v>376850</v>
      </c>
      <c r="J132" s="18">
        <f t="shared" si="70"/>
        <v>0</v>
      </c>
      <c r="K132" s="165"/>
      <c r="L132" s="18">
        <f t="shared" si="76"/>
        <v>376850</v>
      </c>
      <c r="M132" s="18">
        <f t="shared" si="71"/>
        <v>0</v>
      </c>
      <c r="N132" s="165"/>
      <c r="O132" s="18">
        <f t="shared" si="77"/>
        <v>376850</v>
      </c>
      <c r="P132" s="18">
        <f t="shared" si="72"/>
        <v>0</v>
      </c>
      <c r="Q132" s="165"/>
      <c r="R132" s="18">
        <f t="shared" si="78"/>
        <v>376850</v>
      </c>
      <c r="S132" s="18">
        <f t="shared" si="73"/>
        <v>0</v>
      </c>
      <c r="T132" s="165"/>
      <c r="U132" s="18">
        <f t="shared" si="79"/>
        <v>376850</v>
      </c>
      <c r="V132" s="18">
        <f t="shared" si="74"/>
        <v>0</v>
      </c>
      <c r="W132" s="165"/>
      <c r="X132" s="546">
        <v>171776.38</v>
      </c>
      <c r="Y132" s="212">
        <f t="shared" si="75"/>
        <v>0.45582162664189996</v>
      </c>
      <c r="Z132" s="96"/>
    </row>
    <row r="133" spans="2:26" ht="13.15" customHeight="1" x14ac:dyDescent="0.25">
      <c r="B133" s="58" t="s">
        <v>208</v>
      </c>
      <c r="C133" s="79" t="s">
        <v>146</v>
      </c>
      <c r="D133" s="280" t="s">
        <v>147</v>
      </c>
      <c r="E133" s="36">
        <v>62512</v>
      </c>
      <c r="F133" s="36">
        <f>ROUND(E133,0)</f>
        <v>62512</v>
      </c>
      <c r="G133" s="18">
        <f t="shared" si="69"/>
        <v>0</v>
      </c>
      <c r="H133" s="381"/>
      <c r="I133" s="18">
        <f t="shared" si="81"/>
        <v>62512</v>
      </c>
      <c r="J133" s="18">
        <f t="shared" si="70"/>
        <v>0</v>
      </c>
      <c r="K133" s="145"/>
      <c r="L133" s="18">
        <f t="shared" si="76"/>
        <v>62512</v>
      </c>
      <c r="M133" s="18">
        <f t="shared" si="71"/>
        <v>0</v>
      </c>
      <c r="N133" s="145"/>
      <c r="O133" s="18">
        <f t="shared" si="77"/>
        <v>62512</v>
      </c>
      <c r="P133" s="18">
        <f t="shared" si="72"/>
        <v>0</v>
      </c>
      <c r="Q133" s="145"/>
      <c r="R133" s="18">
        <f t="shared" si="78"/>
        <v>62512</v>
      </c>
      <c r="S133" s="18">
        <f t="shared" si="73"/>
        <v>0</v>
      </c>
      <c r="T133" s="145"/>
      <c r="U133" s="18">
        <f t="shared" si="79"/>
        <v>62512</v>
      </c>
      <c r="V133" s="18">
        <f t="shared" si="74"/>
        <v>0</v>
      </c>
      <c r="W133" s="145"/>
      <c r="X133" s="546">
        <v>29390.6</v>
      </c>
      <c r="Y133" s="212">
        <f t="shared" si="75"/>
        <v>0.47015932940875349</v>
      </c>
      <c r="Z133" s="264"/>
    </row>
    <row r="134" spans="2:26" ht="14.45" customHeight="1" x14ac:dyDescent="0.25">
      <c r="B134" s="58" t="s">
        <v>209</v>
      </c>
      <c r="C134" s="79" t="s">
        <v>148</v>
      </c>
      <c r="D134" s="280" t="s">
        <v>149</v>
      </c>
      <c r="E134" s="36">
        <v>45277</v>
      </c>
      <c r="F134" s="36">
        <f t="shared" si="80"/>
        <v>45277</v>
      </c>
      <c r="G134" s="18">
        <f t="shared" si="69"/>
        <v>0</v>
      </c>
      <c r="H134" s="381"/>
      <c r="I134" s="18">
        <f t="shared" si="81"/>
        <v>45277</v>
      </c>
      <c r="J134" s="18">
        <f t="shared" si="70"/>
        <v>0</v>
      </c>
      <c r="K134" s="145"/>
      <c r="L134" s="18">
        <f t="shared" si="76"/>
        <v>45277</v>
      </c>
      <c r="M134" s="18">
        <f t="shared" si="71"/>
        <v>0</v>
      </c>
      <c r="N134" s="145"/>
      <c r="O134" s="18">
        <f t="shared" si="77"/>
        <v>45277</v>
      </c>
      <c r="P134" s="18">
        <f t="shared" si="72"/>
        <v>0</v>
      </c>
      <c r="Q134" s="145"/>
      <c r="R134" s="18">
        <f t="shared" si="78"/>
        <v>45277</v>
      </c>
      <c r="S134" s="18">
        <f t="shared" si="73"/>
        <v>0</v>
      </c>
      <c r="T134" s="145"/>
      <c r="U134" s="18">
        <f t="shared" si="79"/>
        <v>45277</v>
      </c>
      <c r="V134" s="18">
        <f t="shared" si="74"/>
        <v>0</v>
      </c>
      <c r="W134" s="145"/>
      <c r="X134" s="546">
        <v>16646.25</v>
      </c>
      <c r="Y134" s="212">
        <f t="shared" si="75"/>
        <v>0.36765355478499018</v>
      </c>
      <c r="Z134" s="264"/>
    </row>
    <row r="135" spans="2:26" ht="15.6" customHeight="1" x14ac:dyDescent="0.25">
      <c r="B135" s="58" t="s">
        <v>207</v>
      </c>
      <c r="C135" s="79" t="s">
        <v>150</v>
      </c>
      <c r="D135" s="280" t="s">
        <v>151</v>
      </c>
      <c r="E135" s="36">
        <v>8040</v>
      </c>
      <c r="F135" s="36">
        <f>ROUND(E135,0)+8232</f>
        <v>16272</v>
      </c>
      <c r="G135" s="18">
        <f t="shared" si="69"/>
        <v>8232</v>
      </c>
      <c r="H135" s="429" t="s">
        <v>715</v>
      </c>
      <c r="I135" s="18">
        <f t="shared" si="81"/>
        <v>16272</v>
      </c>
      <c r="J135" s="18">
        <f t="shared" si="70"/>
        <v>0</v>
      </c>
      <c r="K135" s="165"/>
      <c r="L135" s="18">
        <f>ROUND(I135,0)+50781</f>
        <v>67053</v>
      </c>
      <c r="M135" s="18">
        <f t="shared" si="71"/>
        <v>50781</v>
      </c>
      <c r="N135" s="165" t="s">
        <v>794</v>
      </c>
      <c r="O135" s="18">
        <f t="shared" si="77"/>
        <v>67053</v>
      </c>
      <c r="P135" s="18">
        <f t="shared" si="72"/>
        <v>0</v>
      </c>
      <c r="Q135" s="165"/>
      <c r="R135" s="18">
        <f t="shared" si="78"/>
        <v>67053</v>
      </c>
      <c r="S135" s="18">
        <f t="shared" si="73"/>
        <v>0</v>
      </c>
      <c r="T135" s="165"/>
      <c r="U135" s="18">
        <f t="shared" si="79"/>
        <v>67053</v>
      </c>
      <c r="V135" s="18">
        <f t="shared" si="74"/>
        <v>0</v>
      </c>
      <c r="W135" s="165"/>
      <c r="X135" s="546">
        <v>49673.32</v>
      </c>
      <c r="Y135" s="212">
        <f t="shared" si="75"/>
        <v>0.74080682445229895</v>
      </c>
      <c r="Z135" s="264"/>
    </row>
    <row r="136" spans="2:26" ht="14.45" customHeight="1" x14ac:dyDescent="0.25">
      <c r="B136" s="58" t="s">
        <v>210</v>
      </c>
      <c r="C136" s="79" t="s">
        <v>152</v>
      </c>
      <c r="D136" s="280" t="s">
        <v>231</v>
      </c>
      <c r="E136" s="36">
        <v>53045</v>
      </c>
      <c r="F136" s="36">
        <f t="shared" si="80"/>
        <v>53045</v>
      </c>
      <c r="G136" s="18">
        <f t="shared" si="69"/>
        <v>0</v>
      </c>
      <c r="H136" s="261"/>
      <c r="I136" s="18">
        <f>ROUND(F136,0)</f>
        <v>53045</v>
      </c>
      <c r="J136" s="18">
        <f t="shared" si="70"/>
        <v>0</v>
      </c>
      <c r="K136" s="165"/>
      <c r="L136" s="18">
        <f t="shared" si="76"/>
        <v>53045</v>
      </c>
      <c r="M136" s="18">
        <f t="shared" si="71"/>
        <v>0</v>
      </c>
      <c r="N136" s="165"/>
      <c r="O136" s="18">
        <f t="shared" si="77"/>
        <v>53045</v>
      </c>
      <c r="P136" s="18">
        <f t="shared" si="72"/>
        <v>0</v>
      </c>
      <c r="Q136" s="165"/>
      <c r="R136" s="18">
        <f t="shared" si="78"/>
        <v>53045</v>
      </c>
      <c r="S136" s="18">
        <f t="shared" si="73"/>
        <v>0</v>
      </c>
      <c r="T136" s="165"/>
      <c r="U136" s="18">
        <f t="shared" si="79"/>
        <v>53045</v>
      </c>
      <c r="V136" s="18">
        <f t="shared" si="74"/>
        <v>0</v>
      </c>
      <c r="W136" s="165"/>
      <c r="X136" s="546">
        <v>22423.21</v>
      </c>
      <c r="Y136" s="212">
        <f t="shared" si="75"/>
        <v>0.42272052031294183</v>
      </c>
      <c r="Z136" s="264"/>
    </row>
    <row r="137" spans="2:26" ht="30" customHeight="1" x14ac:dyDescent="0.25">
      <c r="B137" s="58" t="s">
        <v>205</v>
      </c>
      <c r="C137" s="79" t="s">
        <v>153</v>
      </c>
      <c r="D137" s="280" t="s">
        <v>155</v>
      </c>
      <c r="E137" s="36">
        <v>2229302</v>
      </c>
      <c r="F137" s="36">
        <f t="shared" si="80"/>
        <v>2229302</v>
      </c>
      <c r="G137" s="18">
        <f t="shared" si="69"/>
        <v>0</v>
      </c>
      <c r="H137" s="396"/>
      <c r="I137" s="18">
        <f t="shared" si="81"/>
        <v>2229302</v>
      </c>
      <c r="J137" s="18">
        <f t="shared" si="70"/>
        <v>0</v>
      </c>
      <c r="K137" s="166"/>
      <c r="L137" s="18">
        <f t="shared" si="76"/>
        <v>2229302</v>
      </c>
      <c r="M137" s="18">
        <f t="shared" si="71"/>
        <v>0</v>
      </c>
      <c r="N137" s="166"/>
      <c r="O137" s="18">
        <f>ROUND(L137,0)-50687</f>
        <v>2178615</v>
      </c>
      <c r="P137" s="18">
        <f t="shared" si="72"/>
        <v>-50687</v>
      </c>
      <c r="Q137" s="166" t="s">
        <v>830</v>
      </c>
      <c r="R137" s="18">
        <f>ROUND(O137,0)-40000</f>
        <v>2138615</v>
      </c>
      <c r="S137" s="18">
        <f t="shared" si="73"/>
        <v>-40000</v>
      </c>
      <c r="T137" s="166" t="s">
        <v>882</v>
      </c>
      <c r="U137" s="18">
        <f t="shared" ref="U137:U142" si="82">ROUND(R137,0)</f>
        <v>2138615</v>
      </c>
      <c r="V137" s="18">
        <f t="shared" si="74"/>
        <v>0</v>
      </c>
      <c r="W137" s="166"/>
      <c r="X137" s="546">
        <v>1609003.03</v>
      </c>
      <c r="Y137" s="212">
        <f t="shared" si="75"/>
        <v>0.7523574977263322</v>
      </c>
      <c r="Z137" s="264"/>
    </row>
    <row r="138" spans="2:26" ht="13.9" customHeight="1" x14ac:dyDescent="0.25">
      <c r="B138" s="58" t="s">
        <v>205</v>
      </c>
      <c r="C138" s="79" t="s">
        <v>154</v>
      </c>
      <c r="D138" s="280" t="s">
        <v>156</v>
      </c>
      <c r="E138" s="36">
        <v>6416104</v>
      </c>
      <c r="F138" s="36">
        <f t="shared" si="80"/>
        <v>6416104</v>
      </c>
      <c r="G138" s="18">
        <f t="shared" si="69"/>
        <v>0</v>
      </c>
      <c r="H138" s="261"/>
      <c r="I138" s="18">
        <f>ROUND(F138,0)+61071+20941</f>
        <v>6498116</v>
      </c>
      <c r="J138" s="18">
        <f t="shared" si="70"/>
        <v>82012</v>
      </c>
      <c r="K138" s="145" t="s">
        <v>749</v>
      </c>
      <c r="L138" s="18">
        <f t="shared" si="76"/>
        <v>6498116</v>
      </c>
      <c r="M138" s="18">
        <f t="shared" si="71"/>
        <v>0</v>
      </c>
      <c r="N138" s="165"/>
      <c r="O138" s="18">
        <f t="shared" si="77"/>
        <v>6498116</v>
      </c>
      <c r="P138" s="18">
        <f t="shared" si="72"/>
        <v>0</v>
      </c>
      <c r="Q138" s="165"/>
      <c r="R138" s="18">
        <f>ROUND(O138,0)</f>
        <v>6498116</v>
      </c>
      <c r="S138" s="18">
        <f t="shared" si="73"/>
        <v>0</v>
      </c>
      <c r="T138" s="165"/>
      <c r="U138" s="18">
        <f t="shared" si="82"/>
        <v>6498116</v>
      </c>
      <c r="V138" s="18">
        <f t="shared" si="74"/>
        <v>0</v>
      </c>
      <c r="W138" s="165"/>
      <c r="X138" s="546">
        <v>4952582.4400000004</v>
      </c>
      <c r="Y138" s="212">
        <f t="shared" si="75"/>
        <v>0.76215666817889993</v>
      </c>
      <c r="Z138" s="264"/>
    </row>
    <row r="139" spans="2:26" ht="42.6" customHeight="1" x14ac:dyDescent="0.25">
      <c r="B139" s="58" t="s">
        <v>334</v>
      </c>
      <c r="C139" s="79" t="s">
        <v>283</v>
      </c>
      <c r="D139" s="280" t="s">
        <v>309</v>
      </c>
      <c r="E139" s="36">
        <v>410307</v>
      </c>
      <c r="F139" s="36">
        <f>ROUND(E139,0)</f>
        <v>410307</v>
      </c>
      <c r="G139" s="167">
        <f t="shared" si="69"/>
        <v>0</v>
      </c>
      <c r="H139" s="397"/>
      <c r="I139" s="18">
        <f>ROUND(F139,0)</f>
        <v>410307</v>
      </c>
      <c r="J139" s="167">
        <f t="shared" si="70"/>
        <v>0</v>
      </c>
      <c r="K139" s="168"/>
      <c r="L139" s="18">
        <f>ROUND(I139,0)-6959</f>
        <v>403348</v>
      </c>
      <c r="M139" s="167">
        <f t="shared" si="71"/>
        <v>-6959</v>
      </c>
      <c r="N139" s="168" t="s">
        <v>788</v>
      </c>
      <c r="O139" s="18">
        <f t="shared" si="77"/>
        <v>403348</v>
      </c>
      <c r="P139" s="167">
        <f t="shared" si="72"/>
        <v>0</v>
      </c>
      <c r="Q139" s="168"/>
      <c r="R139" s="18">
        <f>ROUND(O139,0)</f>
        <v>403348</v>
      </c>
      <c r="S139" s="167">
        <f t="shared" si="73"/>
        <v>0</v>
      </c>
      <c r="T139" s="168"/>
      <c r="U139" s="18">
        <f t="shared" si="82"/>
        <v>403348</v>
      </c>
      <c r="V139" s="167">
        <f t="shared" si="74"/>
        <v>0</v>
      </c>
      <c r="W139" s="168"/>
      <c r="X139" s="546">
        <v>230552.33</v>
      </c>
      <c r="Y139" s="212">
        <f t="shared" si="75"/>
        <v>0.57159656177791873</v>
      </c>
      <c r="Z139" s="264"/>
    </row>
    <row r="140" spans="2:26" x14ac:dyDescent="0.25">
      <c r="C140" s="80" t="s">
        <v>15</v>
      </c>
      <c r="D140" s="290" t="s">
        <v>157</v>
      </c>
      <c r="E140" s="329">
        <v>0</v>
      </c>
      <c r="F140" s="329">
        <f t="shared" si="80"/>
        <v>0</v>
      </c>
      <c r="G140" s="13">
        <f t="shared" si="69"/>
        <v>0</v>
      </c>
      <c r="H140" s="368"/>
      <c r="I140" s="13">
        <f>ROUND(F140,0)</f>
        <v>0</v>
      </c>
      <c r="J140" s="13">
        <f t="shared" si="70"/>
        <v>0</v>
      </c>
      <c r="K140" s="129"/>
      <c r="L140" s="13">
        <f t="shared" si="76"/>
        <v>0</v>
      </c>
      <c r="M140" s="13">
        <f t="shared" si="71"/>
        <v>0</v>
      </c>
      <c r="N140" s="129"/>
      <c r="O140" s="13">
        <f t="shared" si="77"/>
        <v>0</v>
      </c>
      <c r="P140" s="13">
        <f t="shared" si="72"/>
        <v>0</v>
      </c>
      <c r="Q140" s="129"/>
      <c r="R140" s="13">
        <f>ROUND(O140,0)</f>
        <v>0</v>
      </c>
      <c r="S140" s="13">
        <f t="shared" si="73"/>
        <v>0</v>
      </c>
      <c r="T140" s="129"/>
      <c r="U140" s="13">
        <f t="shared" si="82"/>
        <v>0</v>
      </c>
      <c r="V140" s="13">
        <f t="shared" si="74"/>
        <v>0</v>
      </c>
      <c r="W140" s="129"/>
      <c r="X140" s="13">
        <f>ROUND(H140,0)</f>
        <v>0</v>
      </c>
      <c r="Y140" s="200"/>
      <c r="Z140" s="263"/>
    </row>
    <row r="141" spans="2:26" ht="13.9" customHeight="1" x14ac:dyDescent="0.25">
      <c r="B141" s="58" t="s">
        <v>213</v>
      </c>
      <c r="C141" s="79" t="s">
        <v>18</v>
      </c>
      <c r="D141" s="280" t="s">
        <v>158</v>
      </c>
      <c r="E141" s="36">
        <v>0</v>
      </c>
      <c r="F141" s="36">
        <f t="shared" si="80"/>
        <v>0</v>
      </c>
      <c r="G141" s="18">
        <f t="shared" si="69"/>
        <v>0</v>
      </c>
      <c r="H141" s="261"/>
      <c r="I141" s="18">
        <f>ROUND(F141,0)</f>
        <v>0</v>
      </c>
      <c r="J141" s="18">
        <f t="shared" si="70"/>
        <v>0</v>
      </c>
      <c r="K141" s="165"/>
      <c r="L141" s="18">
        <f t="shared" si="76"/>
        <v>0</v>
      </c>
      <c r="M141" s="18">
        <f t="shared" si="71"/>
        <v>0</v>
      </c>
      <c r="N141" s="165"/>
      <c r="O141" s="18">
        <f t="shared" si="77"/>
        <v>0</v>
      </c>
      <c r="P141" s="18">
        <f t="shared" si="72"/>
        <v>0</v>
      </c>
      <c r="Q141" s="165"/>
      <c r="R141" s="18">
        <f>ROUND(O141,0)</f>
        <v>0</v>
      </c>
      <c r="S141" s="18">
        <f t="shared" si="73"/>
        <v>0</v>
      </c>
      <c r="T141" s="165"/>
      <c r="U141" s="18">
        <f t="shared" si="82"/>
        <v>0</v>
      </c>
      <c r="V141" s="18">
        <f t="shared" si="74"/>
        <v>0</v>
      </c>
      <c r="W141" s="165"/>
      <c r="X141" s="18">
        <v>0</v>
      </c>
      <c r="Y141" s="212"/>
      <c r="Z141" s="467"/>
    </row>
    <row r="142" spans="2:26" ht="15" customHeight="1" collapsed="1" x14ac:dyDescent="0.25">
      <c r="B142" s="58" t="s">
        <v>212</v>
      </c>
      <c r="C142" s="80" t="s">
        <v>23</v>
      </c>
      <c r="D142" s="290" t="s">
        <v>159</v>
      </c>
      <c r="E142" s="329">
        <v>1032367.7769225</v>
      </c>
      <c r="F142" s="329">
        <f>ROUND(E142,0)+645</f>
        <v>1033013</v>
      </c>
      <c r="G142" s="13">
        <f t="shared" si="69"/>
        <v>645.22307750000618</v>
      </c>
      <c r="H142" s="373" t="s">
        <v>699</v>
      </c>
      <c r="I142" s="13">
        <f>ROUND(F142,0)+13315</f>
        <v>1046328</v>
      </c>
      <c r="J142" s="13">
        <f t="shared" si="70"/>
        <v>13315</v>
      </c>
      <c r="K142" s="134" t="s">
        <v>751</v>
      </c>
      <c r="L142" s="13">
        <f t="shared" si="76"/>
        <v>1046328</v>
      </c>
      <c r="M142" s="13">
        <f t="shared" si="71"/>
        <v>0</v>
      </c>
      <c r="N142" s="134"/>
      <c r="O142" s="13">
        <f>ROUND(L142,0)-102</f>
        <v>1046226</v>
      </c>
      <c r="P142" s="13">
        <f t="shared" si="72"/>
        <v>-102</v>
      </c>
      <c r="Q142" s="134" t="s">
        <v>818</v>
      </c>
      <c r="R142" s="13">
        <f>ROUND(O142,0)+12131</f>
        <v>1058357</v>
      </c>
      <c r="S142" s="13">
        <f t="shared" si="73"/>
        <v>12131</v>
      </c>
      <c r="T142" s="134" t="s">
        <v>865</v>
      </c>
      <c r="U142" s="13">
        <f t="shared" si="82"/>
        <v>1058357</v>
      </c>
      <c r="V142" s="13">
        <f t="shared" si="74"/>
        <v>0</v>
      </c>
      <c r="W142" s="134"/>
      <c r="X142" s="547">
        <v>677864.22</v>
      </c>
      <c r="Y142" s="200">
        <f t="shared" ref="Y142:Y155" si="83">X142/U142</f>
        <v>0.6404873024886687</v>
      </c>
      <c r="Z142" s="463"/>
    </row>
    <row r="143" spans="2:26" s="19" customFormat="1" ht="16.899999999999999" customHeight="1" x14ac:dyDescent="0.25">
      <c r="C143" s="80" t="s">
        <v>31</v>
      </c>
      <c r="D143" s="290" t="s">
        <v>348</v>
      </c>
      <c r="E143" s="329">
        <v>521949.07229136</v>
      </c>
      <c r="F143" s="329">
        <f t="shared" ref="F143" si="84">F144+F147</f>
        <v>583582</v>
      </c>
      <c r="G143" s="13">
        <f t="shared" si="69"/>
        <v>61632.927708639996</v>
      </c>
      <c r="H143" s="373"/>
      <c r="I143" s="13">
        <f>I144+I147</f>
        <v>587548</v>
      </c>
      <c r="J143" s="13">
        <f t="shared" si="70"/>
        <v>3966</v>
      </c>
      <c r="K143" s="134"/>
      <c r="L143" s="13">
        <f>L144+L147</f>
        <v>587548</v>
      </c>
      <c r="M143" s="13">
        <f t="shared" si="71"/>
        <v>0</v>
      </c>
      <c r="N143" s="134"/>
      <c r="O143" s="13">
        <f>O144+O147</f>
        <v>587548</v>
      </c>
      <c r="P143" s="13">
        <f t="shared" si="72"/>
        <v>0</v>
      </c>
      <c r="Q143" s="134"/>
      <c r="R143" s="13">
        <f>R144+R147</f>
        <v>587548</v>
      </c>
      <c r="S143" s="13">
        <f t="shared" si="73"/>
        <v>0</v>
      </c>
      <c r="T143" s="134"/>
      <c r="U143" s="13">
        <f>U144+U147</f>
        <v>587548</v>
      </c>
      <c r="V143" s="13">
        <f t="shared" si="74"/>
        <v>0</v>
      </c>
      <c r="W143" s="134"/>
      <c r="X143" s="499">
        <f>X144+X147</f>
        <v>425380.7</v>
      </c>
      <c r="Y143" s="200">
        <f t="shared" si="83"/>
        <v>0.72399310354217872</v>
      </c>
      <c r="Z143" s="263"/>
    </row>
    <row r="144" spans="2:26" x14ac:dyDescent="0.25">
      <c r="B144" s="58" t="s">
        <v>211</v>
      </c>
      <c r="C144" s="79" t="s">
        <v>34</v>
      </c>
      <c r="D144" s="280" t="s">
        <v>160</v>
      </c>
      <c r="E144" s="36">
        <v>179686.07229136</v>
      </c>
      <c r="F144" s="36">
        <f>SUM(F145:F146)</f>
        <v>179686</v>
      </c>
      <c r="G144" s="18">
        <f t="shared" ref="G144" si="85">SUM(G145:G146)</f>
        <v>-7.2291360003873706E-2</v>
      </c>
      <c r="H144" s="264"/>
      <c r="I144" s="18">
        <f>SUM(I145:I146)</f>
        <v>179686</v>
      </c>
      <c r="J144" s="18">
        <f t="shared" si="70"/>
        <v>0</v>
      </c>
      <c r="K144" s="18"/>
      <c r="L144" s="18">
        <f>SUM(L145:L146)</f>
        <v>179686</v>
      </c>
      <c r="M144" s="18">
        <f t="shared" si="71"/>
        <v>0</v>
      </c>
      <c r="N144" s="18"/>
      <c r="O144" s="18">
        <f>SUM(O145:O146)</f>
        <v>179686</v>
      </c>
      <c r="P144" s="18">
        <f t="shared" si="72"/>
        <v>0</v>
      </c>
      <c r="Q144" s="18"/>
      <c r="R144" s="18">
        <f>SUM(R145:R146)</f>
        <v>179686</v>
      </c>
      <c r="S144" s="18">
        <f t="shared" si="73"/>
        <v>0</v>
      </c>
      <c r="T144" s="18"/>
      <c r="U144" s="18">
        <f>SUM(U145:U146)</f>
        <v>179686</v>
      </c>
      <c r="V144" s="18">
        <f t="shared" si="74"/>
        <v>0</v>
      </c>
      <c r="W144" s="18"/>
      <c r="X144" s="546">
        <f>SUM(X145:X146)</f>
        <v>117909.70000000001</v>
      </c>
      <c r="Y144" s="212">
        <f t="shared" si="83"/>
        <v>0.6561985908751935</v>
      </c>
      <c r="Z144" s="264"/>
    </row>
    <row r="145" spans="2:26" ht="15.75" customHeight="1" x14ac:dyDescent="0.25">
      <c r="B145" s="58" t="s">
        <v>211</v>
      </c>
      <c r="C145" s="81" t="s">
        <v>464</v>
      </c>
      <c r="D145" s="278" t="s">
        <v>409</v>
      </c>
      <c r="E145" s="330">
        <v>150459.07229136</v>
      </c>
      <c r="F145" s="330">
        <f>ROUND(E145,0)</f>
        <v>150459</v>
      </c>
      <c r="G145" s="52">
        <f t="shared" si="69"/>
        <v>-7.2291360003873706E-2</v>
      </c>
      <c r="H145" s="375"/>
      <c r="I145" s="11">
        <f>ROUND(F145,0)-3283-544</f>
        <v>146632</v>
      </c>
      <c r="J145" s="52">
        <f t="shared" si="70"/>
        <v>-3827</v>
      </c>
      <c r="K145" s="573" t="s">
        <v>741</v>
      </c>
      <c r="L145" s="11">
        <f>ROUND(I145,0)-660</f>
        <v>145972</v>
      </c>
      <c r="M145" s="52">
        <f t="shared" si="71"/>
        <v>-660</v>
      </c>
      <c r="N145" s="144" t="s">
        <v>795</v>
      </c>
      <c r="O145" s="11">
        <f>ROUND(L145,0)</f>
        <v>145972</v>
      </c>
      <c r="P145" s="52">
        <f t="shared" si="72"/>
        <v>0</v>
      </c>
      <c r="Q145" s="136"/>
      <c r="R145" s="11">
        <f>ROUND(O145,0)</f>
        <v>145972</v>
      </c>
      <c r="S145" s="52">
        <f t="shared" si="73"/>
        <v>0</v>
      </c>
      <c r="T145" s="136"/>
      <c r="U145" s="11">
        <f>ROUND(R145,0)</f>
        <v>145972</v>
      </c>
      <c r="V145" s="52">
        <f t="shared" si="74"/>
        <v>0</v>
      </c>
      <c r="W145" s="136"/>
      <c r="X145" s="548">
        <v>92329.1</v>
      </c>
      <c r="Y145" s="201">
        <f t="shared" si="83"/>
        <v>0.63251239963828687</v>
      </c>
      <c r="Z145" s="12"/>
    </row>
    <row r="146" spans="2:26" ht="15.6" customHeight="1" x14ac:dyDescent="0.25">
      <c r="B146" s="58"/>
      <c r="C146" s="81" t="s">
        <v>465</v>
      </c>
      <c r="D146" s="318" t="s">
        <v>463</v>
      </c>
      <c r="E146" s="336">
        <v>29227</v>
      </c>
      <c r="F146" s="330">
        <f>ROUND(E146,0)</f>
        <v>29227</v>
      </c>
      <c r="G146" s="52">
        <f t="shared" si="69"/>
        <v>0</v>
      </c>
      <c r="H146" s="398"/>
      <c r="I146" s="11">
        <f>ROUND(F146,0)+3283+544</f>
        <v>33054</v>
      </c>
      <c r="J146" s="91">
        <f t="shared" si="70"/>
        <v>3827</v>
      </c>
      <c r="K146" s="574"/>
      <c r="L146" s="11">
        <f>ROUND(I146,0)+660</f>
        <v>33714</v>
      </c>
      <c r="M146" s="91">
        <f t="shared" si="71"/>
        <v>660</v>
      </c>
      <c r="N146" s="142"/>
      <c r="O146" s="11">
        <f>ROUND(L146,0)</f>
        <v>33714</v>
      </c>
      <c r="P146" s="91">
        <f t="shared" si="72"/>
        <v>0</v>
      </c>
      <c r="Q146" s="142"/>
      <c r="R146" s="11">
        <f>ROUND(O146,0)</f>
        <v>33714</v>
      </c>
      <c r="S146" s="91">
        <f t="shared" si="73"/>
        <v>0</v>
      </c>
      <c r="T146" s="142"/>
      <c r="U146" s="11">
        <f>ROUND(R146,0)</f>
        <v>33714</v>
      </c>
      <c r="V146" s="91">
        <f t="shared" si="74"/>
        <v>0</v>
      </c>
      <c r="W146" s="142"/>
      <c r="X146" s="548">
        <v>25580.6</v>
      </c>
      <c r="Y146" s="213">
        <f t="shared" si="83"/>
        <v>0.75875304028000234</v>
      </c>
      <c r="Z146" s="265"/>
    </row>
    <row r="147" spans="2:26" ht="30" x14ac:dyDescent="0.25">
      <c r="B147" s="58" t="s">
        <v>414</v>
      </c>
      <c r="C147" s="79" t="s">
        <v>36</v>
      </c>
      <c r="D147" s="283" t="s">
        <v>284</v>
      </c>
      <c r="E147" s="36">
        <v>342263</v>
      </c>
      <c r="F147" s="36">
        <f>ROUND(E147,0)+1093+59292+1248</f>
        <v>403896</v>
      </c>
      <c r="G147" s="93">
        <f t="shared" si="69"/>
        <v>61633</v>
      </c>
      <c r="H147" s="184" t="s">
        <v>710</v>
      </c>
      <c r="I147" s="18">
        <f>ROUND(F147,0)+3966</f>
        <v>407862</v>
      </c>
      <c r="J147" s="93">
        <f t="shared" si="70"/>
        <v>3966</v>
      </c>
      <c r="K147" s="18" t="s">
        <v>745</v>
      </c>
      <c r="L147" s="18">
        <f>ROUND(I147,0)</f>
        <v>407862</v>
      </c>
      <c r="M147" s="93">
        <f t="shared" si="71"/>
        <v>0</v>
      </c>
      <c r="N147" s="18"/>
      <c r="O147" s="18">
        <f>ROUND(L147,0)</f>
        <v>407862</v>
      </c>
      <c r="P147" s="93">
        <f t="shared" si="72"/>
        <v>0</v>
      </c>
      <c r="Q147" s="18"/>
      <c r="R147" s="18">
        <f>ROUND(O147,0)</f>
        <v>407862</v>
      </c>
      <c r="S147" s="93">
        <f t="shared" si="73"/>
        <v>0</v>
      </c>
      <c r="T147" s="18"/>
      <c r="U147" s="18">
        <f>ROUND(R147,0)</f>
        <v>407862</v>
      </c>
      <c r="V147" s="93">
        <f t="shared" si="74"/>
        <v>0</v>
      </c>
      <c r="W147" s="18"/>
      <c r="X147" s="497">
        <v>307471</v>
      </c>
      <c r="Y147" s="212">
        <f t="shared" si="83"/>
        <v>0.75386037434230202</v>
      </c>
      <c r="Z147" s="18" t="s">
        <v>555</v>
      </c>
    </row>
    <row r="148" spans="2:26" x14ac:dyDescent="0.25">
      <c r="C148" s="80" t="s">
        <v>37</v>
      </c>
      <c r="D148" s="290" t="s">
        <v>350</v>
      </c>
      <c r="E148" s="329">
        <v>70000</v>
      </c>
      <c r="F148" s="329">
        <f t="shared" ref="F148" si="86">F149</f>
        <v>174970</v>
      </c>
      <c r="G148" s="13">
        <f t="shared" si="69"/>
        <v>104970</v>
      </c>
      <c r="H148" s="368"/>
      <c r="I148" s="13">
        <f>I149</f>
        <v>174970</v>
      </c>
      <c r="J148" s="13">
        <f t="shared" si="70"/>
        <v>0</v>
      </c>
      <c r="K148" s="129"/>
      <c r="L148" s="13">
        <f>L149</f>
        <v>174970</v>
      </c>
      <c r="M148" s="13">
        <f t="shared" si="71"/>
        <v>0</v>
      </c>
      <c r="N148" s="129"/>
      <c r="O148" s="13">
        <f>O149</f>
        <v>174970</v>
      </c>
      <c r="P148" s="13">
        <f t="shared" si="72"/>
        <v>0</v>
      </c>
      <c r="Q148" s="129"/>
      <c r="R148" s="13">
        <f>R149</f>
        <v>174970</v>
      </c>
      <c r="S148" s="13">
        <f t="shared" si="73"/>
        <v>0</v>
      </c>
      <c r="T148" s="129"/>
      <c r="U148" s="13">
        <f>U149</f>
        <v>174970</v>
      </c>
      <c r="V148" s="13">
        <f t="shared" si="74"/>
        <v>0</v>
      </c>
      <c r="W148" s="129"/>
      <c r="X148" s="547">
        <f>X149</f>
        <v>5437.96</v>
      </c>
      <c r="Y148" s="200">
        <f t="shared" si="83"/>
        <v>3.107938503743499E-2</v>
      </c>
      <c r="Z148" s="263"/>
    </row>
    <row r="149" spans="2:26" ht="16.149999999999999" customHeight="1" x14ac:dyDescent="0.25">
      <c r="B149" s="58" t="s">
        <v>413</v>
      </c>
      <c r="C149" s="79" t="s">
        <v>162</v>
      </c>
      <c r="D149" s="280" t="s">
        <v>349</v>
      </c>
      <c r="E149" s="36">
        <v>70000</v>
      </c>
      <c r="F149" s="36">
        <f>ROUND(E149,0)+104970</f>
        <v>174970</v>
      </c>
      <c r="G149" s="18">
        <f t="shared" si="69"/>
        <v>104970</v>
      </c>
      <c r="H149" s="145" t="s">
        <v>525</v>
      </c>
      <c r="I149" s="18">
        <f>ROUND(F149,0)</f>
        <v>174970</v>
      </c>
      <c r="J149" s="18">
        <f t="shared" si="70"/>
        <v>0</v>
      </c>
      <c r="K149" s="145"/>
      <c r="L149" s="18">
        <f>ROUND(I149,0)</f>
        <v>174970</v>
      </c>
      <c r="M149" s="18">
        <f t="shared" si="71"/>
        <v>0</v>
      </c>
      <c r="N149" s="145"/>
      <c r="O149" s="18">
        <f>ROUND(L149,0)</f>
        <v>174970</v>
      </c>
      <c r="P149" s="18">
        <f t="shared" si="72"/>
        <v>0</v>
      </c>
      <c r="Q149" s="145"/>
      <c r="R149" s="18">
        <f>ROUND(O149,0)</f>
        <v>174970</v>
      </c>
      <c r="S149" s="18">
        <f t="shared" si="73"/>
        <v>0</v>
      </c>
      <c r="T149" s="145"/>
      <c r="U149" s="18">
        <f>ROUND(R149,0)</f>
        <v>174970</v>
      </c>
      <c r="V149" s="18">
        <f t="shared" si="74"/>
        <v>0</v>
      </c>
      <c r="W149" s="145"/>
      <c r="X149" s="546">
        <v>5437.96</v>
      </c>
      <c r="Y149" s="212">
        <f t="shared" si="83"/>
        <v>3.107938503743499E-2</v>
      </c>
      <c r="Z149" s="18" t="s">
        <v>774</v>
      </c>
    </row>
    <row r="150" spans="2:26" ht="29.25" x14ac:dyDescent="0.25">
      <c r="C150" s="80" t="s">
        <v>40</v>
      </c>
      <c r="D150" s="290" t="s">
        <v>161</v>
      </c>
      <c r="E150" s="329">
        <v>14182678.841957785</v>
      </c>
      <c r="F150" s="329">
        <f t="shared" ref="F150" si="87">F151+F152+F153+F154+F172</f>
        <v>14286414</v>
      </c>
      <c r="G150" s="13">
        <f>G152+G153+G154+G172</f>
        <v>103735.15804221481</v>
      </c>
      <c r="H150" s="263"/>
      <c r="I150" s="13">
        <f>I151+I152+I153+I154+I172</f>
        <v>14591725</v>
      </c>
      <c r="J150" s="13">
        <f t="shared" si="70"/>
        <v>305311</v>
      </c>
      <c r="K150" s="13"/>
      <c r="L150" s="13">
        <f>L151+L152+L153+L154+L172</f>
        <v>14665800</v>
      </c>
      <c r="M150" s="13">
        <f t="shared" si="71"/>
        <v>74075</v>
      </c>
      <c r="N150" s="13"/>
      <c r="O150" s="13">
        <f>O151+O152+O153+O154+O172</f>
        <v>15381807</v>
      </c>
      <c r="P150" s="13">
        <f t="shared" si="72"/>
        <v>716007</v>
      </c>
      <c r="Q150" s="13"/>
      <c r="R150" s="13">
        <f>R151+R152+R153+R154+R172</f>
        <v>15496067</v>
      </c>
      <c r="S150" s="13">
        <f t="shared" si="73"/>
        <v>114260</v>
      </c>
      <c r="T150" s="13"/>
      <c r="U150" s="13">
        <f>U151+U152+U153+U154+U172</f>
        <v>15516067</v>
      </c>
      <c r="V150" s="13">
        <f t="shared" si="74"/>
        <v>20000</v>
      </c>
      <c r="W150" s="13"/>
      <c r="X150" s="499">
        <f>X151+X152+X153+X154+X172</f>
        <v>9123853.9699999988</v>
      </c>
      <c r="Y150" s="200">
        <f t="shared" si="83"/>
        <v>0.58802620341868839</v>
      </c>
      <c r="Z150" s="263"/>
    </row>
    <row r="151" spans="2:26" ht="15.6" customHeight="1" x14ac:dyDescent="0.25">
      <c r="B151" s="58" t="s">
        <v>213</v>
      </c>
      <c r="C151" s="79" t="s">
        <v>43</v>
      </c>
      <c r="D151" s="300" t="s">
        <v>158</v>
      </c>
      <c r="E151" s="345">
        <v>70000</v>
      </c>
      <c r="F151" s="36">
        <f>ROUND(E151,0)</f>
        <v>70000</v>
      </c>
      <c r="G151" s="18">
        <f>F151-E151</f>
        <v>0</v>
      </c>
      <c r="H151" s="261"/>
      <c r="I151" s="18">
        <f>ROUND(F151,0)</f>
        <v>70000</v>
      </c>
      <c r="J151" s="18">
        <f t="shared" si="70"/>
        <v>0</v>
      </c>
      <c r="K151" s="165"/>
      <c r="L151" s="18">
        <f>ROUND(I151,0)</f>
        <v>70000</v>
      </c>
      <c r="M151" s="18">
        <f t="shared" si="71"/>
        <v>0</v>
      </c>
      <c r="N151" s="165"/>
      <c r="O151" s="18">
        <f>ROUND(L151,0)</f>
        <v>70000</v>
      </c>
      <c r="P151" s="18">
        <f t="shared" si="72"/>
        <v>0</v>
      </c>
      <c r="Q151" s="165"/>
      <c r="R151" s="18">
        <f>ROUND(O151,0)</f>
        <v>70000</v>
      </c>
      <c r="S151" s="18">
        <f t="shared" si="73"/>
        <v>0</v>
      </c>
      <c r="T151" s="165"/>
      <c r="U151" s="18">
        <f>ROUND(R151,0)</f>
        <v>70000</v>
      </c>
      <c r="V151" s="18">
        <f t="shared" si="74"/>
        <v>0</v>
      </c>
      <c r="W151" s="165"/>
      <c r="X151" s="492">
        <f>ROUND(K151,0)</f>
        <v>0</v>
      </c>
      <c r="Y151" s="212">
        <f t="shared" si="83"/>
        <v>0</v>
      </c>
      <c r="Z151" s="467"/>
    </row>
    <row r="152" spans="2:26" ht="28.15" customHeight="1" x14ac:dyDescent="0.25">
      <c r="B152" s="58" t="s">
        <v>451</v>
      </c>
      <c r="C152" s="79" t="s">
        <v>53</v>
      </c>
      <c r="D152" s="300" t="s">
        <v>163</v>
      </c>
      <c r="E152" s="345">
        <v>330452</v>
      </c>
      <c r="F152" s="345">
        <f>ROUND(E152,0)</f>
        <v>330452</v>
      </c>
      <c r="G152" s="24">
        <f t="shared" si="69"/>
        <v>0</v>
      </c>
      <c r="H152" s="381"/>
      <c r="I152" s="24">
        <f>ROUND(F152,0)</f>
        <v>330452</v>
      </c>
      <c r="J152" s="24">
        <f t="shared" si="70"/>
        <v>0</v>
      </c>
      <c r="K152" s="194"/>
      <c r="L152" s="24">
        <f>ROUND(I152,0)</f>
        <v>330452</v>
      </c>
      <c r="M152" s="24">
        <f t="shared" si="71"/>
        <v>0</v>
      </c>
      <c r="N152" s="194"/>
      <c r="O152" s="24">
        <f>ROUND(L152,0)</f>
        <v>330452</v>
      </c>
      <c r="P152" s="24">
        <f t="shared" si="72"/>
        <v>0</v>
      </c>
      <c r="Q152" s="194"/>
      <c r="R152" s="24">
        <f>ROUND(O152,0)</f>
        <v>330452</v>
      </c>
      <c r="S152" s="24">
        <f t="shared" si="73"/>
        <v>0</v>
      </c>
      <c r="T152" s="194"/>
      <c r="U152" s="24">
        <f>ROUND(R152,0)</f>
        <v>330452</v>
      </c>
      <c r="V152" s="24">
        <f t="shared" si="74"/>
        <v>0</v>
      </c>
      <c r="W152" s="194"/>
      <c r="X152" s="549">
        <v>203794.38</v>
      </c>
      <c r="Y152" s="224">
        <f t="shared" si="83"/>
        <v>0.61671401595390563</v>
      </c>
      <c r="Z152" s="467"/>
    </row>
    <row r="153" spans="2:26" ht="94.9" customHeight="1" x14ac:dyDescent="0.25">
      <c r="B153" s="58" t="s">
        <v>462</v>
      </c>
      <c r="C153" s="79" t="s">
        <v>167</v>
      </c>
      <c r="D153" s="300" t="s">
        <v>337</v>
      </c>
      <c r="E153" s="345">
        <v>393055</v>
      </c>
      <c r="F153" s="345">
        <f>ROUND(E153,0)</f>
        <v>393055</v>
      </c>
      <c r="G153" s="103">
        <f t="shared" si="69"/>
        <v>0</v>
      </c>
      <c r="H153" s="435"/>
      <c r="I153" s="24">
        <f>ROUND(F153,0)</f>
        <v>393055</v>
      </c>
      <c r="J153" s="103">
        <f t="shared" si="70"/>
        <v>0</v>
      </c>
      <c r="K153" s="145"/>
      <c r="L153" s="24">
        <f>ROUND(I153,0)</f>
        <v>393055</v>
      </c>
      <c r="M153" s="103">
        <f t="shared" si="71"/>
        <v>0</v>
      </c>
      <c r="N153" s="145"/>
      <c r="O153" s="24">
        <f>ROUND(L153,0)</f>
        <v>393055</v>
      </c>
      <c r="P153" s="103">
        <f t="shared" si="72"/>
        <v>0</v>
      </c>
      <c r="Q153" s="145"/>
      <c r="R153" s="24">
        <f>ROUND(O153,0)</f>
        <v>393055</v>
      </c>
      <c r="S153" s="103">
        <f t="shared" si="73"/>
        <v>0</v>
      </c>
      <c r="T153" s="145"/>
      <c r="U153" s="24">
        <f>ROUND(R153,0)</f>
        <v>393055</v>
      </c>
      <c r="V153" s="103">
        <f t="shared" si="74"/>
        <v>0</v>
      </c>
      <c r="W153" s="145" t="s">
        <v>904</v>
      </c>
      <c r="X153" s="549">
        <v>217725.56</v>
      </c>
      <c r="Y153" s="224">
        <f t="shared" si="83"/>
        <v>0.55393153629899128</v>
      </c>
      <c r="Z153" s="467"/>
    </row>
    <row r="154" spans="2:26" x14ac:dyDescent="0.25">
      <c r="C154" s="79" t="s">
        <v>169</v>
      </c>
      <c r="D154" s="300" t="s">
        <v>338</v>
      </c>
      <c r="E154" s="345">
        <v>1839370</v>
      </c>
      <c r="F154" s="345">
        <f t="shared" ref="F154:G154" si="88">SUM(F155:F171)</f>
        <v>1839370</v>
      </c>
      <c r="G154" s="24">
        <f t="shared" si="88"/>
        <v>0</v>
      </c>
      <c r="H154" s="273"/>
      <c r="I154" s="24">
        <f>SUM(I155:I171)</f>
        <v>1841370</v>
      </c>
      <c r="J154" s="24">
        <f t="shared" si="70"/>
        <v>2000</v>
      </c>
      <c r="K154" s="24"/>
      <c r="L154" s="24">
        <f>SUM(L155:L171)</f>
        <v>1834021</v>
      </c>
      <c r="M154" s="24">
        <f t="shared" si="71"/>
        <v>-7349</v>
      </c>
      <c r="N154" s="24"/>
      <c r="O154" s="24">
        <f>SUM(O155:O171)</f>
        <v>1862424</v>
      </c>
      <c r="P154" s="24">
        <f t="shared" si="72"/>
        <v>28403</v>
      </c>
      <c r="Q154" s="24"/>
      <c r="R154" s="24">
        <f>SUM(R155:R171)</f>
        <v>1777862</v>
      </c>
      <c r="S154" s="24">
        <f t="shared" si="73"/>
        <v>-84562</v>
      </c>
      <c r="T154" s="24"/>
      <c r="U154" s="24">
        <f>SUM(U155:U171)</f>
        <v>1777862</v>
      </c>
      <c r="V154" s="24">
        <f t="shared" si="74"/>
        <v>0</v>
      </c>
      <c r="W154" s="24"/>
      <c r="X154" s="500">
        <f>SUM(X155:X171)</f>
        <v>621811.63</v>
      </c>
      <c r="Y154" s="224">
        <f t="shared" si="83"/>
        <v>0.34975247235162232</v>
      </c>
      <c r="Z154" s="273"/>
    </row>
    <row r="155" spans="2:26" ht="15" customHeight="1" x14ac:dyDescent="0.25">
      <c r="B155" s="58" t="s">
        <v>214</v>
      </c>
      <c r="C155" s="81" t="s">
        <v>351</v>
      </c>
      <c r="D155" s="276" t="s">
        <v>164</v>
      </c>
      <c r="E155" s="330">
        <v>696938</v>
      </c>
      <c r="F155" s="330">
        <f>ROUND(E155,0)</f>
        <v>696938</v>
      </c>
      <c r="G155" s="11">
        <f t="shared" si="69"/>
        <v>0</v>
      </c>
      <c r="H155" s="399"/>
      <c r="I155" s="11">
        <f>ROUND(F155,0)+2000</f>
        <v>698938</v>
      </c>
      <c r="J155" s="11">
        <f t="shared" si="70"/>
        <v>2000</v>
      </c>
      <c r="K155" s="170" t="s">
        <v>750</v>
      </c>
      <c r="L155" s="11">
        <f>ROUND(I155,0)-7349+5000+26640</f>
        <v>723229</v>
      </c>
      <c r="M155" s="11">
        <f t="shared" si="71"/>
        <v>24291</v>
      </c>
      <c r="N155" s="170" t="s">
        <v>797</v>
      </c>
      <c r="O155" s="11">
        <f>ROUND(L155,0)-5801-44284-3347</f>
        <v>669797</v>
      </c>
      <c r="P155" s="11">
        <f t="shared" si="72"/>
        <v>-53432</v>
      </c>
      <c r="Q155" s="193" t="s">
        <v>832</v>
      </c>
      <c r="R155" s="11">
        <f>ROUND(O155,0)+44284-85085-120000+19840+1500+1500</f>
        <v>531836</v>
      </c>
      <c r="S155" s="520">
        <f t="shared" si="73"/>
        <v>-137961</v>
      </c>
      <c r="T155" s="522" t="s">
        <v>887</v>
      </c>
      <c r="U155" s="11">
        <f>ROUND(R155,0)</f>
        <v>531836</v>
      </c>
      <c r="V155" s="11">
        <f t="shared" si="74"/>
        <v>0</v>
      </c>
      <c r="W155" s="294"/>
      <c r="X155" s="548">
        <f>276545.34-X163-X164-X165-X166</f>
        <v>272068.74000000005</v>
      </c>
      <c r="Y155" s="205">
        <f t="shared" si="83"/>
        <v>0.51156510653660159</v>
      </c>
      <c r="Z155" s="462"/>
    </row>
    <row r="156" spans="2:26" ht="18.600000000000001" customHeight="1" x14ac:dyDescent="0.25">
      <c r="B156" s="58" t="s">
        <v>471</v>
      </c>
      <c r="C156" s="81" t="s">
        <v>352</v>
      </c>
      <c r="D156" s="276" t="s">
        <v>287</v>
      </c>
      <c r="E156" s="337">
        <v>40000</v>
      </c>
      <c r="F156" s="337">
        <f t="shared" ref="F156:F161" si="89">ROUND(E156,0)</f>
        <v>40000</v>
      </c>
      <c r="G156" s="52">
        <f t="shared" si="69"/>
        <v>0</v>
      </c>
      <c r="H156" s="400"/>
      <c r="I156" s="52">
        <f t="shared" ref="I156:I161" si="90">ROUND(F156,0)</f>
        <v>40000</v>
      </c>
      <c r="J156" s="52">
        <f t="shared" si="70"/>
        <v>0</v>
      </c>
      <c r="K156" s="171"/>
      <c r="L156" s="52">
        <f>ROUND(I156,0)</f>
        <v>40000</v>
      </c>
      <c r="M156" s="52">
        <f t="shared" si="71"/>
        <v>0</v>
      </c>
      <c r="N156" s="171"/>
      <c r="O156" s="52">
        <f>ROUND(L156,0)</f>
        <v>40000</v>
      </c>
      <c r="P156" s="52">
        <f t="shared" si="72"/>
        <v>0</v>
      </c>
      <c r="Q156" s="171"/>
      <c r="R156" s="52">
        <f t="shared" ref="R156:R162" si="91">ROUND(O156,0)</f>
        <v>40000</v>
      </c>
      <c r="S156" s="52">
        <f t="shared" si="73"/>
        <v>0</v>
      </c>
      <c r="T156" s="171"/>
      <c r="U156" s="52">
        <f t="shared" ref="U156:U162" si="92">ROUND(R156,0)</f>
        <v>40000</v>
      </c>
      <c r="V156" s="52">
        <f t="shared" si="74"/>
        <v>0</v>
      </c>
      <c r="W156" s="171"/>
      <c r="X156" s="571">
        <v>50783</v>
      </c>
      <c r="Y156" s="563">
        <f>X156/(U156+U157)</f>
        <v>0.9217519149090645</v>
      </c>
      <c r="Z156" s="268"/>
    </row>
    <row r="157" spans="2:26" ht="16.5" customHeight="1" x14ac:dyDescent="0.25">
      <c r="B157" s="58" t="s">
        <v>471</v>
      </c>
      <c r="C157" s="81" t="s">
        <v>533</v>
      </c>
      <c r="D157" s="313" t="s">
        <v>466</v>
      </c>
      <c r="E157" s="336">
        <v>15094</v>
      </c>
      <c r="F157" s="337">
        <f t="shared" si="89"/>
        <v>15094</v>
      </c>
      <c r="G157" s="52">
        <f t="shared" si="69"/>
        <v>0</v>
      </c>
      <c r="H157" s="401"/>
      <c r="I157" s="52">
        <f t="shared" si="90"/>
        <v>15094</v>
      </c>
      <c r="J157" s="52">
        <f t="shared" si="70"/>
        <v>0</v>
      </c>
      <c r="K157" s="172"/>
      <c r="L157" s="52">
        <f>ROUND(I157,0)</f>
        <v>15094</v>
      </c>
      <c r="M157" s="52">
        <f t="shared" si="71"/>
        <v>0</v>
      </c>
      <c r="N157" s="172"/>
      <c r="O157" s="52">
        <f>ROUND(L157,0)</f>
        <v>15094</v>
      </c>
      <c r="P157" s="52">
        <f t="shared" si="72"/>
        <v>0</v>
      </c>
      <c r="Q157" s="172"/>
      <c r="R157" s="52">
        <f t="shared" si="91"/>
        <v>15094</v>
      </c>
      <c r="S157" s="52">
        <f t="shared" si="73"/>
        <v>0</v>
      </c>
      <c r="T157" s="172"/>
      <c r="U157" s="52">
        <f t="shared" si="92"/>
        <v>15094</v>
      </c>
      <c r="V157" s="52">
        <f t="shared" si="74"/>
        <v>0</v>
      </c>
      <c r="W157" s="172"/>
      <c r="X157" s="572"/>
      <c r="Y157" s="564">
        <f t="shared" ref="Y157" si="93">X157/R157</f>
        <v>0</v>
      </c>
      <c r="Z157" s="265"/>
    </row>
    <row r="158" spans="2:26" ht="28.15" customHeight="1" x14ac:dyDescent="0.25">
      <c r="B158" s="58" t="s">
        <v>496</v>
      </c>
      <c r="C158" s="105" t="s">
        <v>534</v>
      </c>
      <c r="D158" s="292" t="s">
        <v>494</v>
      </c>
      <c r="E158" s="330">
        <v>50458</v>
      </c>
      <c r="F158" s="330">
        <f>ROUND(E158,0)</f>
        <v>50458</v>
      </c>
      <c r="G158" s="11">
        <f t="shared" si="69"/>
        <v>0</v>
      </c>
      <c r="H158" s="399"/>
      <c r="I158" s="11">
        <f t="shared" si="90"/>
        <v>50458</v>
      </c>
      <c r="J158" s="11">
        <f t="shared" si="70"/>
        <v>0</v>
      </c>
      <c r="K158" s="170"/>
      <c r="L158" s="11">
        <f>ROUND(I158,0)</f>
        <v>50458</v>
      </c>
      <c r="M158" s="11">
        <f t="shared" si="71"/>
        <v>0</v>
      </c>
      <c r="N158" s="170"/>
      <c r="O158" s="11">
        <f>ROUND(L158,0)</f>
        <v>50458</v>
      </c>
      <c r="P158" s="11">
        <f t="shared" si="72"/>
        <v>0</v>
      </c>
      <c r="Q158" s="170"/>
      <c r="R158" s="11">
        <f t="shared" si="91"/>
        <v>50458</v>
      </c>
      <c r="S158" s="11">
        <f t="shared" si="73"/>
        <v>0</v>
      </c>
      <c r="T158" s="170"/>
      <c r="U158" s="11">
        <f t="shared" si="92"/>
        <v>50458</v>
      </c>
      <c r="V158" s="11">
        <f t="shared" si="74"/>
        <v>0</v>
      </c>
      <c r="W158" s="170"/>
      <c r="X158" s="548">
        <v>1112.1099999999999</v>
      </c>
      <c r="Y158" s="201">
        <f t="shared" ref="Y158:Y189" si="94">X158/U158</f>
        <v>2.2040310753497955E-2</v>
      </c>
      <c r="Z158" s="11" t="s">
        <v>570</v>
      </c>
    </row>
    <row r="159" spans="2:26" ht="40.9" customHeight="1" x14ac:dyDescent="0.25">
      <c r="B159" s="58" t="s">
        <v>415</v>
      </c>
      <c r="C159" s="106" t="s">
        <v>535</v>
      </c>
      <c r="D159" s="519" t="s">
        <v>344</v>
      </c>
      <c r="E159" s="330">
        <v>145650</v>
      </c>
      <c r="F159" s="330">
        <f t="shared" si="89"/>
        <v>145650</v>
      </c>
      <c r="G159" s="91">
        <f t="shared" si="69"/>
        <v>0</v>
      </c>
      <c r="H159" s="401"/>
      <c r="I159" s="11">
        <f>ROUND(F159,0)</f>
        <v>145650</v>
      </c>
      <c r="J159" s="91">
        <f t="shared" si="70"/>
        <v>0</v>
      </c>
      <c r="K159" s="172"/>
      <c r="L159" s="11">
        <f>ROUND(I159,0)-5000-26640</f>
        <v>114010</v>
      </c>
      <c r="M159" s="91">
        <f t="shared" si="71"/>
        <v>-31640</v>
      </c>
      <c r="N159" s="172" t="s">
        <v>796</v>
      </c>
      <c r="O159" s="11">
        <f>ROUND(L159,0)+3347</f>
        <v>117357</v>
      </c>
      <c r="P159" s="91">
        <f t="shared" si="72"/>
        <v>3347</v>
      </c>
      <c r="Q159" s="172" t="s">
        <v>829</v>
      </c>
      <c r="R159" s="11">
        <f t="shared" si="91"/>
        <v>117357</v>
      </c>
      <c r="S159" s="91">
        <f t="shared" si="73"/>
        <v>0</v>
      </c>
      <c r="T159" s="172"/>
      <c r="U159" s="11">
        <f t="shared" si="92"/>
        <v>117357</v>
      </c>
      <c r="V159" s="91">
        <f t="shared" si="74"/>
        <v>0</v>
      </c>
      <c r="W159" s="172"/>
      <c r="X159" s="548">
        <v>19384.2</v>
      </c>
      <c r="Y159" s="201">
        <f t="shared" si="94"/>
        <v>0.16517293386845266</v>
      </c>
      <c r="Z159" s="11" t="s">
        <v>570</v>
      </c>
    </row>
    <row r="160" spans="2:26" ht="22.9" customHeight="1" x14ac:dyDescent="0.25">
      <c r="B160" s="58" t="s">
        <v>416</v>
      </c>
      <c r="C160" s="105" t="s">
        <v>353</v>
      </c>
      <c r="D160" s="519" t="s">
        <v>345</v>
      </c>
      <c r="E160" s="330">
        <v>397337</v>
      </c>
      <c r="F160" s="330">
        <f t="shared" si="89"/>
        <v>397337</v>
      </c>
      <c r="G160" s="91">
        <f t="shared" si="69"/>
        <v>0</v>
      </c>
      <c r="H160" s="401"/>
      <c r="I160" s="11">
        <f t="shared" si="90"/>
        <v>397337</v>
      </c>
      <c r="J160" s="91">
        <f t="shared" si="70"/>
        <v>0</v>
      </c>
      <c r="K160" s="172"/>
      <c r="L160" s="11">
        <f t="shared" ref="L160:L168" si="95">ROUND(I160,0)</f>
        <v>397337</v>
      </c>
      <c r="M160" s="91">
        <f t="shared" si="71"/>
        <v>0</v>
      </c>
      <c r="N160" s="172"/>
      <c r="O160" s="11">
        <f>ROUND(L160,0)</f>
        <v>397337</v>
      </c>
      <c r="P160" s="91">
        <f t="shared" si="72"/>
        <v>0</v>
      </c>
      <c r="Q160" s="172"/>
      <c r="R160" s="11">
        <f t="shared" si="91"/>
        <v>397337</v>
      </c>
      <c r="S160" s="91">
        <f t="shared" si="73"/>
        <v>0</v>
      </c>
      <c r="T160" s="172"/>
      <c r="U160" s="11">
        <f t="shared" si="92"/>
        <v>397337</v>
      </c>
      <c r="V160" s="91">
        <f t="shared" si="74"/>
        <v>0</v>
      </c>
      <c r="W160" s="172"/>
      <c r="X160" s="548">
        <v>90266</v>
      </c>
      <c r="Y160" s="201">
        <f t="shared" si="94"/>
        <v>0.22717743376529242</v>
      </c>
      <c r="Z160" s="12"/>
    </row>
    <row r="161" spans="2:26" ht="15" customHeight="1" x14ac:dyDescent="0.25">
      <c r="B161" s="514" t="s">
        <v>737</v>
      </c>
      <c r="C161" s="105" t="s">
        <v>354</v>
      </c>
      <c r="D161" s="291" t="s">
        <v>643</v>
      </c>
      <c r="E161" s="330">
        <v>207440</v>
      </c>
      <c r="F161" s="330">
        <f t="shared" si="89"/>
        <v>207440</v>
      </c>
      <c r="G161" s="41">
        <f t="shared" si="69"/>
        <v>0</v>
      </c>
      <c r="H161" s="380"/>
      <c r="I161" s="11">
        <f t="shared" si="90"/>
        <v>207440</v>
      </c>
      <c r="J161" s="41">
        <f t="shared" si="70"/>
        <v>0</v>
      </c>
      <c r="K161" s="144"/>
      <c r="L161" s="11">
        <f t="shared" si="95"/>
        <v>207440</v>
      </c>
      <c r="M161" s="41">
        <f t="shared" si="71"/>
        <v>0</v>
      </c>
      <c r="N161" s="144"/>
      <c r="O161" s="11">
        <f>ROUND(L161,0)+22000+50687</f>
        <v>280127</v>
      </c>
      <c r="P161" s="41">
        <f t="shared" si="72"/>
        <v>72687</v>
      </c>
      <c r="Q161" s="144" t="s">
        <v>831</v>
      </c>
      <c r="R161" s="11">
        <f t="shared" si="91"/>
        <v>280127</v>
      </c>
      <c r="S161" s="41">
        <f t="shared" si="73"/>
        <v>0</v>
      </c>
      <c r="T161" s="144"/>
      <c r="U161" s="11">
        <f t="shared" si="92"/>
        <v>280127</v>
      </c>
      <c r="V161" s="41">
        <f t="shared" si="74"/>
        <v>0</v>
      </c>
      <c r="W161" s="144"/>
      <c r="X161" s="548">
        <v>154140.98000000001</v>
      </c>
      <c r="Y161" s="201">
        <f t="shared" si="94"/>
        <v>0.55025392054318223</v>
      </c>
      <c r="Z161" s="11" t="s">
        <v>570</v>
      </c>
    </row>
    <row r="162" spans="2:26" ht="29.25" customHeight="1" x14ac:dyDescent="0.25">
      <c r="B162" s="58" t="s">
        <v>778</v>
      </c>
      <c r="C162" s="105" t="s">
        <v>355</v>
      </c>
      <c r="D162" s="293" t="s">
        <v>650</v>
      </c>
      <c r="E162" s="334">
        <v>14067</v>
      </c>
      <c r="F162" s="330">
        <f t="shared" ref="F162:F171" si="96">ROUND(E162,0)</f>
        <v>14067</v>
      </c>
      <c r="G162" s="41">
        <f t="shared" ref="G162:G168" si="97">F162-E162</f>
        <v>0</v>
      </c>
      <c r="H162" s="402"/>
      <c r="I162" s="11">
        <f t="shared" ref="I162:I168" si="98">ROUND(F162,0)</f>
        <v>14067</v>
      </c>
      <c r="J162" s="41">
        <f t="shared" ref="J162:J168" si="99">I162-F162</f>
        <v>0</v>
      </c>
      <c r="K162" s="294"/>
      <c r="L162" s="11">
        <f t="shared" si="95"/>
        <v>14067</v>
      </c>
      <c r="M162" s="41">
        <f t="shared" ref="M162:M168" si="100">L162-I162</f>
        <v>0</v>
      </c>
      <c r="N162" s="294"/>
      <c r="O162" s="11">
        <f>ROUND(L162,0)+5801</f>
        <v>19868</v>
      </c>
      <c r="P162" s="41">
        <f t="shared" ref="P162:P168" si="101">O162-L162</f>
        <v>5801</v>
      </c>
      <c r="Q162" s="294" t="s">
        <v>833</v>
      </c>
      <c r="R162" s="11">
        <f t="shared" si="91"/>
        <v>19868</v>
      </c>
      <c r="S162" s="41">
        <f t="shared" si="73"/>
        <v>0</v>
      </c>
      <c r="T162" s="294"/>
      <c r="U162" s="11">
        <f t="shared" si="92"/>
        <v>19868</v>
      </c>
      <c r="V162" s="41">
        <f t="shared" si="74"/>
        <v>0</v>
      </c>
      <c r="W162" s="294"/>
      <c r="X162" s="548">
        <v>19867.599999999999</v>
      </c>
      <c r="Y162" s="209">
        <f t="shared" si="94"/>
        <v>0.99997986712301179</v>
      </c>
      <c r="Z162" s="269"/>
    </row>
    <row r="163" spans="2:26" ht="33" customHeight="1" x14ac:dyDescent="0.25">
      <c r="B163" s="58" t="s">
        <v>214</v>
      </c>
      <c r="C163" s="105" t="s">
        <v>356</v>
      </c>
      <c r="D163" s="293" t="s">
        <v>651</v>
      </c>
      <c r="E163" s="334">
        <v>7900</v>
      </c>
      <c r="F163" s="330">
        <f t="shared" si="96"/>
        <v>7900</v>
      </c>
      <c r="G163" s="41">
        <f t="shared" si="97"/>
        <v>0</v>
      </c>
      <c r="H163" s="402"/>
      <c r="I163" s="11">
        <f t="shared" si="98"/>
        <v>7900</v>
      </c>
      <c r="J163" s="41">
        <f t="shared" si="99"/>
        <v>0</v>
      </c>
      <c r="K163" s="294"/>
      <c r="L163" s="11">
        <f t="shared" si="95"/>
        <v>7900</v>
      </c>
      <c r="M163" s="41">
        <f t="shared" si="100"/>
        <v>0</v>
      </c>
      <c r="N163" s="294"/>
      <c r="O163" s="11">
        <f t="shared" ref="O163:O171" si="102">ROUND(L163,0)</f>
        <v>7900</v>
      </c>
      <c r="P163" s="41">
        <f t="shared" si="101"/>
        <v>0</v>
      </c>
      <c r="Q163" s="294"/>
      <c r="R163" s="11">
        <f>ROUND(O163,0)+12598</f>
        <v>20498</v>
      </c>
      <c r="S163" s="521">
        <f t="shared" si="73"/>
        <v>12598</v>
      </c>
      <c r="T163" s="522" t="s">
        <v>885</v>
      </c>
      <c r="U163" s="11">
        <f t="shared" ref="U163:U171" si="103">ROUND(R163,0)</f>
        <v>20498</v>
      </c>
      <c r="V163" s="41">
        <f t="shared" si="74"/>
        <v>0</v>
      </c>
      <c r="W163" s="294"/>
      <c r="X163" s="456">
        <v>0</v>
      </c>
      <c r="Y163" s="209">
        <f t="shared" si="94"/>
        <v>0</v>
      </c>
      <c r="Z163" s="269"/>
    </row>
    <row r="164" spans="2:26" ht="17.45" customHeight="1" x14ac:dyDescent="0.25">
      <c r="B164" s="58" t="s">
        <v>214</v>
      </c>
      <c r="C164" s="105" t="s">
        <v>536</v>
      </c>
      <c r="D164" s="293" t="s">
        <v>490</v>
      </c>
      <c r="E164" s="334">
        <v>9000</v>
      </c>
      <c r="F164" s="330">
        <f t="shared" si="96"/>
        <v>9000</v>
      </c>
      <c r="G164" s="41">
        <f t="shared" si="97"/>
        <v>0</v>
      </c>
      <c r="H164" s="402"/>
      <c r="I164" s="11">
        <f t="shared" si="98"/>
        <v>9000</v>
      </c>
      <c r="J164" s="41">
        <f t="shared" si="99"/>
        <v>0</v>
      </c>
      <c r="K164" s="294"/>
      <c r="L164" s="11">
        <f t="shared" si="95"/>
        <v>9000</v>
      </c>
      <c r="M164" s="41">
        <f t="shared" si="100"/>
        <v>0</v>
      </c>
      <c r="N164" s="294"/>
      <c r="O164" s="11">
        <f t="shared" si="102"/>
        <v>9000</v>
      </c>
      <c r="P164" s="41">
        <f t="shared" si="101"/>
        <v>0</v>
      </c>
      <c r="Q164" s="294"/>
      <c r="R164" s="11">
        <f t="shared" ref="R164:R171" si="104">ROUND(O164,0)</f>
        <v>9000</v>
      </c>
      <c r="S164" s="41">
        <f t="shared" si="73"/>
        <v>0</v>
      </c>
      <c r="T164" s="294"/>
      <c r="U164" s="11">
        <f t="shared" si="103"/>
        <v>9000</v>
      </c>
      <c r="V164" s="41">
        <f t="shared" si="74"/>
        <v>0</v>
      </c>
      <c r="W164" s="294"/>
      <c r="X164" s="486"/>
      <c r="Y164" s="209">
        <f t="shared" si="94"/>
        <v>0</v>
      </c>
      <c r="Z164" s="269"/>
    </row>
    <row r="165" spans="2:26" ht="55.9" customHeight="1" x14ac:dyDescent="0.25">
      <c r="B165" s="58" t="s">
        <v>214</v>
      </c>
      <c r="C165" s="105" t="s">
        <v>673</v>
      </c>
      <c r="D165" s="293" t="s">
        <v>656</v>
      </c>
      <c r="E165" s="334">
        <v>12020</v>
      </c>
      <c r="F165" s="330">
        <f t="shared" si="96"/>
        <v>12020</v>
      </c>
      <c r="G165" s="41">
        <f t="shared" si="97"/>
        <v>0</v>
      </c>
      <c r="H165" s="402"/>
      <c r="I165" s="11">
        <f t="shared" si="98"/>
        <v>12020</v>
      </c>
      <c r="J165" s="41">
        <f t="shared" si="99"/>
        <v>0</v>
      </c>
      <c r="K165" s="294"/>
      <c r="L165" s="11">
        <f t="shared" si="95"/>
        <v>12020</v>
      </c>
      <c r="M165" s="41">
        <f t="shared" si="100"/>
        <v>0</v>
      </c>
      <c r="N165" s="294"/>
      <c r="O165" s="11">
        <f t="shared" si="102"/>
        <v>12020</v>
      </c>
      <c r="P165" s="41">
        <f t="shared" si="101"/>
        <v>0</v>
      </c>
      <c r="Q165" s="294"/>
      <c r="R165" s="11">
        <f t="shared" si="104"/>
        <v>12020</v>
      </c>
      <c r="S165" s="41">
        <f t="shared" si="73"/>
        <v>0</v>
      </c>
      <c r="T165" s="294"/>
      <c r="U165" s="11">
        <f t="shared" si="103"/>
        <v>12020</v>
      </c>
      <c r="V165" s="41">
        <f t="shared" si="74"/>
        <v>0</v>
      </c>
      <c r="W165" s="294"/>
      <c r="X165" s="486"/>
      <c r="Y165" s="209">
        <f t="shared" si="94"/>
        <v>0</v>
      </c>
      <c r="Z165" s="269"/>
    </row>
    <row r="166" spans="2:26" ht="40.9" customHeight="1" x14ac:dyDescent="0.25">
      <c r="B166" s="58" t="s">
        <v>214</v>
      </c>
      <c r="C166" s="105" t="s">
        <v>674</v>
      </c>
      <c r="D166" s="293" t="s">
        <v>655</v>
      </c>
      <c r="E166" s="334">
        <v>30655</v>
      </c>
      <c r="F166" s="330">
        <f t="shared" si="96"/>
        <v>30655</v>
      </c>
      <c r="G166" s="41">
        <f t="shared" si="97"/>
        <v>0</v>
      </c>
      <c r="H166" s="402"/>
      <c r="I166" s="11">
        <f t="shared" si="98"/>
        <v>30655</v>
      </c>
      <c r="J166" s="41">
        <f t="shared" si="99"/>
        <v>0</v>
      </c>
      <c r="K166" s="294"/>
      <c r="L166" s="11">
        <f t="shared" si="95"/>
        <v>30655</v>
      </c>
      <c r="M166" s="41">
        <f t="shared" si="100"/>
        <v>0</v>
      </c>
      <c r="N166" s="294"/>
      <c r="O166" s="11">
        <f t="shared" si="102"/>
        <v>30655</v>
      </c>
      <c r="P166" s="41">
        <f t="shared" si="101"/>
        <v>0</v>
      </c>
      <c r="Q166" s="294"/>
      <c r="R166" s="11">
        <f t="shared" si="104"/>
        <v>30655</v>
      </c>
      <c r="S166" s="41">
        <f t="shared" si="73"/>
        <v>0</v>
      </c>
      <c r="T166" s="294"/>
      <c r="U166" s="11">
        <f t="shared" si="103"/>
        <v>30655</v>
      </c>
      <c r="V166" s="41">
        <f t="shared" si="74"/>
        <v>0</v>
      </c>
      <c r="W166" s="294"/>
      <c r="X166" s="548">
        <f>555.8+1588+2332.8</f>
        <v>4476.6000000000004</v>
      </c>
      <c r="Y166" s="209">
        <f t="shared" si="94"/>
        <v>0.14603164247267983</v>
      </c>
      <c r="Z166" s="269"/>
    </row>
    <row r="167" spans="2:26" ht="16.899999999999999" customHeight="1" x14ac:dyDescent="0.25">
      <c r="B167" s="58" t="s">
        <v>644</v>
      </c>
      <c r="C167" s="105" t="s">
        <v>675</v>
      </c>
      <c r="D167" s="293" t="s">
        <v>645</v>
      </c>
      <c r="E167" s="334">
        <v>168527</v>
      </c>
      <c r="F167" s="330">
        <f t="shared" si="96"/>
        <v>168527</v>
      </c>
      <c r="G167" s="41">
        <f t="shared" si="97"/>
        <v>0</v>
      </c>
      <c r="H167" s="402"/>
      <c r="I167" s="11">
        <f t="shared" si="98"/>
        <v>168527</v>
      </c>
      <c r="J167" s="41">
        <f t="shared" si="99"/>
        <v>0</v>
      </c>
      <c r="K167" s="294"/>
      <c r="L167" s="11">
        <f t="shared" si="95"/>
        <v>168527</v>
      </c>
      <c r="M167" s="41">
        <f t="shared" si="100"/>
        <v>0</v>
      </c>
      <c r="N167" s="294"/>
      <c r="O167" s="11">
        <f t="shared" si="102"/>
        <v>168527</v>
      </c>
      <c r="P167" s="41">
        <f t="shared" si="101"/>
        <v>0</v>
      </c>
      <c r="Q167" s="294"/>
      <c r="R167" s="11">
        <f t="shared" si="104"/>
        <v>168527</v>
      </c>
      <c r="S167" s="41">
        <f t="shared" si="73"/>
        <v>0</v>
      </c>
      <c r="T167" s="294"/>
      <c r="U167" s="11">
        <f t="shared" si="103"/>
        <v>168527</v>
      </c>
      <c r="V167" s="41">
        <f t="shared" si="74"/>
        <v>0</v>
      </c>
      <c r="W167" s="294"/>
      <c r="X167" s="548">
        <v>9059.2999999999993</v>
      </c>
      <c r="Y167" s="201">
        <f t="shared" si="94"/>
        <v>5.3755778005898161E-2</v>
      </c>
      <c r="Z167" s="269"/>
    </row>
    <row r="168" spans="2:26" ht="42.6" customHeight="1" x14ac:dyDescent="0.25">
      <c r="B168" s="58" t="s">
        <v>214</v>
      </c>
      <c r="C168" s="105" t="s">
        <v>676</v>
      </c>
      <c r="D168" s="293" t="s">
        <v>641</v>
      </c>
      <c r="E168" s="334">
        <v>44284</v>
      </c>
      <c r="F168" s="330">
        <f t="shared" si="96"/>
        <v>44284</v>
      </c>
      <c r="G168" s="41">
        <f t="shared" si="97"/>
        <v>0</v>
      </c>
      <c r="H168" s="402"/>
      <c r="I168" s="11">
        <f t="shared" si="98"/>
        <v>44284</v>
      </c>
      <c r="J168" s="41">
        <f t="shared" si="99"/>
        <v>0</v>
      </c>
      <c r="K168" s="294"/>
      <c r="L168" s="11">
        <f t="shared" si="95"/>
        <v>44284</v>
      </c>
      <c r="M168" s="41">
        <f t="shared" si="100"/>
        <v>0</v>
      </c>
      <c r="N168" s="294"/>
      <c r="O168" s="11">
        <f t="shared" si="102"/>
        <v>44284</v>
      </c>
      <c r="P168" s="41">
        <f t="shared" si="101"/>
        <v>0</v>
      </c>
      <c r="Q168" s="294"/>
      <c r="R168" s="11">
        <f>ROUND(O168,0)-44284</f>
        <v>0</v>
      </c>
      <c r="S168" s="41">
        <f t="shared" si="73"/>
        <v>-44284</v>
      </c>
      <c r="T168" s="193" t="s">
        <v>837</v>
      </c>
      <c r="U168" s="11">
        <f t="shared" si="103"/>
        <v>0</v>
      </c>
      <c r="V168" s="41">
        <f t="shared" si="74"/>
        <v>0</v>
      </c>
      <c r="W168" s="193"/>
      <c r="X168" s="486"/>
      <c r="Y168" s="209" t="e">
        <f t="shared" si="94"/>
        <v>#DIV/0!</v>
      </c>
      <c r="Z168" s="269"/>
    </row>
    <row r="169" spans="2:26" ht="27" customHeight="1" x14ac:dyDescent="0.25">
      <c r="B169" s="58" t="s">
        <v>840</v>
      </c>
      <c r="C169" s="105" t="s">
        <v>838</v>
      </c>
      <c r="D169" s="292" t="s">
        <v>646</v>
      </c>
      <c r="E169" s="337">
        <v>0</v>
      </c>
      <c r="F169" s="330">
        <f t="shared" si="96"/>
        <v>0</v>
      </c>
      <c r="G169" s="52">
        <f t="shared" si="69"/>
        <v>0</v>
      </c>
      <c r="H169" s="400"/>
      <c r="I169" s="52"/>
      <c r="J169" s="52">
        <f t="shared" si="70"/>
        <v>0</v>
      </c>
      <c r="K169" s="171"/>
      <c r="L169" s="52"/>
      <c r="M169" s="52">
        <f t="shared" si="71"/>
        <v>0</v>
      </c>
      <c r="N169" s="171"/>
      <c r="O169" s="11">
        <f t="shared" si="102"/>
        <v>0</v>
      </c>
      <c r="P169" s="52">
        <f t="shared" si="72"/>
        <v>0</v>
      </c>
      <c r="Q169" s="171"/>
      <c r="R169" s="11">
        <f>ROUND(O169,0)+85085</f>
        <v>85085</v>
      </c>
      <c r="S169" s="52">
        <f t="shared" si="73"/>
        <v>85085</v>
      </c>
      <c r="T169" s="193" t="s">
        <v>848</v>
      </c>
      <c r="U169" s="11">
        <f t="shared" si="103"/>
        <v>85085</v>
      </c>
      <c r="V169" s="52">
        <f t="shared" si="74"/>
        <v>0</v>
      </c>
      <c r="W169" s="193"/>
      <c r="X169" s="548">
        <v>653.1</v>
      </c>
      <c r="Y169" s="206">
        <f t="shared" si="94"/>
        <v>7.6758535582065E-3</v>
      </c>
      <c r="Z169" s="268"/>
    </row>
    <row r="170" spans="2:26" ht="30.6" customHeight="1" x14ac:dyDescent="0.25">
      <c r="B170" s="58" t="s">
        <v>470</v>
      </c>
      <c r="C170" s="105" t="s">
        <v>839</v>
      </c>
      <c r="D170" s="291" t="s">
        <v>310</v>
      </c>
      <c r="E170" s="337">
        <v>0</v>
      </c>
      <c r="F170" s="330">
        <f t="shared" si="96"/>
        <v>0</v>
      </c>
      <c r="G170" s="52">
        <f t="shared" si="69"/>
        <v>0</v>
      </c>
      <c r="H170" s="436"/>
      <c r="I170" s="52"/>
      <c r="J170" s="52">
        <f t="shared" si="70"/>
        <v>0</v>
      </c>
      <c r="K170" s="453"/>
      <c r="L170" s="52"/>
      <c r="M170" s="52">
        <f t="shared" si="71"/>
        <v>0</v>
      </c>
      <c r="N170" s="171"/>
      <c r="O170" s="11">
        <f t="shared" si="102"/>
        <v>0</v>
      </c>
      <c r="P170" s="52">
        <f t="shared" si="72"/>
        <v>0</v>
      </c>
      <c r="Q170" s="171"/>
      <c r="R170" s="11">
        <f t="shared" si="104"/>
        <v>0</v>
      </c>
      <c r="S170" s="52">
        <f t="shared" si="73"/>
        <v>0</v>
      </c>
      <c r="T170" s="171"/>
      <c r="U170" s="11">
        <f t="shared" si="103"/>
        <v>0</v>
      </c>
      <c r="V170" s="52">
        <f t="shared" si="74"/>
        <v>0</v>
      </c>
      <c r="W170" s="171"/>
      <c r="X170" s="456">
        <v>0</v>
      </c>
      <c r="Y170" s="206" t="e">
        <f t="shared" si="94"/>
        <v>#DIV/0!</v>
      </c>
      <c r="Z170" s="12"/>
    </row>
    <row r="171" spans="2:26" ht="32.450000000000003" customHeight="1" x14ac:dyDescent="0.25">
      <c r="B171" s="58" t="s">
        <v>516</v>
      </c>
      <c r="C171" s="105" t="s">
        <v>536</v>
      </c>
      <c r="D171" s="306" t="s">
        <v>517</v>
      </c>
      <c r="E171" s="336">
        <v>0</v>
      </c>
      <c r="F171" s="330">
        <f t="shared" si="96"/>
        <v>0</v>
      </c>
      <c r="G171" s="52">
        <f t="shared" si="69"/>
        <v>0</v>
      </c>
      <c r="H171" s="401"/>
      <c r="I171" s="91"/>
      <c r="J171" s="52">
        <f t="shared" si="70"/>
        <v>0</v>
      </c>
      <c r="K171" s="174"/>
      <c r="L171" s="91"/>
      <c r="M171" s="52">
        <f t="shared" si="71"/>
        <v>0</v>
      </c>
      <c r="N171" s="174"/>
      <c r="O171" s="11">
        <f t="shared" si="102"/>
        <v>0</v>
      </c>
      <c r="P171" s="52">
        <f t="shared" si="72"/>
        <v>0</v>
      </c>
      <c r="Q171" s="174"/>
      <c r="R171" s="11">
        <f t="shared" si="104"/>
        <v>0</v>
      </c>
      <c r="S171" s="52">
        <f t="shared" si="73"/>
        <v>0</v>
      </c>
      <c r="T171" s="174"/>
      <c r="U171" s="11">
        <f t="shared" si="103"/>
        <v>0</v>
      </c>
      <c r="V171" s="52">
        <f t="shared" si="74"/>
        <v>0</v>
      </c>
      <c r="W171" s="174"/>
      <c r="X171" s="456">
        <v>0</v>
      </c>
      <c r="Y171" s="213" t="e">
        <f t="shared" si="94"/>
        <v>#DIV/0!</v>
      </c>
      <c r="Z171" s="12"/>
    </row>
    <row r="172" spans="2:26" ht="29.25" customHeight="1" x14ac:dyDescent="0.25">
      <c r="C172" s="79" t="s">
        <v>171</v>
      </c>
      <c r="D172" s="300" t="s">
        <v>165</v>
      </c>
      <c r="E172" s="345">
        <v>11549801.841957785</v>
      </c>
      <c r="F172" s="345">
        <f t="shared" ref="F172" si="105">SUM(F173:F178,F182:F191)</f>
        <v>11653537</v>
      </c>
      <c r="G172" s="24">
        <f t="shared" si="69"/>
        <v>103735.15804221481</v>
      </c>
      <c r="H172" s="404"/>
      <c r="I172" s="24">
        <f>SUM(I173:I178,I182:I191)</f>
        <v>11956848</v>
      </c>
      <c r="J172" s="24">
        <f t="shared" si="70"/>
        <v>303311</v>
      </c>
      <c r="K172" s="173"/>
      <c r="L172" s="24">
        <f>SUM(L173:L178,L182:L191)</f>
        <v>12038272</v>
      </c>
      <c r="M172" s="24">
        <f t="shared" si="71"/>
        <v>81424</v>
      </c>
      <c r="N172" s="173"/>
      <c r="O172" s="24">
        <f>SUM(O173:O178,O182:O191)</f>
        <v>12725876</v>
      </c>
      <c r="P172" s="24">
        <f t="shared" si="72"/>
        <v>687604</v>
      </c>
      <c r="Q172" s="173"/>
      <c r="R172" s="24">
        <f>SUM(R173:R178,R182:R191)</f>
        <v>12924698</v>
      </c>
      <c r="S172" s="24">
        <f t="shared" si="73"/>
        <v>198822</v>
      </c>
      <c r="T172" s="173"/>
      <c r="U172" s="24">
        <f>SUM(U173:U178,U182:U191)</f>
        <v>12944698</v>
      </c>
      <c r="V172" s="24">
        <f t="shared" si="74"/>
        <v>20000</v>
      </c>
      <c r="W172" s="173"/>
      <c r="X172" s="24">
        <f>SUM(X173:X178,X182:X191)</f>
        <v>8080522.3999999994</v>
      </c>
      <c r="Y172" s="224">
        <f t="shared" si="94"/>
        <v>0.62423413817765383</v>
      </c>
      <c r="Z172" s="273"/>
    </row>
    <row r="173" spans="2:26" ht="27.6" customHeight="1" x14ac:dyDescent="0.25">
      <c r="B173" s="58" t="s">
        <v>335</v>
      </c>
      <c r="C173" s="81" t="s">
        <v>556</v>
      </c>
      <c r="D173" s="291" t="s">
        <v>537</v>
      </c>
      <c r="E173" s="337">
        <v>1199200.0293275001</v>
      </c>
      <c r="F173" s="337">
        <f>ROUND(E173,0)</f>
        <v>1199200</v>
      </c>
      <c r="G173" s="110">
        <f t="shared" si="69"/>
        <v>-2.9327500145882368E-2</v>
      </c>
      <c r="H173" s="403"/>
      <c r="I173" s="52">
        <f>ROUND(F173,0)</f>
        <v>1199200</v>
      </c>
      <c r="J173" s="110">
        <f t="shared" si="70"/>
        <v>0</v>
      </c>
      <c r="K173" s="174"/>
      <c r="L173" s="52">
        <f>ROUND(I173,0)</f>
        <v>1199200</v>
      </c>
      <c r="M173" s="110">
        <f t="shared" si="71"/>
        <v>0</v>
      </c>
      <c r="N173" s="174"/>
      <c r="O173" s="52">
        <f>ROUND(L173,0)</f>
        <v>1199200</v>
      </c>
      <c r="P173" s="110">
        <f t="shared" si="72"/>
        <v>0</v>
      </c>
      <c r="Q173" s="174"/>
      <c r="R173" s="52">
        <f>ROUND(O173,0)+2400</f>
        <v>1201600</v>
      </c>
      <c r="S173" s="110">
        <f t="shared" si="73"/>
        <v>2400</v>
      </c>
      <c r="T173" s="174" t="s">
        <v>864</v>
      </c>
      <c r="U173" s="52">
        <f>ROUND(R173,0)</f>
        <v>1201600</v>
      </c>
      <c r="V173" s="110">
        <f t="shared" si="74"/>
        <v>0</v>
      </c>
      <c r="W173" s="174"/>
      <c r="X173" s="548">
        <v>1150088.93</v>
      </c>
      <c r="Y173" s="206">
        <f t="shared" si="94"/>
        <v>0.95713126664447401</v>
      </c>
      <c r="Z173" s="471" t="s">
        <v>775</v>
      </c>
    </row>
    <row r="174" spans="2:26" ht="13.9" customHeight="1" x14ac:dyDescent="0.25">
      <c r="B174" s="58" t="s">
        <v>652</v>
      </c>
      <c r="C174" s="81" t="s">
        <v>557</v>
      </c>
      <c r="D174" s="291" t="s">
        <v>671</v>
      </c>
      <c r="E174" s="337">
        <v>1875164.83</v>
      </c>
      <c r="F174" s="337">
        <f t="shared" ref="F174:F187" si="106">ROUND(E174,0)</f>
        <v>1875165</v>
      </c>
      <c r="G174" s="11">
        <f t="shared" si="69"/>
        <v>0.16999999992549419</v>
      </c>
      <c r="H174" s="399"/>
      <c r="I174" s="52">
        <f>ROUND(F174,0)</f>
        <v>1875165</v>
      </c>
      <c r="J174" s="11">
        <f t="shared" si="70"/>
        <v>0</v>
      </c>
      <c r="K174" s="170"/>
      <c r="L174" s="52">
        <f>ROUND(I174,0)</f>
        <v>1875165</v>
      </c>
      <c r="M174" s="11">
        <f t="shared" si="71"/>
        <v>0</v>
      </c>
      <c r="N174" s="170"/>
      <c r="O174" s="52">
        <f>ROUND(L174,0)</f>
        <v>1875165</v>
      </c>
      <c r="P174" s="11">
        <f t="shared" si="72"/>
        <v>0</v>
      </c>
      <c r="Q174" s="170"/>
      <c r="R174" s="52">
        <f>ROUND(O174,0)</f>
        <v>1875165</v>
      </c>
      <c r="S174" s="11">
        <f t="shared" si="73"/>
        <v>0</v>
      </c>
      <c r="T174" s="170"/>
      <c r="U174" s="52">
        <f>ROUND(R174,0)</f>
        <v>1875165</v>
      </c>
      <c r="V174" s="11">
        <f t="shared" si="74"/>
        <v>0</v>
      </c>
      <c r="W174" s="170"/>
      <c r="X174" s="548">
        <v>1649215.5</v>
      </c>
      <c r="Y174" s="206">
        <f t="shared" si="94"/>
        <v>0.87950420363008053</v>
      </c>
      <c r="Z174" s="268"/>
    </row>
    <row r="175" spans="2:26" ht="27" customHeight="1" x14ac:dyDescent="0.25">
      <c r="B175" s="58" t="s">
        <v>453</v>
      </c>
      <c r="C175" s="105" t="s">
        <v>558</v>
      </c>
      <c r="D175" s="291" t="s">
        <v>495</v>
      </c>
      <c r="E175" s="337">
        <v>363351</v>
      </c>
      <c r="F175" s="337">
        <f>ROUND(E175,0)-1-3420+92966</f>
        <v>452896</v>
      </c>
      <c r="G175" s="41">
        <f t="shared" si="69"/>
        <v>89545</v>
      </c>
      <c r="H175" s="175" t="s">
        <v>702</v>
      </c>
      <c r="I175" s="52">
        <f>ROUND(F175,0)</f>
        <v>452896</v>
      </c>
      <c r="J175" s="41">
        <f t="shared" si="70"/>
        <v>0</v>
      </c>
      <c r="K175" s="175"/>
      <c r="L175" s="52">
        <f>ROUND(I175,0)</f>
        <v>452896</v>
      </c>
      <c r="M175" s="41">
        <f t="shared" si="71"/>
        <v>0</v>
      </c>
      <c r="N175" s="175"/>
      <c r="O175" s="52">
        <f>ROUND(L175,0)</f>
        <v>452896</v>
      </c>
      <c r="P175" s="41">
        <f t="shared" si="72"/>
        <v>0</v>
      </c>
      <c r="Q175" s="175"/>
      <c r="R175" s="52">
        <f>ROUND(O175,0)</f>
        <v>452896</v>
      </c>
      <c r="S175" s="41">
        <f t="shared" si="73"/>
        <v>0</v>
      </c>
      <c r="T175" s="175"/>
      <c r="U175" s="52">
        <f>ROUND(R175,0)</f>
        <v>452896</v>
      </c>
      <c r="V175" s="41">
        <f t="shared" si="74"/>
        <v>0</v>
      </c>
      <c r="W175" s="175"/>
      <c r="X175" s="548">
        <v>55245.07</v>
      </c>
      <c r="Y175" s="206">
        <f t="shared" si="94"/>
        <v>0.1219818015615064</v>
      </c>
      <c r="Z175" s="11" t="s">
        <v>570</v>
      </c>
    </row>
    <row r="176" spans="2:26" ht="27" customHeight="1" x14ac:dyDescent="0.25">
      <c r="B176" s="58" t="s">
        <v>845</v>
      </c>
      <c r="C176" s="501" t="s">
        <v>559</v>
      </c>
      <c r="D176" s="454" t="s">
        <v>846</v>
      </c>
      <c r="E176" s="457"/>
      <c r="F176" s="457"/>
      <c r="G176" s="456"/>
      <c r="H176" s="459"/>
      <c r="I176" s="456"/>
      <c r="J176" s="456"/>
      <c r="K176" s="459"/>
      <c r="L176" s="456"/>
      <c r="M176" s="456"/>
      <c r="N176" s="459"/>
      <c r="O176" s="456"/>
      <c r="P176" s="456"/>
      <c r="Q176" s="459"/>
      <c r="R176" s="456">
        <v>120000</v>
      </c>
      <c r="S176" s="41">
        <f t="shared" si="73"/>
        <v>120000</v>
      </c>
      <c r="T176" s="459" t="s">
        <v>847</v>
      </c>
      <c r="U176" s="456">
        <v>120000</v>
      </c>
      <c r="V176" s="41">
        <f t="shared" si="74"/>
        <v>0</v>
      </c>
      <c r="W176" s="459"/>
      <c r="X176" s="548">
        <v>34775.4</v>
      </c>
      <c r="Y176" s="460">
        <f t="shared" si="94"/>
        <v>0.28979500000000002</v>
      </c>
      <c r="Z176" s="456"/>
    </row>
    <row r="177" spans="2:26" ht="14.25" customHeight="1" x14ac:dyDescent="0.25">
      <c r="B177" s="58" t="s">
        <v>529</v>
      </c>
      <c r="C177" s="81" t="s">
        <v>560</v>
      </c>
      <c r="D177" s="291" t="s">
        <v>286</v>
      </c>
      <c r="E177" s="337">
        <v>1574037</v>
      </c>
      <c r="F177" s="337">
        <f>ROUND(E177,0)+168382-168382</f>
        <v>1574037</v>
      </c>
      <c r="G177" s="52">
        <f t="shared" si="69"/>
        <v>0</v>
      </c>
      <c r="H177" s="430" t="s">
        <v>721</v>
      </c>
      <c r="I177" s="52">
        <f>ROUND(F177,0)</f>
        <v>1574037</v>
      </c>
      <c r="J177" s="52">
        <f t="shared" si="70"/>
        <v>0</v>
      </c>
      <c r="K177" s="171"/>
      <c r="L177" s="52">
        <f>ROUND(I177,0)</f>
        <v>1574037</v>
      </c>
      <c r="M177" s="52">
        <f t="shared" si="71"/>
        <v>0</v>
      </c>
      <c r="N177" s="171"/>
      <c r="O177" s="52">
        <f>ROUND(L177,0)+680342</f>
        <v>2254379</v>
      </c>
      <c r="P177" s="52">
        <f t="shared" si="72"/>
        <v>680342</v>
      </c>
      <c r="Q177" s="171" t="s">
        <v>826</v>
      </c>
      <c r="R177" s="52">
        <f>ROUND(O177,0)</f>
        <v>2254379</v>
      </c>
      <c r="S177" s="52">
        <f t="shared" si="73"/>
        <v>0</v>
      </c>
      <c r="T177" s="171"/>
      <c r="U177" s="52">
        <f>ROUND(R177,0)</f>
        <v>2254379</v>
      </c>
      <c r="V177" s="52">
        <f t="shared" si="74"/>
        <v>0</v>
      </c>
      <c r="W177" s="171"/>
      <c r="X177" s="486">
        <v>1082361</v>
      </c>
      <c r="Y177" s="206">
        <f t="shared" si="94"/>
        <v>0.48011492300096836</v>
      </c>
      <c r="Z177" s="52" t="s">
        <v>609</v>
      </c>
    </row>
    <row r="178" spans="2:26" ht="32.25" customHeight="1" x14ac:dyDescent="0.25">
      <c r="B178" s="58" t="s">
        <v>285</v>
      </c>
      <c r="C178" s="81" t="s">
        <v>561</v>
      </c>
      <c r="D178" s="291" t="s">
        <v>339</v>
      </c>
      <c r="E178" s="346">
        <v>5403977.9826302836</v>
      </c>
      <c r="F178" s="346">
        <f>SUM(F179:F181)</f>
        <v>5418168</v>
      </c>
      <c r="G178" s="52">
        <f t="shared" si="69"/>
        <v>14190.017369716428</v>
      </c>
      <c r="H178" s="399"/>
      <c r="I178" s="95">
        <f>SUM(I179:I181)</f>
        <v>5367776</v>
      </c>
      <c r="J178" s="52">
        <f t="shared" si="70"/>
        <v>-50392</v>
      </c>
      <c r="K178" s="170"/>
      <c r="L178" s="95">
        <f>SUM(L179:L181)</f>
        <v>5373200</v>
      </c>
      <c r="M178" s="52">
        <f t="shared" si="71"/>
        <v>5424</v>
      </c>
      <c r="N178" s="170"/>
      <c r="O178" s="95">
        <f>SUM(O179:O181)</f>
        <v>5380462</v>
      </c>
      <c r="P178" s="52">
        <f t="shared" si="72"/>
        <v>7262</v>
      </c>
      <c r="Q178" s="170"/>
      <c r="R178" s="95">
        <f>SUM(R179:R181)</f>
        <v>5420641</v>
      </c>
      <c r="S178" s="52">
        <f t="shared" si="73"/>
        <v>40179</v>
      </c>
      <c r="T178" s="170"/>
      <c r="U178" s="95">
        <f>SUM(U179:U181)</f>
        <v>5440641</v>
      </c>
      <c r="V178" s="52">
        <f t="shared" si="74"/>
        <v>20000</v>
      </c>
      <c r="W178" s="170"/>
      <c r="X178" s="506">
        <f>SUM(X179:X181)</f>
        <v>3424060.5</v>
      </c>
      <c r="Y178" s="225">
        <f t="shared" si="94"/>
        <v>0.62934872931332908</v>
      </c>
      <c r="Z178" s="405"/>
    </row>
    <row r="179" spans="2:26" s="316" customFormat="1" ht="136.5" customHeight="1" x14ac:dyDescent="0.25">
      <c r="B179" s="347"/>
      <c r="C179" s="120" t="s">
        <v>841</v>
      </c>
      <c r="D179" s="315" t="s">
        <v>546</v>
      </c>
      <c r="E179" s="348">
        <v>4799085.2470302833</v>
      </c>
      <c r="F179" s="348">
        <f>ROUND(E179,0)+13000-645+1835</f>
        <v>4813275</v>
      </c>
      <c r="G179" s="287">
        <f t="shared" si="69"/>
        <v>14189.752969716676</v>
      </c>
      <c r="H179" s="406" t="s">
        <v>725</v>
      </c>
      <c r="I179" s="350">
        <f>ROUND(F179,0)-10919-6705-19453</f>
        <v>4776198</v>
      </c>
      <c r="J179" s="287">
        <f t="shared" si="70"/>
        <v>-37077</v>
      </c>
      <c r="K179" s="351" t="s">
        <v>761</v>
      </c>
      <c r="L179" s="350">
        <f>ROUND(I179,0)-9076+3500+11000</f>
        <v>4781622</v>
      </c>
      <c r="M179" s="287">
        <f t="shared" si="71"/>
        <v>5424</v>
      </c>
      <c r="N179" s="351" t="s">
        <v>804</v>
      </c>
      <c r="O179" s="350">
        <f>ROUND(L179,0)+276+62+102+28+165+6629</f>
        <v>4788884</v>
      </c>
      <c r="P179" s="287">
        <f t="shared" si="72"/>
        <v>7262</v>
      </c>
      <c r="Q179" s="193" t="s">
        <v>827</v>
      </c>
      <c r="R179" s="350">
        <f>ROUND(O179,0)-6508-328-4600+10757-2978+19000-6000+40000</f>
        <v>4838227</v>
      </c>
      <c r="S179" s="287">
        <f t="shared" si="73"/>
        <v>49343</v>
      </c>
      <c r="T179" s="193" t="s">
        <v>889</v>
      </c>
      <c r="U179" s="350">
        <f>ROUND(R179,0)+4000+4000-7614-12386</f>
        <v>4826227</v>
      </c>
      <c r="V179" s="287">
        <f t="shared" si="74"/>
        <v>-12000</v>
      </c>
      <c r="W179" s="193" t="s">
        <v>912</v>
      </c>
      <c r="X179" s="545">
        <f>2685548+1398+14835+13492+5805+23347+2845+5699+3921+16338+87830+106371+47801+11150+5445</f>
        <v>3031825</v>
      </c>
      <c r="Y179" s="352">
        <f t="shared" si="94"/>
        <v>0.62819776193701626</v>
      </c>
      <c r="Z179" s="353"/>
    </row>
    <row r="180" spans="2:26" s="316" customFormat="1" ht="55.5" customHeight="1" x14ac:dyDescent="0.25">
      <c r="B180" s="347"/>
      <c r="C180" s="120" t="s">
        <v>842</v>
      </c>
      <c r="D180" s="315" t="s">
        <v>547</v>
      </c>
      <c r="E180" s="348">
        <v>350000</v>
      </c>
      <c r="F180" s="348">
        <f t="shared" si="106"/>
        <v>350000</v>
      </c>
      <c r="G180" s="287">
        <f t="shared" si="69"/>
        <v>0</v>
      </c>
      <c r="H180" s="406"/>
      <c r="I180" s="350">
        <f>ROUND(F180,0)-13315</f>
        <v>336685</v>
      </c>
      <c r="J180" s="287">
        <f t="shared" si="70"/>
        <v>-13315</v>
      </c>
      <c r="K180" s="349" t="s">
        <v>751</v>
      </c>
      <c r="L180" s="350">
        <f>ROUND(I180,0)</f>
        <v>336685</v>
      </c>
      <c r="M180" s="287">
        <f t="shared" si="71"/>
        <v>0</v>
      </c>
      <c r="N180" s="349"/>
      <c r="O180" s="350">
        <f t="shared" ref="O180:O191" si="107">ROUND(L180,0)</f>
        <v>336685</v>
      </c>
      <c r="P180" s="287">
        <f t="shared" si="72"/>
        <v>0</v>
      </c>
      <c r="Q180" s="349"/>
      <c r="R180" s="350">
        <f>ROUND(O180,0)-7000-3130-18034</f>
        <v>308521</v>
      </c>
      <c r="S180" s="287">
        <f t="shared" si="73"/>
        <v>-28164</v>
      </c>
      <c r="T180" s="349" t="s">
        <v>888</v>
      </c>
      <c r="U180" s="350">
        <f>ROUND(R180,0)+20000+7614+12386</f>
        <v>348521</v>
      </c>
      <c r="V180" s="287">
        <f t="shared" si="74"/>
        <v>40000</v>
      </c>
      <c r="W180" s="349" t="s">
        <v>913</v>
      </c>
      <c r="X180" s="545">
        <v>239198</v>
      </c>
      <c r="Y180" s="352">
        <f t="shared" si="94"/>
        <v>0.68632306231188367</v>
      </c>
      <c r="Z180" s="353"/>
    </row>
    <row r="181" spans="2:26" s="316" customFormat="1" ht="105" customHeight="1" x14ac:dyDescent="0.25">
      <c r="B181" s="347"/>
      <c r="C181" s="120" t="s">
        <v>843</v>
      </c>
      <c r="D181" s="315" t="s">
        <v>548</v>
      </c>
      <c r="E181" s="348">
        <v>254892.73560000001</v>
      </c>
      <c r="F181" s="348">
        <f t="shared" si="106"/>
        <v>254893</v>
      </c>
      <c r="G181" s="287">
        <f t="shared" si="69"/>
        <v>0.26439999998547137</v>
      </c>
      <c r="H181" s="406"/>
      <c r="I181" s="350">
        <f>ROUND(F181,0)</f>
        <v>254893</v>
      </c>
      <c r="J181" s="287">
        <f t="shared" si="70"/>
        <v>0</v>
      </c>
      <c r="K181" s="349"/>
      <c r="L181" s="350">
        <f>ROUND(I181,0)</f>
        <v>254893</v>
      </c>
      <c r="M181" s="287">
        <f t="shared" si="71"/>
        <v>0</v>
      </c>
      <c r="N181" s="351"/>
      <c r="O181" s="350">
        <f t="shared" si="107"/>
        <v>254893</v>
      </c>
      <c r="P181" s="287">
        <f t="shared" si="72"/>
        <v>0</v>
      </c>
      <c r="Q181" s="351"/>
      <c r="R181" s="350">
        <f>ROUND(O181,0)+13000+6000</f>
        <v>273893</v>
      </c>
      <c r="S181" s="287">
        <f t="shared" si="73"/>
        <v>19000</v>
      </c>
      <c r="T181" s="351" t="s">
        <v>877</v>
      </c>
      <c r="U181" s="350">
        <f>ROUND(R181,0)-4000-4000</f>
        <v>265893</v>
      </c>
      <c r="V181" s="287">
        <f t="shared" si="74"/>
        <v>-8000</v>
      </c>
      <c r="W181" s="193" t="s">
        <v>902</v>
      </c>
      <c r="X181" s="550">
        <f>1758133+13279+30841-X174</f>
        <v>153037.5</v>
      </c>
      <c r="Y181" s="352">
        <f t="shared" si="94"/>
        <v>0.57556046981304509</v>
      </c>
      <c r="Z181" s="353"/>
    </row>
    <row r="182" spans="2:26" ht="26.45" customHeight="1" x14ac:dyDescent="0.25">
      <c r="B182" s="58" t="s">
        <v>285</v>
      </c>
      <c r="C182" s="105" t="s">
        <v>562</v>
      </c>
      <c r="D182" s="291" t="s">
        <v>647</v>
      </c>
      <c r="E182" s="337">
        <v>35000</v>
      </c>
      <c r="F182" s="337">
        <f t="shared" si="106"/>
        <v>35000</v>
      </c>
      <c r="G182" s="52">
        <f t="shared" ref="G182:G243" si="108">F182-E182</f>
        <v>0</v>
      </c>
      <c r="H182" s="400"/>
      <c r="I182" s="52">
        <f t="shared" ref="I182:I191" si="109">ROUND(F182,0)</f>
        <v>35000</v>
      </c>
      <c r="J182" s="52">
        <f t="shared" si="70"/>
        <v>0</v>
      </c>
      <c r="K182" s="171"/>
      <c r="L182" s="52">
        <f t="shared" ref="L182:L189" si="110">ROUND(I182,0)</f>
        <v>35000</v>
      </c>
      <c r="M182" s="52">
        <f t="shared" si="71"/>
        <v>0</v>
      </c>
      <c r="N182" s="171"/>
      <c r="O182" s="52">
        <f t="shared" si="107"/>
        <v>35000</v>
      </c>
      <c r="P182" s="52">
        <f t="shared" si="72"/>
        <v>0</v>
      </c>
      <c r="Q182" s="171"/>
      <c r="R182" s="52">
        <f>ROUND(O182,0)</f>
        <v>35000</v>
      </c>
      <c r="S182" s="52">
        <f t="shared" si="73"/>
        <v>0</v>
      </c>
      <c r="T182" s="171"/>
      <c r="U182" s="52">
        <f t="shared" ref="U182:U191" si="111">ROUND(R182,0)</f>
        <v>35000</v>
      </c>
      <c r="V182" s="52">
        <f t="shared" si="74"/>
        <v>0</v>
      </c>
      <c r="W182" s="171"/>
      <c r="X182" s="456"/>
      <c r="Y182" s="206">
        <f t="shared" si="94"/>
        <v>0</v>
      </c>
      <c r="Z182" s="91" t="s">
        <v>571</v>
      </c>
    </row>
    <row r="183" spans="2:26" ht="41.45" customHeight="1" x14ac:dyDescent="0.25">
      <c r="B183" s="58" t="s">
        <v>285</v>
      </c>
      <c r="C183" s="106" t="s">
        <v>563</v>
      </c>
      <c r="D183" s="306" t="s">
        <v>670</v>
      </c>
      <c r="E183" s="336">
        <v>210000</v>
      </c>
      <c r="F183" s="337">
        <f t="shared" si="106"/>
        <v>210000</v>
      </c>
      <c r="G183" s="52">
        <f t="shared" si="108"/>
        <v>0</v>
      </c>
      <c r="H183" s="401"/>
      <c r="I183" s="52">
        <f>ROUND(F183,0)+90000</f>
        <v>300000</v>
      </c>
      <c r="J183" s="52">
        <f t="shared" si="70"/>
        <v>90000</v>
      </c>
      <c r="K183" s="172" t="s">
        <v>753</v>
      </c>
      <c r="L183" s="52">
        <f t="shared" si="110"/>
        <v>300000</v>
      </c>
      <c r="M183" s="52">
        <f t="shared" si="71"/>
        <v>0</v>
      </c>
      <c r="N183" s="172"/>
      <c r="O183" s="52">
        <f t="shared" si="107"/>
        <v>300000</v>
      </c>
      <c r="P183" s="52">
        <f t="shared" si="72"/>
        <v>0</v>
      </c>
      <c r="Q183" s="172"/>
      <c r="R183" s="52">
        <f t="shared" ref="R183:R189" si="112">ROUND(O183,0)</f>
        <v>300000</v>
      </c>
      <c r="S183" s="52">
        <f t="shared" si="73"/>
        <v>0</v>
      </c>
      <c r="T183" s="172"/>
      <c r="U183" s="52">
        <f t="shared" si="111"/>
        <v>300000</v>
      </c>
      <c r="V183" s="52">
        <f t="shared" si="74"/>
        <v>0</v>
      </c>
      <c r="W183" s="172"/>
      <c r="X183" s="468">
        <v>285671</v>
      </c>
      <c r="Y183" s="213">
        <f t="shared" si="94"/>
        <v>0.95223666666666662</v>
      </c>
      <c r="Z183" s="91" t="s">
        <v>571</v>
      </c>
    </row>
    <row r="184" spans="2:26" ht="18" customHeight="1" x14ac:dyDescent="0.25">
      <c r="B184" s="58" t="s">
        <v>285</v>
      </c>
      <c r="C184" s="105" t="s">
        <v>564</v>
      </c>
      <c r="D184" s="454" t="s">
        <v>752</v>
      </c>
      <c r="E184" s="457"/>
      <c r="F184" s="457"/>
      <c r="G184" s="456"/>
      <c r="H184" s="458"/>
      <c r="I184" s="456">
        <v>263703</v>
      </c>
      <c r="J184" s="52">
        <f t="shared" si="70"/>
        <v>263703</v>
      </c>
      <c r="K184" s="459"/>
      <c r="L184" s="52">
        <f>ROUND(I184,0)</f>
        <v>263703</v>
      </c>
      <c r="M184" s="52">
        <f>L184-I184</f>
        <v>0</v>
      </c>
      <c r="N184" s="459"/>
      <c r="O184" s="52">
        <f t="shared" si="107"/>
        <v>263703</v>
      </c>
      <c r="P184" s="52">
        <f>O184-L184</f>
        <v>0</v>
      </c>
      <c r="Q184" s="459"/>
      <c r="R184" s="52">
        <f t="shared" si="112"/>
        <v>263703</v>
      </c>
      <c r="S184" s="52">
        <f t="shared" si="73"/>
        <v>0</v>
      </c>
      <c r="T184" s="459"/>
      <c r="U184" s="52">
        <f t="shared" si="111"/>
        <v>263703</v>
      </c>
      <c r="V184" s="52">
        <f t="shared" si="74"/>
        <v>0</v>
      </c>
      <c r="W184" s="459"/>
      <c r="X184" s="468">
        <v>263703</v>
      </c>
      <c r="Y184" s="460">
        <f t="shared" si="94"/>
        <v>1</v>
      </c>
      <c r="Z184" s="91" t="s">
        <v>571</v>
      </c>
    </row>
    <row r="185" spans="2:26" ht="18.600000000000001" customHeight="1" x14ac:dyDescent="0.25">
      <c r="B185" s="58" t="s">
        <v>285</v>
      </c>
      <c r="C185" s="105" t="s">
        <v>565</v>
      </c>
      <c r="D185" s="306" t="s">
        <v>648</v>
      </c>
      <c r="E185" s="336">
        <v>17500</v>
      </c>
      <c r="F185" s="337">
        <f t="shared" si="106"/>
        <v>17500</v>
      </c>
      <c r="G185" s="52">
        <f t="shared" si="108"/>
        <v>0</v>
      </c>
      <c r="H185" s="401"/>
      <c r="I185" s="52">
        <f t="shared" si="109"/>
        <v>17500</v>
      </c>
      <c r="J185" s="52">
        <f t="shared" si="70"/>
        <v>0</v>
      </c>
      <c r="K185" s="172"/>
      <c r="L185" s="52">
        <f>ROUND(I185,0)</f>
        <v>17500</v>
      </c>
      <c r="M185" s="52">
        <f t="shared" si="71"/>
        <v>0</v>
      </c>
      <c r="N185" s="172"/>
      <c r="O185" s="52">
        <f t="shared" si="107"/>
        <v>17500</v>
      </c>
      <c r="P185" s="52">
        <f t="shared" si="72"/>
        <v>0</v>
      </c>
      <c r="Q185" s="172"/>
      <c r="R185" s="52">
        <f t="shared" si="112"/>
        <v>17500</v>
      </c>
      <c r="S185" s="52">
        <f t="shared" si="73"/>
        <v>0</v>
      </c>
      <c r="T185" s="172"/>
      <c r="U185" s="52">
        <f t="shared" si="111"/>
        <v>17500</v>
      </c>
      <c r="V185" s="52">
        <f t="shared" si="74"/>
        <v>0</v>
      </c>
      <c r="W185" s="172"/>
      <c r="X185" s="526"/>
      <c r="Y185" s="213">
        <f t="shared" si="94"/>
        <v>0</v>
      </c>
      <c r="Z185" s="91" t="s">
        <v>571</v>
      </c>
    </row>
    <row r="186" spans="2:26" ht="43.5" customHeight="1" x14ac:dyDescent="0.25">
      <c r="B186" s="58" t="s">
        <v>285</v>
      </c>
      <c r="C186" s="105" t="s">
        <v>566</v>
      </c>
      <c r="D186" s="306" t="s">
        <v>544</v>
      </c>
      <c r="E186" s="336">
        <v>255000</v>
      </c>
      <c r="F186" s="337">
        <f t="shared" si="106"/>
        <v>255000</v>
      </c>
      <c r="G186" s="52">
        <f t="shared" si="108"/>
        <v>0</v>
      </c>
      <c r="H186" s="401"/>
      <c r="I186" s="52">
        <f t="shared" si="109"/>
        <v>255000</v>
      </c>
      <c r="J186" s="52">
        <f t="shared" si="70"/>
        <v>0</v>
      </c>
      <c r="K186" s="172"/>
      <c r="L186" s="52">
        <f t="shared" si="110"/>
        <v>255000</v>
      </c>
      <c r="M186" s="52">
        <f t="shared" si="71"/>
        <v>0</v>
      </c>
      <c r="N186" s="172"/>
      <c r="O186" s="52">
        <f t="shared" si="107"/>
        <v>255000</v>
      </c>
      <c r="P186" s="52">
        <f t="shared" si="72"/>
        <v>0</v>
      </c>
      <c r="Q186" s="172"/>
      <c r="R186" s="52">
        <f>ROUND(O186,0)-15000</f>
        <v>240000</v>
      </c>
      <c r="S186" s="52">
        <f t="shared" si="73"/>
        <v>-15000</v>
      </c>
      <c r="T186" s="172" t="s">
        <v>871</v>
      </c>
      <c r="U186" s="52">
        <f t="shared" si="111"/>
        <v>240000</v>
      </c>
      <c r="V186" s="52">
        <f t="shared" si="74"/>
        <v>0</v>
      </c>
      <c r="W186" s="172"/>
      <c r="X186" s="468">
        <v>135402</v>
      </c>
      <c r="Y186" s="213">
        <f t="shared" si="94"/>
        <v>0.56417499999999998</v>
      </c>
      <c r="Z186" s="91" t="s">
        <v>571</v>
      </c>
    </row>
    <row r="187" spans="2:26" ht="25.9" customHeight="1" x14ac:dyDescent="0.25">
      <c r="B187" s="58" t="s">
        <v>285</v>
      </c>
      <c r="C187" s="105" t="s">
        <v>567</v>
      </c>
      <c r="D187" s="306" t="s">
        <v>653</v>
      </c>
      <c r="E187" s="336">
        <v>39800</v>
      </c>
      <c r="F187" s="337">
        <f t="shared" si="106"/>
        <v>39800</v>
      </c>
      <c r="G187" s="52">
        <f t="shared" si="108"/>
        <v>0</v>
      </c>
      <c r="H187" s="401"/>
      <c r="I187" s="52">
        <f t="shared" si="109"/>
        <v>39800</v>
      </c>
      <c r="J187" s="52">
        <f t="shared" si="70"/>
        <v>0</v>
      </c>
      <c r="K187" s="172"/>
      <c r="L187" s="52">
        <f t="shared" si="110"/>
        <v>39800</v>
      </c>
      <c r="M187" s="52">
        <f t="shared" si="71"/>
        <v>0</v>
      </c>
      <c r="N187" s="172"/>
      <c r="O187" s="52">
        <f t="shared" si="107"/>
        <v>39800</v>
      </c>
      <c r="P187" s="52">
        <f t="shared" si="72"/>
        <v>0</v>
      </c>
      <c r="Q187" s="172"/>
      <c r="R187" s="52">
        <f>ROUND(O187,0)-10022-10757-19000</f>
        <v>21</v>
      </c>
      <c r="S187" s="52">
        <f t="shared" si="73"/>
        <v>-39779</v>
      </c>
      <c r="T187" s="172" t="s">
        <v>876</v>
      </c>
      <c r="U187" s="52">
        <f t="shared" si="111"/>
        <v>21</v>
      </c>
      <c r="V187" s="52">
        <f t="shared" si="74"/>
        <v>0</v>
      </c>
      <c r="W187" s="172"/>
      <c r="X187" s="526"/>
      <c r="Y187" s="213">
        <f t="shared" si="94"/>
        <v>0</v>
      </c>
      <c r="Z187" s="91" t="s">
        <v>571</v>
      </c>
    </row>
    <row r="188" spans="2:26" ht="45.6" customHeight="1" x14ac:dyDescent="0.25">
      <c r="B188" s="58" t="s">
        <v>285</v>
      </c>
      <c r="C188" s="105" t="s">
        <v>567</v>
      </c>
      <c r="D188" s="306" t="s">
        <v>672</v>
      </c>
      <c r="E188" s="336">
        <v>30000</v>
      </c>
      <c r="F188" s="337">
        <f>ROUND(E188,0)</f>
        <v>30000</v>
      </c>
      <c r="G188" s="52">
        <f>F188-E188</f>
        <v>0</v>
      </c>
      <c r="H188" s="401"/>
      <c r="I188" s="52">
        <f>ROUND(F188,0)</f>
        <v>30000</v>
      </c>
      <c r="J188" s="52">
        <f>I188-F188</f>
        <v>0</v>
      </c>
      <c r="K188" s="172"/>
      <c r="L188" s="52">
        <f>ROUND(I188,0)</f>
        <v>30000</v>
      </c>
      <c r="M188" s="52">
        <f>L188-I188</f>
        <v>0</v>
      </c>
      <c r="N188" s="172"/>
      <c r="O188" s="52">
        <f t="shared" si="107"/>
        <v>30000</v>
      </c>
      <c r="P188" s="52">
        <f>O188-L188</f>
        <v>0</v>
      </c>
      <c r="Q188" s="172"/>
      <c r="R188" s="52">
        <f t="shared" si="112"/>
        <v>30000</v>
      </c>
      <c r="S188" s="52">
        <f>R188-O188</f>
        <v>0</v>
      </c>
      <c r="T188" s="172"/>
      <c r="U188" s="52">
        <f t="shared" si="111"/>
        <v>30000</v>
      </c>
      <c r="V188" s="52">
        <f>U188-R188</f>
        <v>0</v>
      </c>
      <c r="W188" s="172"/>
      <c r="X188" s="526"/>
      <c r="Y188" s="213">
        <f t="shared" si="94"/>
        <v>0</v>
      </c>
      <c r="Z188" s="91" t="s">
        <v>571</v>
      </c>
    </row>
    <row r="189" spans="2:26" ht="18.600000000000001" customHeight="1" x14ac:dyDescent="0.25">
      <c r="B189" s="58" t="s">
        <v>639</v>
      </c>
      <c r="C189" s="105" t="s">
        <v>568</v>
      </c>
      <c r="D189" s="306" t="s">
        <v>542</v>
      </c>
      <c r="E189" s="336">
        <v>546771</v>
      </c>
      <c r="F189" s="337">
        <f>ROUND(E189,0)</f>
        <v>546771</v>
      </c>
      <c r="G189" s="52">
        <f>F189-E189</f>
        <v>0</v>
      </c>
      <c r="H189" s="401"/>
      <c r="I189" s="52">
        <f t="shared" si="109"/>
        <v>546771</v>
      </c>
      <c r="J189" s="52">
        <f t="shared" si="70"/>
        <v>0</v>
      </c>
      <c r="K189" s="172"/>
      <c r="L189" s="52">
        <f t="shared" si="110"/>
        <v>546771</v>
      </c>
      <c r="M189" s="52">
        <f t="shared" si="71"/>
        <v>0</v>
      </c>
      <c r="N189" s="172"/>
      <c r="O189" s="52">
        <f t="shared" si="107"/>
        <v>546771</v>
      </c>
      <c r="P189" s="52">
        <f t="shared" si="72"/>
        <v>0</v>
      </c>
      <c r="Q189" s="172"/>
      <c r="R189" s="52">
        <f t="shared" si="112"/>
        <v>546771</v>
      </c>
      <c r="S189" s="52">
        <f t="shared" ref="S189:S259" si="113">R189-O189</f>
        <v>0</v>
      </c>
      <c r="T189" s="172"/>
      <c r="U189" s="52">
        <f t="shared" si="111"/>
        <v>546771</v>
      </c>
      <c r="V189" s="52">
        <f t="shared" ref="V189:V259" si="114">U189-R189</f>
        <v>0</v>
      </c>
      <c r="W189" s="172"/>
      <c r="X189" s="526">
        <v>0</v>
      </c>
      <c r="Y189" s="213">
        <f t="shared" si="94"/>
        <v>0</v>
      </c>
      <c r="Z189" s="91" t="s">
        <v>571</v>
      </c>
    </row>
    <row r="190" spans="2:26" ht="29.45" customHeight="1" x14ac:dyDescent="0.25">
      <c r="B190" s="58"/>
      <c r="C190" s="105" t="s">
        <v>569</v>
      </c>
      <c r="D190" s="306" t="s">
        <v>799</v>
      </c>
      <c r="E190" s="336">
        <v>0</v>
      </c>
      <c r="F190" s="337">
        <f>ROUND(E190,0)</f>
        <v>0</v>
      </c>
      <c r="G190" s="52">
        <f>F190-E190</f>
        <v>0</v>
      </c>
      <c r="H190" s="172"/>
      <c r="I190" s="52">
        <f t="shared" si="109"/>
        <v>0</v>
      </c>
      <c r="J190" s="52">
        <f t="shared" si="70"/>
        <v>0</v>
      </c>
      <c r="K190" s="172"/>
      <c r="L190" s="52">
        <f>ROUND(I190,0)+55000</f>
        <v>55000</v>
      </c>
      <c r="M190" s="52">
        <f t="shared" si="71"/>
        <v>55000</v>
      </c>
      <c r="N190" s="172" t="s">
        <v>800</v>
      </c>
      <c r="O190" s="52">
        <f t="shared" si="107"/>
        <v>55000</v>
      </c>
      <c r="P190" s="52">
        <f t="shared" si="72"/>
        <v>0</v>
      </c>
      <c r="Q190" s="172"/>
      <c r="R190" s="52">
        <f>ROUND(O190,0)+6508+15000+328+7000+3130+18034</f>
        <v>105000</v>
      </c>
      <c r="S190" s="52">
        <f t="shared" si="113"/>
        <v>50000</v>
      </c>
      <c r="T190" s="172" t="s">
        <v>872</v>
      </c>
      <c r="U190" s="52">
        <f t="shared" si="111"/>
        <v>105000</v>
      </c>
      <c r="V190" s="52">
        <f t="shared" si="114"/>
        <v>0</v>
      </c>
      <c r="W190" s="172"/>
      <c r="X190" s="526">
        <f>ROUND(K190,0)</f>
        <v>0</v>
      </c>
      <c r="Y190" s="213">
        <f t="shared" ref="Y190:Y210" si="115">X190/U190</f>
        <v>0</v>
      </c>
      <c r="Z190" s="91" t="s">
        <v>570</v>
      </c>
    </row>
    <row r="191" spans="2:26" ht="29.45" customHeight="1" x14ac:dyDescent="0.25">
      <c r="B191" s="58" t="s">
        <v>452</v>
      </c>
      <c r="C191" s="105" t="s">
        <v>844</v>
      </c>
      <c r="D191" s="306" t="s">
        <v>802</v>
      </c>
      <c r="E191" s="337">
        <v>0</v>
      </c>
      <c r="F191" s="337">
        <f>ROUND(E191,0)</f>
        <v>0</v>
      </c>
      <c r="G191" s="52">
        <f>F191-E191</f>
        <v>0</v>
      </c>
      <c r="H191" s="380"/>
      <c r="I191" s="52">
        <f t="shared" si="109"/>
        <v>0</v>
      </c>
      <c r="J191" s="52">
        <f t="shared" si="70"/>
        <v>0</v>
      </c>
      <c r="K191" s="144"/>
      <c r="L191" s="52">
        <f>ROUND(I191,0)+21000</f>
        <v>21000</v>
      </c>
      <c r="M191" s="52">
        <f t="shared" si="71"/>
        <v>21000</v>
      </c>
      <c r="N191" s="172" t="s">
        <v>800</v>
      </c>
      <c r="O191" s="52">
        <f t="shared" si="107"/>
        <v>21000</v>
      </c>
      <c r="P191" s="52">
        <f t="shared" si="72"/>
        <v>0</v>
      </c>
      <c r="Q191" s="144"/>
      <c r="R191" s="52">
        <f>ROUND(O191,0)+31000+10022</f>
        <v>62022</v>
      </c>
      <c r="S191" s="52">
        <f t="shared" si="113"/>
        <v>41022</v>
      </c>
      <c r="T191" s="144" t="s">
        <v>873</v>
      </c>
      <c r="U191" s="52">
        <f t="shared" si="111"/>
        <v>62022</v>
      </c>
      <c r="V191" s="52">
        <f t="shared" si="114"/>
        <v>0</v>
      </c>
      <c r="W191" s="144"/>
      <c r="X191" s="526">
        <v>0</v>
      </c>
      <c r="Y191" s="206">
        <f t="shared" si="115"/>
        <v>0</v>
      </c>
      <c r="Z191" s="556" t="s">
        <v>571</v>
      </c>
    </row>
    <row r="192" spans="2:26" x14ac:dyDescent="0.25">
      <c r="C192" s="80" t="s">
        <v>67</v>
      </c>
      <c r="D192" s="290" t="s">
        <v>166</v>
      </c>
      <c r="E192" s="13">
        <v>2519181.6714729005</v>
      </c>
      <c r="F192" s="329">
        <f t="shared" ref="F192" si="116">SUM(F193,F198:F202)+F205+F206</f>
        <v>2529195</v>
      </c>
      <c r="G192" s="13">
        <f>SUM(G193,G198:G206)</f>
        <v>10013.342056599839</v>
      </c>
      <c r="H192" s="263"/>
      <c r="I192" s="13">
        <f>SUM(I193,I198:I202)+I205+I206</f>
        <v>2529195</v>
      </c>
      <c r="J192" s="13">
        <f t="shared" si="70"/>
        <v>0</v>
      </c>
      <c r="K192" s="13"/>
      <c r="L192" s="13">
        <f>SUM(L193,L198:L202)+L205+L206</f>
        <v>2527695</v>
      </c>
      <c r="M192" s="13">
        <f t="shared" si="71"/>
        <v>-1500</v>
      </c>
      <c r="N192" s="13"/>
      <c r="O192" s="13">
        <f>SUM(O193,O198:O202)+O205+O206</f>
        <v>2554562</v>
      </c>
      <c r="P192" s="13">
        <f t="shared" si="72"/>
        <v>26867</v>
      </c>
      <c r="Q192" s="13"/>
      <c r="R192" s="13">
        <f>SUM(R193,R198:R202)+R205+R206</f>
        <v>2551562</v>
      </c>
      <c r="S192" s="13">
        <f t="shared" si="113"/>
        <v>-3000</v>
      </c>
      <c r="T192" s="13"/>
      <c r="U192" s="13">
        <f>SUM(U193,U198:U202)+U205+U206</f>
        <v>2551562</v>
      </c>
      <c r="V192" s="13">
        <f t="shared" si="114"/>
        <v>0</v>
      </c>
      <c r="W192" s="13"/>
      <c r="X192" s="499">
        <f>SUM(X193,X198:X202)+X205+X206</f>
        <v>1760517.38</v>
      </c>
      <c r="Y192" s="200">
        <f t="shared" si="115"/>
        <v>0.68997632822561239</v>
      </c>
      <c r="Z192" s="508"/>
    </row>
    <row r="193" spans="2:26" ht="23.25" customHeight="1" x14ac:dyDescent="0.25">
      <c r="C193" s="79" t="s">
        <v>70</v>
      </c>
      <c r="D193" s="280" t="s">
        <v>291</v>
      </c>
      <c r="E193" s="36">
        <v>1326357.7900424001</v>
      </c>
      <c r="F193" s="36">
        <f>SUM(F194:F197)</f>
        <v>1326358</v>
      </c>
      <c r="G193" s="36">
        <f>SUM(G194:G197)</f>
        <v>0.20995759987272322</v>
      </c>
      <c r="H193" s="36">
        <f>SUM(H194:H197)</f>
        <v>0</v>
      </c>
      <c r="I193" s="36">
        <f>SUM(I194:I197)</f>
        <v>1326358</v>
      </c>
      <c r="J193" s="18">
        <f t="shared" si="70"/>
        <v>0</v>
      </c>
      <c r="K193" s="18"/>
      <c r="L193" s="36">
        <f>SUM(L194:L197)</f>
        <v>1334858</v>
      </c>
      <c r="M193" s="18">
        <f t="shared" si="71"/>
        <v>8500</v>
      </c>
      <c r="N193" s="18"/>
      <c r="O193" s="18">
        <f>SUM(O194:O197)</f>
        <v>1355693</v>
      </c>
      <c r="P193" s="18">
        <f t="shared" si="72"/>
        <v>20835</v>
      </c>
      <c r="Q193" s="18"/>
      <c r="R193" s="18">
        <f>SUM(R194:R197)</f>
        <v>1352693</v>
      </c>
      <c r="S193" s="18">
        <f t="shared" si="113"/>
        <v>-3000</v>
      </c>
      <c r="T193" s="18"/>
      <c r="U193" s="18">
        <f>SUM(U194:U197)</f>
        <v>1352693</v>
      </c>
      <c r="V193" s="18">
        <f t="shared" si="114"/>
        <v>0</v>
      </c>
      <c r="W193" s="18"/>
      <c r="X193" s="546">
        <f>SUM(X194:X197)</f>
        <v>951375.30999999994</v>
      </c>
      <c r="Y193" s="469">
        <f t="shared" si="115"/>
        <v>0.70331945977394716</v>
      </c>
      <c r="Z193" s="513"/>
    </row>
    <row r="194" spans="2:26" ht="15.75" customHeight="1" x14ac:dyDescent="0.25">
      <c r="B194" s="58" t="s">
        <v>417</v>
      </c>
      <c r="C194" s="81" t="s">
        <v>225</v>
      </c>
      <c r="D194" s="278" t="s">
        <v>340</v>
      </c>
      <c r="E194" s="337">
        <v>638049.85509206681</v>
      </c>
      <c r="F194" s="337">
        <f>ROUND(E194,0)</f>
        <v>638050</v>
      </c>
      <c r="G194" s="52">
        <f t="shared" si="108"/>
        <v>0.14490793319419026</v>
      </c>
      <c r="H194" s="400"/>
      <c r="I194" s="52">
        <f t="shared" ref="I194:I201" si="117">ROUND(F194,0)</f>
        <v>638050</v>
      </c>
      <c r="J194" s="52">
        <f t="shared" si="70"/>
        <v>0</v>
      </c>
      <c r="K194" s="195"/>
      <c r="L194" s="52">
        <f>ROUND(I194,0)</f>
        <v>638050</v>
      </c>
      <c r="M194" s="52">
        <f t="shared" si="71"/>
        <v>0</v>
      </c>
      <c r="N194" s="195"/>
      <c r="O194" s="52">
        <f>ROUND(L194,0)+21000</f>
        <v>659050</v>
      </c>
      <c r="P194" s="52">
        <f t="shared" si="72"/>
        <v>21000</v>
      </c>
      <c r="Q194" s="195" t="s">
        <v>824</v>
      </c>
      <c r="R194" s="52">
        <f t="shared" ref="R194:R201" si="118">ROUND(O194,0)</f>
        <v>659050</v>
      </c>
      <c r="S194" s="52">
        <f t="shared" si="113"/>
        <v>0</v>
      </c>
      <c r="T194" s="195"/>
      <c r="U194" s="52">
        <f t="shared" ref="U194:U201" si="119">ROUND(R194,0)</f>
        <v>659050</v>
      </c>
      <c r="V194" s="52">
        <f t="shared" si="114"/>
        <v>0</v>
      </c>
      <c r="W194" s="195"/>
      <c r="X194" s="548">
        <v>469486.39</v>
      </c>
      <c r="Y194" s="206">
        <f t="shared" si="115"/>
        <v>0.71236839390031104</v>
      </c>
      <c r="Z194" s="456" t="s">
        <v>572</v>
      </c>
    </row>
    <row r="195" spans="2:26" ht="12" customHeight="1" x14ac:dyDescent="0.25">
      <c r="B195" s="58" t="s">
        <v>411</v>
      </c>
      <c r="C195" s="81" t="s">
        <v>227</v>
      </c>
      <c r="D195" s="278" t="s">
        <v>311</v>
      </c>
      <c r="E195" s="337">
        <v>485179.86028633331</v>
      </c>
      <c r="F195" s="337">
        <f>ROUND(E195,0)</f>
        <v>485180</v>
      </c>
      <c r="G195" s="52">
        <f t="shared" si="108"/>
        <v>0.1397136666928418</v>
      </c>
      <c r="H195" s="400"/>
      <c r="I195" s="52">
        <f t="shared" si="117"/>
        <v>485180</v>
      </c>
      <c r="J195" s="52">
        <f t="shared" si="70"/>
        <v>0</v>
      </c>
      <c r="K195" s="171"/>
      <c r="L195" s="52">
        <f>ROUND(I195,0)+8500</f>
        <v>493680</v>
      </c>
      <c r="M195" s="52">
        <f t="shared" si="71"/>
        <v>8500</v>
      </c>
      <c r="N195" s="195" t="s">
        <v>801</v>
      </c>
      <c r="O195" s="52">
        <f>ROUND(L195,0)-165</f>
        <v>493515</v>
      </c>
      <c r="P195" s="52">
        <f t="shared" si="72"/>
        <v>-165</v>
      </c>
      <c r="Q195" s="171" t="s">
        <v>820</v>
      </c>
      <c r="R195" s="52">
        <f t="shared" si="118"/>
        <v>493515</v>
      </c>
      <c r="S195" s="52">
        <f t="shared" si="113"/>
        <v>0</v>
      </c>
      <c r="T195" s="171"/>
      <c r="U195" s="52">
        <f t="shared" si="119"/>
        <v>493515</v>
      </c>
      <c r="V195" s="52">
        <f t="shared" si="114"/>
        <v>0</v>
      </c>
      <c r="W195" s="171"/>
      <c r="X195" s="548">
        <v>367197.61</v>
      </c>
      <c r="Y195" s="206">
        <f t="shared" si="115"/>
        <v>0.74404549000536957</v>
      </c>
      <c r="Z195" s="456" t="s">
        <v>573</v>
      </c>
    </row>
    <row r="196" spans="2:26" ht="20.25" customHeight="1" x14ac:dyDescent="0.25">
      <c r="B196" s="58" t="s">
        <v>410</v>
      </c>
      <c r="C196" s="81" t="s">
        <v>293</v>
      </c>
      <c r="D196" s="278" t="s">
        <v>530</v>
      </c>
      <c r="E196" s="337">
        <v>172588.07466400001</v>
      </c>
      <c r="F196" s="337">
        <f>ROUND(E196,0)</f>
        <v>172588</v>
      </c>
      <c r="G196" s="52">
        <f t="shared" si="108"/>
        <v>-7.466400001430884E-2</v>
      </c>
      <c r="H196" s="380"/>
      <c r="I196" s="52">
        <f t="shared" si="117"/>
        <v>172588</v>
      </c>
      <c r="J196" s="52">
        <f t="shared" si="70"/>
        <v>0</v>
      </c>
      <c r="K196" s="144"/>
      <c r="L196" s="52">
        <f t="shared" ref="L196:L206" si="120">ROUND(I196,0)</f>
        <v>172588</v>
      </c>
      <c r="M196" s="52">
        <f t="shared" si="71"/>
        <v>0</v>
      </c>
      <c r="N196" s="144"/>
      <c r="O196" s="52">
        <f t="shared" ref="O196:O206" si="121">ROUND(L196,0)</f>
        <v>172588</v>
      </c>
      <c r="P196" s="52">
        <f t="shared" si="72"/>
        <v>0</v>
      </c>
      <c r="Q196" s="144"/>
      <c r="R196" s="52">
        <f>ROUND(O196,0)-1500</f>
        <v>171088</v>
      </c>
      <c r="S196" s="524">
        <f t="shared" si="113"/>
        <v>-1500</v>
      </c>
      <c r="T196" s="582" t="s">
        <v>886</v>
      </c>
      <c r="U196" s="52">
        <f t="shared" si="119"/>
        <v>171088</v>
      </c>
      <c r="V196" s="52">
        <f t="shared" si="114"/>
        <v>0</v>
      </c>
      <c r="W196" s="171"/>
      <c r="X196" s="548">
        <v>106560.74</v>
      </c>
      <c r="Y196" s="206">
        <f t="shared" si="115"/>
        <v>0.62284169550173019</v>
      </c>
      <c r="Z196" s="486"/>
    </row>
    <row r="197" spans="2:26" ht="23.25" customHeight="1" x14ac:dyDescent="0.25">
      <c r="B197" s="58" t="s">
        <v>576</v>
      </c>
      <c r="C197" s="81" t="s">
        <v>660</v>
      </c>
      <c r="D197" s="278" t="s">
        <v>640</v>
      </c>
      <c r="E197" s="354">
        <v>30540</v>
      </c>
      <c r="F197" s="354">
        <f>ROUND(E197,0)</f>
        <v>30540</v>
      </c>
      <c r="G197" s="11">
        <f>F197-E197</f>
        <v>0</v>
      </c>
      <c r="H197" s="437"/>
      <c r="I197" s="52">
        <f t="shared" si="117"/>
        <v>30540</v>
      </c>
      <c r="J197" s="52">
        <f t="shared" si="70"/>
        <v>0</v>
      </c>
      <c r="K197" s="144"/>
      <c r="L197" s="11">
        <f t="shared" si="120"/>
        <v>30540</v>
      </c>
      <c r="M197" s="11">
        <f t="shared" si="71"/>
        <v>0</v>
      </c>
      <c r="N197" s="480"/>
      <c r="O197" s="11">
        <f t="shared" si="121"/>
        <v>30540</v>
      </c>
      <c r="P197" s="11">
        <f t="shared" si="72"/>
        <v>0</v>
      </c>
      <c r="Q197" s="480"/>
      <c r="R197" s="11">
        <f>ROUND(O197,0)-1500</f>
        <v>29040</v>
      </c>
      <c r="S197" s="520">
        <f t="shared" si="113"/>
        <v>-1500</v>
      </c>
      <c r="T197" s="583"/>
      <c r="U197" s="11">
        <f t="shared" si="119"/>
        <v>29040</v>
      </c>
      <c r="V197" s="11">
        <f t="shared" si="114"/>
        <v>0</v>
      </c>
      <c r="W197" s="529"/>
      <c r="X197" s="548">
        <v>8130.57</v>
      </c>
      <c r="Y197" s="52">
        <f t="shared" si="115"/>
        <v>0.27997830578512395</v>
      </c>
      <c r="Z197" s="456"/>
    </row>
    <row r="198" spans="2:26" ht="29.45" customHeight="1" x14ac:dyDescent="0.25">
      <c r="B198" s="58" t="s">
        <v>454</v>
      </c>
      <c r="C198" s="107" t="s">
        <v>175</v>
      </c>
      <c r="D198" s="280" t="s">
        <v>312</v>
      </c>
      <c r="E198" s="36">
        <v>185742</v>
      </c>
      <c r="F198" s="36">
        <f>ROUND(E198,0)+10013</f>
        <v>195755</v>
      </c>
      <c r="G198" s="18">
        <f t="shared" si="108"/>
        <v>10013</v>
      </c>
      <c r="H198" s="438" t="s">
        <v>713</v>
      </c>
      <c r="I198" s="18">
        <f t="shared" si="117"/>
        <v>195755</v>
      </c>
      <c r="J198" s="18">
        <f t="shared" si="70"/>
        <v>0</v>
      </c>
      <c r="K198" s="176"/>
      <c r="L198" s="18">
        <f t="shared" si="120"/>
        <v>195755</v>
      </c>
      <c r="M198" s="18">
        <f t="shared" si="71"/>
        <v>0</v>
      </c>
      <c r="N198" s="176"/>
      <c r="O198" s="18">
        <f t="shared" si="121"/>
        <v>195755</v>
      </c>
      <c r="P198" s="18">
        <f t="shared" si="72"/>
        <v>0</v>
      </c>
      <c r="Q198" s="176"/>
      <c r="R198" s="18">
        <f t="shared" si="118"/>
        <v>195755</v>
      </c>
      <c r="S198" s="18">
        <f t="shared" si="113"/>
        <v>0</v>
      </c>
      <c r="T198" s="176"/>
      <c r="U198" s="18">
        <f t="shared" si="119"/>
        <v>195755</v>
      </c>
      <c r="V198" s="18">
        <f t="shared" si="114"/>
        <v>0</v>
      </c>
      <c r="W198" s="176"/>
      <c r="X198" s="546">
        <v>195754.44</v>
      </c>
      <c r="Y198" s="212">
        <f t="shared" si="115"/>
        <v>0.99999713928124445</v>
      </c>
      <c r="Z198" s="492" t="s">
        <v>570</v>
      </c>
    </row>
    <row r="199" spans="2:26" ht="27" customHeight="1" x14ac:dyDescent="0.25">
      <c r="B199" s="58" t="s">
        <v>455</v>
      </c>
      <c r="C199" s="107" t="s">
        <v>247</v>
      </c>
      <c r="D199" s="280" t="s">
        <v>313</v>
      </c>
      <c r="E199" s="36">
        <v>0</v>
      </c>
      <c r="F199" s="36">
        <f t="shared" ref="F199:F206" si="122">ROUND(E199,0)</f>
        <v>0</v>
      </c>
      <c r="G199" s="18">
        <f t="shared" si="108"/>
        <v>0</v>
      </c>
      <c r="H199" s="381"/>
      <c r="I199" s="18">
        <f t="shared" si="117"/>
        <v>0</v>
      </c>
      <c r="J199" s="18">
        <f t="shared" si="70"/>
        <v>0</v>
      </c>
      <c r="K199" s="145"/>
      <c r="L199" s="18">
        <f t="shared" si="120"/>
        <v>0</v>
      </c>
      <c r="M199" s="18">
        <f t="shared" si="71"/>
        <v>0</v>
      </c>
      <c r="N199" s="145"/>
      <c r="O199" s="18">
        <f t="shared" si="121"/>
        <v>0</v>
      </c>
      <c r="P199" s="18">
        <f t="shared" si="72"/>
        <v>0</v>
      </c>
      <c r="Q199" s="145"/>
      <c r="R199" s="18">
        <f t="shared" si="118"/>
        <v>0</v>
      </c>
      <c r="S199" s="18">
        <f t="shared" si="113"/>
        <v>0</v>
      </c>
      <c r="T199" s="145"/>
      <c r="U199" s="18">
        <f t="shared" si="119"/>
        <v>0</v>
      </c>
      <c r="V199" s="18">
        <f t="shared" si="114"/>
        <v>0</v>
      </c>
      <c r="W199" s="145"/>
      <c r="X199" s="492">
        <v>0</v>
      </c>
      <c r="Y199" s="212" t="e">
        <f t="shared" si="115"/>
        <v>#DIV/0!</v>
      </c>
      <c r="Z199" s="497"/>
    </row>
    <row r="200" spans="2:26" ht="15" customHeight="1" x14ac:dyDescent="0.25">
      <c r="B200" s="58" t="s">
        <v>216</v>
      </c>
      <c r="C200" s="79" t="s">
        <v>332</v>
      </c>
      <c r="D200" s="280" t="s">
        <v>341</v>
      </c>
      <c r="E200" s="36">
        <v>153395.37309000001</v>
      </c>
      <c r="F200" s="36">
        <f t="shared" si="122"/>
        <v>153395</v>
      </c>
      <c r="G200" s="18">
        <f t="shared" si="108"/>
        <v>-0.37309000000823289</v>
      </c>
      <c r="H200" s="407"/>
      <c r="I200" s="18">
        <f t="shared" si="117"/>
        <v>153395</v>
      </c>
      <c r="J200" s="18">
        <f t="shared" si="70"/>
        <v>0</v>
      </c>
      <c r="K200" s="176"/>
      <c r="L200" s="18">
        <f t="shared" si="120"/>
        <v>153395</v>
      </c>
      <c r="M200" s="18">
        <f t="shared" si="71"/>
        <v>0</v>
      </c>
      <c r="N200" s="176"/>
      <c r="O200" s="18">
        <f>ROUND(L200,0)-276</f>
        <v>153119</v>
      </c>
      <c r="P200" s="18">
        <f t="shared" si="72"/>
        <v>-276</v>
      </c>
      <c r="Q200" s="176" t="s">
        <v>816</v>
      </c>
      <c r="R200" s="18">
        <f t="shared" si="118"/>
        <v>153119</v>
      </c>
      <c r="S200" s="18">
        <f t="shared" si="113"/>
        <v>0</v>
      </c>
      <c r="T200" s="176"/>
      <c r="U200" s="18">
        <f t="shared" si="119"/>
        <v>153119</v>
      </c>
      <c r="V200" s="18">
        <f t="shared" si="114"/>
        <v>0</v>
      </c>
      <c r="W200" s="176"/>
      <c r="X200" s="546">
        <v>95874</v>
      </c>
      <c r="Y200" s="212">
        <f t="shared" si="115"/>
        <v>0.62614045285039743</v>
      </c>
      <c r="Z200" s="497"/>
    </row>
    <row r="201" spans="2:26" ht="15.6" customHeight="1" x14ac:dyDescent="0.25">
      <c r="B201" s="58" t="s">
        <v>333</v>
      </c>
      <c r="C201" s="79" t="s">
        <v>357</v>
      </c>
      <c r="D201" s="280" t="s">
        <v>342</v>
      </c>
      <c r="E201" s="355">
        <v>64813.521870000011</v>
      </c>
      <c r="F201" s="355">
        <f t="shared" si="122"/>
        <v>64814</v>
      </c>
      <c r="G201" s="61">
        <f t="shared" si="108"/>
        <v>0.47812999998859596</v>
      </c>
      <c r="H201" s="408"/>
      <c r="I201" s="61">
        <f t="shared" si="117"/>
        <v>64814</v>
      </c>
      <c r="J201" s="61">
        <f t="shared" si="70"/>
        <v>0</v>
      </c>
      <c r="K201" s="177"/>
      <c r="L201" s="61">
        <f t="shared" si="120"/>
        <v>64814</v>
      </c>
      <c r="M201" s="61">
        <f t="shared" si="71"/>
        <v>0</v>
      </c>
      <c r="N201" s="177"/>
      <c r="O201" s="61">
        <f>ROUND(L201,0)-62</f>
        <v>64752</v>
      </c>
      <c r="P201" s="61">
        <f t="shared" si="72"/>
        <v>-62</v>
      </c>
      <c r="Q201" s="177" t="s">
        <v>817</v>
      </c>
      <c r="R201" s="61">
        <f t="shared" si="118"/>
        <v>64752</v>
      </c>
      <c r="S201" s="61">
        <f t="shared" si="113"/>
        <v>0</v>
      </c>
      <c r="T201" s="177"/>
      <c r="U201" s="61">
        <f t="shared" si="119"/>
        <v>64752</v>
      </c>
      <c r="V201" s="61">
        <f t="shared" si="114"/>
        <v>0</v>
      </c>
      <c r="W201" s="177"/>
      <c r="X201" s="546">
        <v>41539.5</v>
      </c>
      <c r="Y201" s="226">
        <f t="shared" si="115"/>
        <v>0.64151686434395849</v>
      </c>
      <c r="Z201" s="497"/>
    </row>
    <row r="202" spans="2:26" ht="15" customHeight="1" x14ac:dyDescent="0.25">
      <c r="B202" s="58" t="s">
        <v>215</v>
      </c>
      <c r="C202" s="79" t="s">
        <v>358</v>
      </c>
      <c r="D202" s="280" t="s">
        <v>168</v>
      </c>
      <c r="E202" s="36">
        <v>765644.98647050001</v>
      </c>
      <c r="F202" s="36">
        <f t="shared" ref="F202" si="123">F203+F204</f>
        <v>765645</v>
      </c>
      <c r="G202" s="18">
        <f t="shared" si="108"/>
        <v>1.3529499992728233E-2</v>
      </c>
      <c r="H202" s="381"/>
      <c r="I202" s="18">
        <f>I203+I204</f>
        <v>765645</v>
      </c>
      <c r="J202" s="18">
        <f t="shared" ref="J202:J282" si="124">I202-F202</f>
        <v>0</v>
      </c>
      <c r="K202" s="145"/>
      <c r="L202" s="18">
        <f>L203+L204</f>
        <v>755645</v>
      </c>
      <c r="M202" s="18">
        <f t="shared" ref="M202:M282" si="125">L202-I202</f>
        <v>-10000</v>
      </c>
      <c r="N202" s="145"/>
      <c r="O202" s="18">
        <f>O203+O204</f>
        <v>762015</v>
      </c>
      <c r="P202" s="18">
        <f t="shared" ref="P202:P282" si="126">O202-L202</f>
        <v>6370</v>
      </c>
      <c r="Q202" s="145"/>
      <c r="R202" s="18">
        <f>R203+R204</f>
        <v>762015</v>
      </c>
      <c r="S202" s="18">
        <f t="shared" si="113"/>
        <v>0</v>
      </c>
      <c r="T202" s="145"/>
      <c r="U202" s="18">
        <f>U203+U204</f>
        <v>762015</v>
      </c>
      <c r="V202" s="18">
        <f t="shared" si="114"/>
        <v>0</v>
      </c>
      <c r="W202" s="145"/>
      <c r="X202" s="546">
        <f>X203+X204</f>
        <v>471974.13</v>
      </c>
      <c r="Y202" s="212">
        <f t="shared" si="115"/>
        <v>0.61937642959784256</v>
      </c>
      <c r="Z202" s="497"/>
    </row>
    <row r="203" spans="2:26" ht="15" customHeight="1" x14ac:dyDescent="0.25">
      <c r="B203" s="58"/>
      <c r="C203" s="314" t="s">
        <v>693</v>
      </c>
      <c r="D203" s="422" t="s">
        <v>695</v>
      </c>
      <c r="E203" s="423">
        <v>765644.98647050001</v>
      </c>
      <c r="F203" s="423">
        <f>ROUND(E203,0)-126968</f>
        <v>638677</v>
      </c>
      <c r="G203" s="35">
        <f t="shared" si="108"/>
        <v>-126967.98647050001</v>
      </c>
      <c r="H203" s="294" t="s">
        <v>684</v>
      </c>
      <c r="I203" s="122">
        <f>ROUND(F203,0)-43878</f>
        <v>594799</v>
      </c>
      <c r="J203" s="122">
        <f t="shared" si="124"/>
        <v>-43878</v>
      </c>
      <c r="K203" s="294" t="s">
        <v>764</v>
      </c>
      <c r="L203" s="122">
        <f>ROUND(I203,0)-10000</f>
        <v>584799</v>
      </c>
      <c r="M203" s="122">
        <f t="shared" si="125"/>
        <v>-10000</v>
      </c>
      <c r="N203" s="294" t="s">
        <v>793</v>
      </c>
      <c r="O203" s="122">
        <f>ROUND(L203,0)+6370-926</f>
        <v>590243</v>
      </c>
      <c r="P203" s="122">
        <f t="shared" si="126"/>
        <v>5444</v>
      </c>
      <c r="Q203" s="294" t="s">
        <v>809</v>
      </c>
      <c r="R203" s="122">
        <f>ROUND(O203,0)</f>
        <v>590243</v>
      </c>
      <c r="S203" s="122">
        <f t="shared" si="113"/>
        <v>0</v>
      </c>
      <c r="T203" s="294"/>
      <c r="U203" s="122">
        <f>ROUND(R203,0)</f>
        <v>590243</v>
      </c>
      <c r="V203" s="122">
        <f t="shared" si="114"/>
        <v>0</v>
      </c>
      <c r="W203" s="294"/>
      <c r="X203" s="548">
        <f>458571.13-95230</f>
        <v>363341.13</v>
      </c>
      <c r="Y203" s="209">
        <f t="shared" si="115"/>
        <v>0.61557888869499511</v>
      </c>
      <c r="Z203" s="456"/>
    </row>
    <row r="204" spans="2:26" ht="15" customHeight="1" x14ac:dyDescent="0.25">
      <c r="B204" s="58"/>
      <c r="C204" s="82" t="s">
        <v>694</v>
      </c>
      <c r="D204" s="422" t="s">
        <v>683</v>
      </c>
      <c r="E204" s="423">
        <v>0</v>
      </c>
      <c r="F204" s="423">
        <v>126968</v>
      </c>
      <c r="G204" s="51">
        <f t="shared" si="108"/>
        <v>126968</v>
      </c>
      <c r="H204" s="402"/>
      <c r="I204" s="122">
        <f>ROUND(F204,0)+43878</f>
        <v>170846</v>
      </c>
      <c r="J204" s="122">
        <f t="shared" si="124"/>
        <v>43878</v>
      </c>
      <c r="K204" s="294" t="s">
        <v>764</v>
      </c>
      <c r="L204" s="122">
        <f t="shared" si="120"/>
        <v>170846</v>
      </c>
      <c r="M204" s="122">
        <f t="shared" si="125"/>
        <v>0</v>
      </c>
      <c r="N204" s="294"/>
      <c r="O204" s="122">
        <f>ROUND(L204,0)+926</f>
        <v>171772</v>
      </c>
      <c r="P204" s="122">
        <f t="shared" si="126"/>
        <v>926</v>
      </c>
      <c r="Q204" s="294" t="s">
        <v>808</v>
      </c>
      <c r="R204" s="122">
        <f>ROUND(O204,0)</f>
        <v>171772</v>
      </c>
      <c r="S204" s="122">
        <f t="shared" si="113"/>
        <v>0</v>
      </c>
      <c r="T204" s="294"/>
      <c r="U204" s="122">
        <f>ROUND(R204,0)</f>
        <v>171772</v>
      </c>
      <c r="V204" s="122">
        <f t="shared" si="114"/>
        <v>0</v>
      </c>
      <c r="W204" s="294"/>
      <c r="X204" s="551">
        <v>108633</v>
      </c>
      <c r="Y204" s="209">
        <f t="shared" si="115"/>
        <v>0.63242554083319746</v>
      </c>
      <c r="Z204" s="486"/>
    </row>
    <row r="205" spans="2:26" ht="15.6" customHeight="1" x14ac:dyDescent="0.25">
      <c r="B205" s="58" t="s">
        <v>217</v>
      </c>
      <c r="C205" s="79" t="s">
        <v>359</v>
      </c>
      <c r="D205" s="280" t="s">
        <v>170</v>
      </c>
      <c r="E205" s="36">
        <v>4000</v>
      </c>
      <c r="F205" s="36">
        <f t="shared" si="122"/>
        <v>4000</v>
      </c>
      <c r="G205" s="18">
        <f t="shared" si="108"/>
        <v>0</v>
      </c>
      <c r="H205" s="261"/>
      <c r="I205" s="18">
        <f>ROUND(F205,0)</f>
        <v>4000</v>
      </c>
      <c r="J205" s="18">
        <f t="shared" si="124"/>
        <v>0</v>
      </c>
      <c r="K205" s="165"/>
      <c r="L205" s="18">
        <f t="shared" si="120"/>
        <v>4000</v>
      </c>
      <c r="M205" s="18">
        <f t="shared" si="125"/>
        <v>0</v>
      </c>
      <c r="N205" s="165"/>
      <c r="O205" s="18">
        <f t="shared" si="121"/>
        <v>4000</v>
      </c>
      <c r="P205" s="18">
        <f t="shared" si="126"/>
        <v>0</v>
      </c>
      <c r="Q205" s="165"/>
      <c r="R205" s="18">
        <f>ROUND(O205,0)</f>
        <v>4000</v>
      </c>
      <c r="S205" s="18">
        <f t="shared" si="113"/>
        <v>0</v>
      </c>
      <c r="T205" s="165"/>
      <c r="U205" s="18">
        <f>ROUND(R205,0)</f>
        <v>4000</v>
      </c>
      <c r="V205" s="18">
        <f t="shared" si="114"/>
        <v>0</v>
      </c>
      <c r="W205" s="165"/>
      <c r="X205" s="546">
        <v>4000</v>
      </c>
      <c r="Y205" s="212">
        <f t="shared" si="115"/>
        <v>1</v>
      </c>
      <c r="Z205" s="497"/>
    </row>
    <row r="206" spans="2:26" ht="15.6" customHeight="1" x14ac:dyDescent="0.25">
      <c r="B206" s="58" t="s">
        <v>531</v>
      </c>
      <c r="C206" s="79" t="s">
        <v>483</v>
      </c>
      <c r="D206" s="280" t="s">
        <v>236</v>
      </c>
      <c r="E206" s="36">
        <v>19228</v>
      </c>
      <c r="F206" s="36">
        <f t="shared" si="122"/>
        <v>19228</v>
      </c>
      <c r="G206" s="18">
        <f t="shared" si="108"/>
        <v>0</v>
      </c>
      <c r="H206" s="261"/>
      <c r="I206" s="18">
        <f>ROUND(F206,0)</f>
        <v>19228</v>
      </c>
      <c r="J206" s="18">
        <f t="shared" si="124"/>
        <v>0</v>
      </c>
      <c r="K206" s="165"/>
      <c r="L206" s="18">
        <f t="shared" si="120"/>
        <v>19228</v>
      </c>
      <c r="M206" s="18">
        <f t="shared" si="125"/>
        <v>0</v>
      </c>
      <c r="N206" s="165"/>
      <c r="O206" s="18">
        <f t="shared" si="121"/>
        <v>19228</v>
      </c>
      <c r="P206" s="18">
        <f t="shared" si="126"/>
        <v>0</v>
      </c>
      <c r="Q206" s="165"/>
      <c r="R206" s="18">
        <f>ROUND(O206,0)</f>
        <v>19228</v>
      </c>
      <c r="S206" s="18">
        <f t="shared" si="113"/>
        <v>0</v>
      </c>
      <c r="T206" s="165"/>
      <c r="U206" s="18">
        <f>ROUND(R206,0)</f>
        <v>19228</v>
      </c>
      <c r="V206" s="18">
        <f t="shared" si="114"/>
        <v>0</v>
      </c>
      <c r="W206" s="165"/>
      <c r="X206" s="546">
        <v>0</v>
      </c>
      <c r="Y206" s="212">
        <f t="shared" si="115"/>
        <v>0</v>
      </c>
      <c r="Z206" s="497"/>
    </row>
    <row r="207" spans="2:26" s="4" customFormat="1" ht="15.6" customHeight="1" x14ac:dyDescent="0.2">
      <c r="C207" s="80" t="s">
        <v>75</v>
      </c>
      <c r="D207" s="290" t="s">
        <v>172</v>
      </c>
      <c r="E207" s="13">
        <v>3797025.7610668591</v>
      </c>
      <c r="F207" s="13">
        <f t="shared" ref="F207:L207" si="127">F208+F215+F218+F223+F224+F225+F226+F227+F228</f>
        <v>3834372</v>
      </c>
      <c r="G207" s="13">
        <f t="shared" si="127"/>
        <v>37346.238933140878</v>
      </c>
      <c r="H207" s="13">
        <f t="shared" si="127"/>
        <v>0</v>
      </c>
      <c r="I207" s="13">
        <f t="shared" si="127"/>
        <v>3834372</v>
      </c>
      <c r="J207" s="13">
        <f t="shared" si="127"/>
        <v>0</v>
      </c>
      <c r="K207" s="13">
        <f t="shared" si="127"/>
        <v>0</v>
      </c>
      <c r="L207" s="13">
        <f t="shared" si="127"/>
        <v>3806675</v>
      </c>
      <c r="M207" s="13">
        <f t="shared" si="125"/>
        <v>-27697</v>
      </c>
      <c r="N207" s="13"/>
      <c r="O207" s="13">
        <f>O208+O215+O218+O223+O224+O225+O226+O227+O228</f>
        <v>3850931</v>
      </c>
      <c r="P207" s="13">
        <f t="shared" si="126"/>
        <v>44256</v>
      </c>
      <c r="Q207" s="13"/>
      <c r="R207" s="13">
        <f>R208+R215+R218+R223+R224+R225+R226+R227+R228</f>
        <v>3850931</v>
      </c>
      <c r="S207" s="13">
        <f t="shared" si="113"/>
        <v>0</v>
      </c>
      <c r="T207" s="13"/>
      <c r="U207" s="13">
        <f>U208+U215+U218+U223+U224+U225+U226+U227+U228</f>
        <v>3870931</v>
      </c>
      <c r="V207" s="13">
        <f t="shared" si="114"/>
        <v>20000</v>
      </c>
      <c r="W207" s="13"/>
      <c r="X207" s="499">
        <f>X208+X215+X218+X223+X224+X225+X227+X228+X226</f>
        <v>2035762.4810000001</v>
      </c>
      <c r="Y207" s="200">
        <f t="shared" si="115"/>
        <v>0.52591029935692479</v>
      </c>
      <c r="Z207" s="508"/>
    </row>
    <row r="208" spans="2:26" s="4" customFormat="1" ht="15" customHeight="1" x14ac:dyDescent="0.25">
      <c r="C208" s="79" t="s">
        <v>77</v>
      </c>
      <c r="D208" s="280" t="s">
        <v>173</v>
      </c>
      <c r="E208" s="36">
        <v>2756987.0633929078</v>
      </c>
      <c r="F208" s="36">
        <f t="shared" ref="F208:G208" si="128">F209+F210+F211+F212+F214</f>
        <v>2756987</v>
      </c>
      <c r="G208" s="18">
        <f t="shared" si="128"/>
        <v>-6.3392907846719027E-2</v>
      </c>
      <c r="H208" s="264"/>
      <c r="I208" s="18">
        <f>SUM(I209:I214)</f>
        <v>2756987</v>
      </c>
      <c r="J208" s="18">
        <f>SUM(J209:J214)</f>
        <v>0</v>
      </c>
      <c r="K208" s="18">
        <f>SUM(K209:K214)</f>
        <v>0</v>
      </c>
      <c r="L208" s="18">
        <f>SUM(L209:L214)</f>
        <v>2756987</v>
      </c>
      <c r="M208" s="18">
        <f t="shared" si="125"/>
        <v>0</v>
      </c>
      <c r="N208" s="18"/>
      <c r="O208" s="18">
        <f>SUM(O209:O214)</f>
        <v>2756959</v>
      </c>
      <c r="P208" s="18">
        <f t="shared" si="126"/>
        <v>-28</v>
      </c>
      <c r="Q208" s="18"/>
      <c r="R208" s="18">
        <f>SUM(R209:R214)</f>
        <v>2756959</v>
      </c>
      <c r="S208" s="18">
        <f t="shared" si="113"/>
        <v>0</v>
      </c>
      <c r="T208" s="18"/>
      <c r="U208" s="18">
        <f>SUM(U209:U214)</f>
        <v>2756959</v>
      </c>
      <c r="V208" s="18">
        <f t="shared" si="114"/>
        <v>0</v>
      </c>
      <c r="W208" s="18"/>
      <c r="X208" s="546">
        <f>X209+X210+X211+X212+X214</f>
        <v>1719534.6600000001</v>
      </c>
      <c r="Y208" s="212">
        <f t="shared" si="115"/>
        <v>0.62370701196499478</v>
      </c>
      <c r="Z208" s="497"/>
    </row>
    <row r="209" spans="2:26" s="34" customFormat="1" ht="18.600000000000001" customHeight="1" outlineLevel="1" x14ac:dyDescent="0.25">
      <c r="B209" s="34">
        <v>1010</v>
      </c>
      <c r="C209" s="314" t="s">
        <v>360</v>
      </c>
      <c r="D209" s="279" t="s">
        <v>343</v>
      </c>
      <c r="E209" s="37">
        <v>650934.06339290785</v>
      </c>
      <c r="F209" s="37">
        <f>ROUND(E209,0)</f>
        <v>650934</v>
      </c>
      <c r="G209" s="35">
        <f t="shared" si="108"/>
        <v>-6.3392907846719027E-2</v>
      </c>
      <c r="H209" s="410"/>
      <c r="I209" s="35">
        <f>ROUND(F209,0)</f>
        <v>650934</v>
      </c>
      <c r="J209" s="35">
        <f t="shared" si="124"/>
        <v>0</v>
      </c>
      <c r="K209" s="170"/>
      <c r="L209" s="35">
        <f>ROUND(I209,0)</f>
        <v>650934</v>
      </c>
      <c r="M209" s="35">
        <f t="shared" si="125"/>
        <v>0</v>
      </c>
      <c r="N209" s="170"/>
      <c r="O209" s="35">
        <f>ROUND(L209,0)-1186</f>
        <v>649748</v>
      </c>
      <c r="P209" s="35">
        <f t="shared" si="126"/>
        <v>-1186</v>
      </c>
      <c r="Q209" s="294" t="s">
        <v>815</v>
      </c>
      <c r="R209" s="35">
        <f>ROUND(O209,0)</f>
        <v>649748</v>
      </c>
      <c r="S209" s="35">
        <f t="shared" si="113"/>
        <v>0</v>
      </c>
      <c r="T209" s="294"/>
      <c r="U209" s="35">
        <f>ROUND(R209,0)</f>
        <v>649748</v>
      </c>
      <c r="V209" s="35">
        <f t="shared" si="114"/>
        <v>0</v>
      </c>
      <c r="W209" s="294"/>
      <c r="X209" s="552">
        <f>1335680.01-1186-X210</f>
        <v>433054.12</v>
      </c>
      <c r="Y209" s="227">
        <f t="shared" si="115"/>
        <v>0.66649550287188264</v>
      </c>
      <c r="Z209" s="455" t="s">
        <v>836</v>
      </c>
    </row>
    <row r="210" spans="2:26" s="34" customFormat="1" ht="45" customHeight="1" outlineLevel="1" x14ac:dyDescent="0.25">
      <c r="B210" s="34">
        <v>1010</v>
      </c>
      <c r="C210" s="82" t="s">
        <v>361</v>
      </c>
      <c r="D210" s="279" t="s">
        <v>224</v>
      </c>
      <c r="E210" s="37">
        <v>1598833</v>
      </c>
      <c r="F210" s="37">
        <f>ROUND(E210,0)</f>
        <v>1598833</v>
      </c>
      <c r="G210" s="51">
        <f t="shared" si="108"/>
        <v>0</v>
      </c>
      <c r="H210" s="374"/>
      <c r="I210" s="35">
        <f>ROUND(F210,0)</f>
        <v>1598833</v>
      </c>
      <c r="J210" s="51">
        <f t="shared" si="124"/>
        <v>0</v>
      </c>
      <c r="K210" s="179"/>
      <c r="L210" s="35">
        <f>ROUND(I210,0)</f>
        <v>1598833</v>
      </c>
      <c r="M210" s="51">
        <f t="shared" si="125"/>
        <v>0</v>
      </c>
      <c r="N210" s="179"/>
      <c r="O210" s="35">
        <f>ROUND(L210,0)</f>
        <v>1598833</v>
      </c>
      <c r="P210" s="51">
        <f t="shared" si="126"/>
        <v>0</v>
      </c>
      <c r="Q210" s="179"/>
      <c r="R210" s="35">
        <f>ROUND(O210,0)</f>
        <v>1598833</v>
      </c>
      <c r="S210" s="51">
        <f t="shared" si="113"/>
        <v>0</v>
      </c>
      <c r="T210" s="179"/>
      <c r="U210" s="35">
        <f>ROUND(R210,0)</f>
        <v>1598833</v>
      </c>
      <c r="V210" s="51">
        <f t="shared" si="114"/>
        <v>0</v>
      </c>
      <c r="W210" s="179" t="s">
        <v>903</v>
      </c>
      <c r="X210" s="552">
        <v>901439.89</v>
      </c>
      <c r="Y210" s="227">
        <f t="shared" si="115"/>
        <v>0.56381116101556572</v>
      </c>
      <c r="Z210" s="490"/>
    </row>
    <row r="211" spans="2:26" s="34" customFormat="1" ht="17.45" customHeight="1" outlineLevel="1" x14ac:dyDescent="0.25">
      <c r="B211" s="34">
        <v>1010</v>
      </c>
      <c r="C211" s="82" t="s">
        <v>362</v>
      </c>
      <c r="D211" s="288" t="s">
        <v>222</v>
      </c>
      <c r="E211" s="37">
        <v>0</v>
      </c>
      <c r="F211" s="37">
        <f>ROUND(E211,0)</f>
        <v>0</v>
      </c>
      <c r="G211" s="90">
        <f t="shared" si="108"/>
        <v>0</v>
      </c>
      <c r="H211" s="409"/>
      <c r="I211" s="35">
        <f>ROUND(F211,0)</f>
        <v>0</v>
      </c>
      <c r="J211" s="90">
        <f t="shared" si="124"/>
        <v>0</v>
      </c>
      <c r="K211" s="179"/>
      <c r="L211" s="35">
        <f>ROUND(I211,0)</f>
        <v>0</v>
      </c>
      <c r="M211" s="90">
        <f t="shared" si="125"/>
        <v>0</v>
      </c>
      <c r="N211" s="179"/>
      <c r="O211" s="35">
        <f>ROUND(L211,0)</f>
        <v>0</v>
      </c>
      <c r="P211" s="90">
        <f t="shared" si="126"/>
        <v>0</v>
      </c>
      <c r="Q211" s="179"/>
      <c r="R211" s="35">
        <f>ROUND(O211,0)</f>
        <v>0</v>
      </c>
      <c r="S211" s="90">
        <f t="shared" si="113"/>
        <v>0</v>
      </c>
      <c r="T211" s="179"/>
      <c r="U211" s="35">
        <f>ROUND(R211,0)</f>
        <v>0</v>
      </c>
      <c r="V211" s="90">
        <f t="shared" si="114"/>
        <v>0</v>
      </c>
      <c r="W211" s="179"/>
      <c r="X211" s="548">
        <v>0</v>
      </c>
      <c r="Y211" s="227"/>
      <c r="Z211" s="490"/>
    </row>
    <row r="212" spans="2:26" s="34" customFormat="1" outlineLevel="1" x14ac:dyDescent="0.25">
      <c r="B212" s="34">
        <v>1012</v>
      </c>
      <c r="C212" s="82" t="s">
        <v>363</v>
      </c>
      <c r="D212" s="279" t="s">
        <v>226</v>
      </c>
      <c r="E212" s="37">
        <v>501000</v>
      </c>
      <c r="F212" s="37">
        <f>ROUND(E212,0)</f>
        <v>501000</v>
      </c>
      <c r="G212" s="35">
        <f t="shared" si="108"/>
        <v>0</v>
      </c>
      <c r="H212" s="410"/>
      <c r="I212" s="35">
        <f>ROUND(F212,0)</f>
        <v>501000</v>
      </c>
      <c r="J212" s="35">
        <f t="shared" si="124"/>
        <v>0</v>
      </c>
      <c r="K212" s="178"/>
      <c r="L212" s="35">
        <f>ROUND(I212,0)</f>
        <v>501000</v>
      </c>
      <c r="M212" s="35">
        <f t="shared" si="125"/>
        <v>0</v>
      </c>
      <c r="N212" s="178"/>
      <c r="O212" s="35">
        <f>ROUND(L212,0)</f>
        <v>501000</v>
      </c>
      <c r="P212" s="35">
        <f t="shared" si="126"/>
        <v>0</v>
      </c>
      <c r="Q212" s="178"/>
      <c r="R212" s="35">
        <f>ROUND(O212,0)</f>
        <v>501000</v>
      </c>
      <c r="S212" s="35">
        <f t="shared" si="113"/>
        <v>0</v>
      </c>
      <c r="T212" s="178"/>
      <c r="U212" s="35">
        <f>ROUND(R212,0)</f>
        <v>501000</v>
      </c>
      <c r="V212" s="35">
        <f t="shared" si="114"/>
        <v>0</v>
      </c>
      <c r="W212" s="178"/>
      <c r="X212" s="552">
        <v>382421.3</v>
      </c>
      <c r="Y212" s="227">
        <f t="shared" ref="Y212:Y243" si="129">X212/U212</f>
        <v>0.76331596806387225</v>
      </c>
      <c r="Z212" s="490"/>
    </row>
    <row r="213" spans="2:26" s="34" customFormat="1" outlineLevel="1" x14ac:dyDescent="0.25">
      <c r="C213" s="82" t="s">
        <v>364</v>
      </c>
      <c r="D213" s="487" t="s">
        <v>814</v>
      </c>
      <c r="E213" s="488"/>
      <c r="F213" s="488"/>
      <c r="G213" s="455"/>
      <c r="H213" s="489"/>
      <c r="I213" s="455"/>
      <c r="J213" s="455"/>
      <c r="K213" s="491"/>
      <c r="L213" s="455"/>
      <c r="M213" s="455"/>
      <c r="N213" s="491"/>
      <c r="O213" s="455">
        <f>1186</f>
        <v>1186</v>
      </c>
      <c r="P213" s="35">
        <f t="shared" si="126"/>
        <v>1186</v>
      </c>
      <c r="Q213" s="294" t="s">
        <v>815</v>
      </c>
      <c r="R213" s="455">
        <f>1186</f>
        <v>1186</v>
      </c>
      <c r="S213" s="35">
        <f t="shared" si="113"/>
        <v>0</v>
      </c>
      <c r="T213" s="294"/>
      <c r="U213" s="455">
        <f>1186</f>
        <v>1186</v>
      </c>
      <c r="V213" s="35">
        <f t="shared" si="114"/>
        <v>0</v>
      </c>
      <c r="W213" s="294"/>
      <c r="X213" s="551">
        <v>305</v>
      </c>
      <c r="Y213" s="227">
        <f t="shared" si="129"/>
        <v>0.25716694772344012</v>
      </c>
      <c r="Z213" s="490"/>
    </row>
    <row r="214" spans="2:26" s="34" customFormat="1" outlineLevel="1" x14ac:dyDescent="0.25">
      <c r="B214" s="34">
        <v>1015</v>
      </c>
      <c r="C214" s="82" t="s">
        <v>813</v>
      </c>
      <c r="D214" s="279" t="s">
        <v>289</v>
      </c>
      <c r="E214" s="356">
        <v>6220</v>
      </c>
      <c r="F214" s="356">
        <f>ROUND(E214,0)</f>
        <v>6220</v>
      </c>
      <c r="G214" s="51">
        <f t="shared" si="108"/>
        <v>0</v>
      </c>
      <c r="H214" s="411"/>
      <c r="I214" s="51">
        <f>ROUND(F214,0)</f>
        <v>6220</v>
      </c>
      <c r="J214" s="51">
        <f t="shared" si="124"/>
        <v>0</v>
      </c>
      <c r="K214" s="180"/>
      <c r="L214" s="51">
        <f>ROUND(I214,0)</f>
        <v>6220</v>
      </c>
      <c r="M214" s="51">
        <f t="shared" si="125"/>
        <v>0</v>
      </c>
      <c r="N214" s="180"/>
      <c r="O214" s="51">
        <f>ROUND(L214,0)-28</f>
        <v>6192</v>
      </c>
      <c r="P214" s="51">
        <f t="shared" si="126"/>
        <v>-28</v>
      </c>
      <c r="Q214" s="180" t="s">
        <v>819</v>
      </c>
      <c r="R214" s="51">
        <f>ROUND(O214,0)</f>
        <v>6192</v>
      </c>
      <c r="S214" s="51">
        <f t="shared" si="113"/>
        <v>0</v>
      </c>
      <c r="T214" s="180"/>
      <c r="U214" s="51">
        <f>ROUND(R214,0)</f>
        <v>6192</v>
      </c>
      <c r="V214" s="51">
        <f t="shared" si="114"/>
        <v>0</v>
      </c>
      <c r="W214" s="180"/>
      <c r="X214" s="552">
        <v>2619.35</v>
      </c>
      <c r="Y214" s="228">
        <f t="shared" si="129"/>
        <v>0.42302164082687338</v>
      </c>
      <c r="Z214" s="490"/>
    </row>
    <row r="215" spans="2:26" s="4" customFormat="1" ht="19.5" customHeight="1" x14ac:dyDescent="0.25">
      <c r="C215" s="79" t="s">
        <v>79</v>
      </c>
      <c r="D215" s="280" t="s">
        <v>174</v>
      </c>
      <c r="E215" s="36">
        <v>14014</v>
      </c>
      <c r="F215" s="36">
        <f>F216+F217</f>
        <v>14244</v>
      </c>
      <c r="G215" s="18">
        <f t="shared" si="108"/>
        <v>230</v>
      </c>
      <c r="H215" s="381"/>
      <c r="I215" s="18">
        <f>I216+I217</f>
        <v>14244</v>
      </c>
      <c r="J215" s="18">
        <f t="shared" si="124"/>
        <v>0</v>
      </c>
      <c r="K215" s="145"/>
      <c r="L215" s="18">
        <f>L216+L217</f>
        <v>14244</v>
      </c>
      <c r="M215" s="18">
        <f t="shared" si="125"/>
        <v>0</v>
      </c>
      <c r="N215" s="145"/>
      <c r="O215" s="18">
        <f>O216+O217</f>
        <v>14244</v>
      </c>
      <c r="P215" s="18">
        <f t="shared" si="126"/>
        <v>0</v>
      </c>
      <c r="Q215" s="145"/>
      <c r="R215" s="18">
        <f>R216+R217</f>
        <v>14244</v>
      </c>
      <c r="S215" s="18">
        <f t="shared" si="113"/>
        <v>0</v>
      </c>
      <c r="T215" s="145"/>
      <c r="U215" s="18">
        <f>U216+U217</f>
        <v>14244</v>
      </c>
      <c r="V215" s="18">
        <f t="shared" si="114"/>
        <v>0</v>
      </c>
      <c r="W215" s="145"/>
      <c r="X215" s="546">
        <f>X216+X217</f>
        <v>390</v>
      </c>
      <c r="Y215" s="212">
        <f t="shared" si="129"/>
        <v>2.737994945240101E-2</v>
      </c>
      <c r="Z215" s="497"/>
    </row>
    <row r="216" spans="2:26" s="34" customFormat="1" outlineLevel="1" x14ac:dyDescent="0.25">
      <c r="B216" s="34">
        <v>1011</v>
      </c>
      <c r="C216" s="82" t="s">
        <v>181</v>
      </c>
      <c r="D216" s="279" t="s">
        <v>228</v>
      </c>
      <c r="E216" s="37">
        <v>1407</v>
      </c>
      <c r="F216" s="37">
        <f>ROUND(E216,0)</f>
        <v>1407</v>
      </c>
      <c r="G216" s="35">
        <f t="shared" si="108"/>
        <v>0</v>
      </c>
      <c r="H216" s="410"/>
      <c r="I216" s="35">
        <f>ROUND(F216,0)</f>
        <v>1407</v>
      </c>
      <c r="J216" s="35">
        <f t="shared" si="124"/>
        <v>0</v>
      </c>
      <c r="K216" s="178"/>
      <c r="L216" s="35">
        <f>ROUND(I216,0)</f>
        <v>1407</v>
      </c>
      <c r="M216" s="35">
        <f t="shared" si="125"/>
        <v>0</v>
      </c>
      <c r="N216" s="178"/>
      <c r="O216" s="35">
        <f>ROUND(L216,0)</f>
        <v>1407</v>
      </c>
      <c r="P216" s="35">
        <f t="shared" si="126"/>
        <v>0</v>
      </c>
      <c r="Q216" s="178"/>
      <c r="R216" s="35">
        <f>ROUND(O216,0)</f>
        <v>1407</v>
      </c>
      <c r="S216" s="35">
        <f t="shared" si="113"/>
        <v>0</v>
      </c>
      <c r="T216" s="178"/>
      <c r="U216" s="35">
        <f>ROUND(R216,0)</f>
        <v>1407</v>
      </c>
      <c r="V216" s="35">
        <f t="shared" si="114"/>
        <v>0</v>
      </c>
      <c r="W216" s="178"/>
      <c r="X216" s="552">
        <f>390-X217</f>
        <v>140</v>
      </c>
      <c r="Y216" s="227">
        <f t="shared" si="129"/>
        <v>9.950248756218906E-2</v>
      </c>
      <c r="Z216" s="490"/>
    </row>
    <row r="217" spans="2:26" s="34" customFormat="1" outlineLevel="1" x14ac:dyDescent="0.25">
      <c r="B217" s="34">
        <v>1011</v>
      </c>
      <c r="C217" s="82" t="s">
        <v>183</v>
      </c>
      <c r="D217" s="279" t="s">
        <v>229</v>
      </c>
      <c r="E217" s="37">
        <v>12607</v>
      </c>
      <c r="F217" s="37">
        <f>ROUND(E217,0)+230</f>
        <v>12837</v>
      </c>
      <c r="G217" s="35">
        <f t="shared" si="108"/>
        <v>230</v>
      </c>
      <c r="H217" s="178" t="s">
        <v>525</v>
      </c>
      <c r="I217" s="35">
        <f>ROUND(F217,0)</f>
        <v>12837</v>
      </c>
      <c r="J217" s="35">
        <f t="shared" si="124"/>
        <v>0</v>
      </c>
      <c r="K217" s="178"/>
      <c r="L217" s="35">
        <f>ROUND(I217,0)</f>
        <v>12837</v>
      </c>
      <c r="M217" s="35">
        <f t="shared" si="125"/>
        <v>0</v>
      </c>
      <c r="N217" s="178"/>
      <c r="O217" s="35">
        <f>ROUND(L217,0)</f>
        <v>12837</v>
      </c>
      <c r="P217" s="35">
        <f t="shared" si="126"/>
        <v>0</v>
      </c>
      <c r="Q217" s="178"/>
      <c r="R217" s="35">
        <f>ROUND(O217,0)</f>
        <v>12837</v>
      </c>
      <c r="S217" s="35">
        <f t="shared" si="113"/>
        <v>0</v>
      </c>
      <c r="T217" s="178"/>
      <c r="U217" s="35">
        <f>ROUND(R217,0)</f>
        <v>12837</v>
      </c>
      <c r="V217" s="35">
        <f t="shared" si="114"/>
        <v>0</v>
      </c>
      <c r="W217" s="178"/>
      <c r="X217" s="552">
        <v>250</v>
      </c>
      <c r="Y217" s="227">
        <f t="shared" si="129"/>
        <v>1.9474955207603024E-2</v>
      </c>
      <c r="Z217" s="490"/>
    </row>
    <row r="218" spans="2:26" s="4" customFormat="1" ht="27" customHeight="1" x14ac:dyDescent="0.25">
      <c r="C218" s="79" t="s">
        <v>80</v>
      </c>
      <c r="D218" s="280" t="s">
        <v>245</v>
      </c>
      <c r="E218" s="338">
        <v>622113.62317695003</v>
      </c>
      <c r="F218" s="338">
        <f t="shared" ref="F218:G218" si="130">SUM(F219:F222)</f>
        <v>659230</v>
      </c>
      <c r="G218" s="49">
        <f t="shared" si="130"/>
        <v>37116.376823049912</v>
      </c>
      <c r="H218" s="261"/>
      <c r="I218" s="49">
        <f>SUM(I219:I222)</f>
        <v>659230</v>
      </c>
      <c r="J218" s="49">
        <f t="shared" si="124"/>
        <v>0</v>
      </c>
      <c r="K218" s="165"/>
      <c r="L218" s="49">
        <f>SUM(L219:L222)</f>
        <v>631533</v>
      </c>
      <c r="M218" s="49">
        <f t="shared" si="125"/>
        <v>-27697</v>
      </c>
      <c r="N218" s="165"/>
      <c r="O218" s="49">
        <f>SUM(O219:O222)</f>
        <v>631533</v>
      </c>
      <c r="P218" s="49">
        <f t="shared" si="126"/>
        <v>0</v>
      </c>
      <c r="Q218" s="165"/>
      <c r="R218" s="49">
        <f>SUM(R219:R222)</f>
        <v>631533</v>
      </c>
      <c r="S218" s="49">
        <f t="shared" si="113"/>
        <v>0</v>
      </c>
      <c r="T218" s="165"/>
      <c r="U218" s="49">
        <f>SUM(U219:U222)</f>
        <v>631533</v>
      </c>
      <c r="V218" s="49">
        <f t="shared" si="114"/>
        <v>0</v>
      </c>
      <c r="W218" s="165"/>
      <c r="X218" s="553">
        <f>SUM(X219:X222)</f>
        <v>181706.011</v>
      </c>
      <c r="Y218" s="229">
        <f t="shared" si="129"/>
        <v>0.28772211586726265</v>
      </c>
      <c r="Z218" s="512"/>
    </row>
    <row r="219" spans="2:26" s="4" customFormat="1" ht="15" customHeight="1" x14ac:dyDescent="0.25">
      <c r="B219" s="2" t="s">
        <v>532</v>
      </c>
      <c r="C219" s="83" t="s">
        <v>186</v>
      </c>
      <c r="D219" s="289" t="s">
        <v>512</v>
      </c>
      <c r="E219" s="335">
        <v>402246.62317695009</v>
      </c>
      <c r="F219" s="335">
        <f>ROUND(E219,0)</f>
        <v>402247</v>
      </c>
      <c r="G219" s="41">
        <f t="shared" si="108"/>
        <v>0.37682304991176352</v>
      </c>
      <c r="H219" s="367"/>
      <c r="I219" s="41">
        <f>ROUND(F219,0)</f>
        <v>402247</v>
      </c>
      <c r="J219" s="41">
        <f t="shared" si="124"/>
        <v>0</v>
      </c>
      <c r="K219" s="170"/>
      <c r="L219" s="41">
        <f>ROUND(I219,0)-27697</f>
        <v>374550</v>
      </c>
      <c r="M219" s="41">
        <f t="shared" si="125"/>
        <v>-27697</v>
      </c>
      <c r="N219" s="170" t="s">
        <v>788</v>
      </c>
      <c r="O219" s="41">
        <f>ROUND(L219,0)-3745</f>
        <v>370805</v>
      </c>
      <c r="P219" s="41">
        <f t="shared" si="126"/>
        <v>-3745</v>
      </c>
      <c r="Q219" s="294" t="s">
        <v>812</v>
      </c>
      <c r="R219" s="41">
        <f>ROUND(O219,0)</f>
        <v>370805</v>
      </c>
      <c r="S219" s="41">
        <f t="shared" si="113"/>
        <v>0</v>
      </c>
      <c r="T219" s="294"/>
      <c r="U219" s="41">
        <f>ROUND(R219,0)</f>
        <v>370805</v>
      </c>
      <c r="V219" s="41">
        <f t="shared" si="114"/>
        <v>0</v>
      </c>
      <c r="W219" s="294"/>
      <c r="X219" s="548">
        <f>184046.011-3745-X221</f>
        <v>174836.66099999999</v>
      </c>
      <c r="Y219" s="210">
        <f t="shared" si="129"/>
        <v>0.47150567279297745</v>
      </c>
      <c r="Z219" s="486"/>
    </row>
    <row r="220" spans="2:26" s="4" customFormat="1" ht="15" customHeight="1" x14ac:dyDescent="0.25">
      <c r="B220" s="2" t="s">
        <v>532</v>
      </c>
      <c r="C220" s="83" t="s">
        <v>187</v>
      </c>
      <c r="D220" s="289" t="s">
        <v>811</v>
      </c>
      <c r="E220" s="457"/>
      <c r="F220" s="457"/>
      <c r="G220" s="456"/>
      <c r="H220" s="485"/>
      <c r="I220" s="456"/>
      <c r="J220" s="456"/>
      <c r="K220" s="459"/>
      <c r="L220" s="456"/>
      <c r="M220" s="456"/>
      <c r="N220" s="459"/>
      <c r="O220" s="456">
        <f>3745</f>
        <v>3745</v>
      </c>
      <c r="P220" s="41">
        <f t="shared" si="126"/>
        <v>3745</v>
      </c>
      <c r="Q220" s="294" t="s">
        <v>812</v>
      </c>
      <c r="R220" s="456">
        <f>3745</f>
        <v>3745</v>
      </c>
      <c r="S220" s="41">
        <f t="shared" si="113"/>
        <v>0</v>
      </c>
      <c r="T220" s="294"/>
      <c r="U220" s="456">
        <f>3745</f>
        <v>3745</v>
      </c>
      <c r="V220" s="41">
        <f t="shared" si="114"/>
        <v>0</v>
      </c>
      <c r="W220" s="294"/>
      <c r="X220" s="551">
        <v>1405</v>
      </c>
      <c r="Y220" s="460">
        <f t="shared" si="129"/>
        <v>0.37516688918558078</v>
      </c>
      <c r="Z220" s="486"/>
    </row>
    <row r="221" spans="2:26" s="4" customFormat="1" ht="15.75" customHeight="1" x14ac:dyDescent="0.25">
      <c r="B221" s="2" t="s">
        <v>532</v>
      </c>
      <c r="C221" s="108" t="s">
        <v>365</v>
      </c>
      <c r="D221" s="289" t="s">
        <v>515</v>
      </c>
      <c r="E221" s="335">
        <v>10250</v>
      </c>
      <c r="F221" s="335">
        <f>ROUND(E221,0)+38150</f>
        <v>48400</v>
      </c>
      <c r="G221" s="41">
        <f t="shared" si="108"/>
        <v>38150</v>
      </c>
      <c r="H221" s="128" t="s">
        <v>698</v>
      </c>
      <c r="I221" s="41">
        <f t="shared" ref="I221:I228" si="131">ROUND(F221,0)</f>
        <v>48400</v>
      </c>
      <c r="J221" s="41">
        <f t="shared" si="124"/>
        <v>0</v>
      </c>
      <c r="K221" s="128"/>
      <c r="L221" s="41">
        <f t="shared" ref="L221:L228" si="132">ROUND(I221,0)</f>
        <v>48400</v>
      </c>
      <c r="M221" s="41">
        <f t="shared" si="125"/>
        <v>0</v>
      </c>
      <c r="N221" s="128"/>
      <c r="O221" s="41">
        <f t="shared" ref="O221:O228" si="133">ROUND(L221,0)</f>
        <v>48400</v>
      </c>
      <c r="P221" s="41">
        <f t="shared" si="126"/>
        <v>0</v>
      </c>
      <c r="Q221" s="128"/>
      <c r="R221" s="41">
        <f t="shared" ref="R221:R228" si="134">ROUND(O221,0)</f>
        <v>48400</v>
      </c>
      <c r="S221" s="41">
        <f t="shared" si="113"/>
        <v>0</v>
      </c>
      <c r="T221" s="128"/>
      <c r="U221" s="41">
        <f t="shared" ref="U221:U228" si="135">ROUND(R221,0)</f>
        <v>48400</v>
      </c>
      <c r="V221" s="41">
        <f t="shared" si="114"/>
        <v>0</v>
      </c>
      <c r="W221" s="128"/>
      <c r="X221" s="554">
        <v>5464.35</v>
      </c>
      <c r="Y221" s="210">
        <f t="shared" si="129"/>
        <v>0.11289979338842976</v>
      </c>
      <c r="Z221" s="456" t="s">
        <v>852</v>
      </c>
    </row>
    <row r="222" spans="2:26" s="4" customFormat="1" ht="15.6" customHeight="1" x14ac:dyDescent="0.25">
      <c r="B222" s="2" t="s">
        <v>412</v>
      </c>
      <c r="C222" s="83" t="s">
        <v>810</v>
      </c>
      <c r="D222" s="289" t="s">
        <v>513</v>
      </c>
      <c r="E222" s="335">
        <v>209617</v>
      </c>
      <c r="F222" s="335">
        <f>ROUND(E222,0)-1034</f>
        <v>208583</v>
      </c>
      <c r="G222" s="41">
        <f t="shared" si="108"/>
        <v>-1034</v>
      </c>
      <c r="H222" s="128" t="s">
        <v>525</v>
      </c>
      <c r="I222" s="41">
        <f t="shared" si="131"/>
        <v>208583</v>
      </c>
      <c r="J222" s="41">
        <f t="shared" si="124"/>
        <v>0</v>
      </c>
      <c r="K222" s="128"/>
      <c r="L222" s="41">
        <f t="shared" si="132"/>
        <v>208583</v>
      </c>
      <c r="M222" s="41">
        <f t="shared" si="125"/>
        <v>0</v>
      </c>
      <c r="N222" s="128"/>
      <c r="O222" s="41">
        <f t="shared" si="133"/>
        <v>208583</v>
      </c>
      <c r="P222" s="41">
        <f t="shared" si="126"/>
        <v>0</v>
      </c>
      <c r="Q222" s="128"/>
      <c r="R222" s="41">
        <f t="shared" si="134"/>
        <v>208583</v>
      </c>
      <c r="S222" s="41">
        <f t="shared" si="113"/>
        <v>0</v>
      </c>
      <c r="T222" s="128"/>
      <c r="U222" s="41">
        <f t="shared" si="135"/>
        <v>208583</v>
      </c>
      <c r="V222" s="41">
        <f t="shared" si="114"/>
        <v>0</v>
      </c>
      <c r="W222" s="128"/>
      <c r="X222" s="548">
        <v>0</v>
      </c>
      <c r="Y222" s="210">
        <f t="shared" si="129"/>
        <v>0</v>
      </c>
      <c r="Z222" s="486"/>
    </row>
    <row r="223" spans="2:26" s="4" customFormat="1" ht="16.149999999999999" customHeight="1" x14ac:dyDescent="0.25">
      <c r="C223" s="79" t="s">
        <v>188</v>
      </c>
      <c r="D223" s="280" t="s">
        <v>176</v>
      </c>
      <c r="E223" s="36">
        <v>139599.07449700119</v>
      </c>
      <c r="F223" s="36">
        <f>ROUND(E223,0)</f>
        <v>139599</v>
      </c>
      <c r="G223" s="18">
        <f t="shared" si="108"/>
        <v>-7.4497001187410206E-2</v>
      </c>
      <c r="H223" s="261"/>
      <c r="I223" s="18">
        <f>ROUND(F223,0)</f>
        <v>139599</v>
      </c>
      <c r="J223" s="18">
        <f t="shared" si="124"/>
        <v>0</v>
      </c>
      <c r="K223" s="145"/>
      <c r="L223" s="18">
        <f t="shared" si="132"/>
        <v>139599</v>
      </c>
      <c r="M223" s="18">
        <f t="shared" si="125"/>
        <v>0</v>
      </c>
      <c r="N223" s="145"/>
      <c r="O223" s="18">
        <f t="shared" si="133"/>
        <v>139599</v>
      </c>
      <c r="P223" s="18">
        <f t="shared" si="126"/>
        <v>0</v>
      </c>
      <c r="Q223" s="145"/>
      <c r="R223" s="18">
        <f t="shared" si="134"/>
        <v>139599</v>
      </c>
      <c r="S223" s="18">
        <f t="shared" si="113"/>
        <v>0</v>
      </c>
      <c r="T223" s="145"/>
      <c r="U223" s="18">
        <f t="shared" si="135"/>
        <v>139599</v>
      </c>
      <c r="V223" s="18">
        <f t="shared" si="114"/>
        <v>0</v>
      </c>
      <c r="W223" s="145"/>
      <c r="X223" s="546">
        <v>91756.31</v>
      </c>
      <c r="Y223" s="212">
        <f t="shared" si="129"/>
        <v>0.65728486593743507</v>
      </c>
      <c r="Z223" s="497"/>
    </row>
    <row r="224" spans="2:26" s="4" customFormat="1" ht="18.75" customHeight="1" x14ac:dyDescent="0.25">
      <c r="B224" s="2">
        <v>1016</v>
      </c>
      <c r="C224" s="102" t="s">
        <v>191</v>
      </c>
      <c r="D224" s="285" t="s">
        <v>475</v>
      </c>
      <c r="E224" s="357">
        <v>50000</v>
      </c>
      <c r="F224" s="357">
        <f>ROUND(E224,0)</f>
        <v>50000</v>
      </c>
      <c r="G224" s="93">
        <f t="shared" si="108"/>
        <v>0</v>
      </c>
      <c r="H224" s="412"/>
      <c r="I224" s="93">
        <f>ROUND(F224,0)</f>
        <v>50000</v>
      </c>
      <c r="J224" s="93">
        <f t="shared" si="124"/>
        <v>0</v>
      </c>
      <c r="K224" s="165"/>
      <c r="L224" s="93">
        <f t="shared" si="132"/>
        <v>50000</v>
      </c>
      <c r="M224" s="93">
        <f t="shared" si="125"/>
        <v>0</v>
      </c>
      <c r="N224" s="165"/>
      <c r="O224" s="93">
        <f>ROUND(L224,0)</f>
        <v>50000</v>
      </c>
      <c r="P224" s="93">
        <f t="shared" si="126"/>
        <v>0</v>
      </c>
      <c r="Q224" s="165"/>
      <c r="R224" s="93">
        <f t="shared" si="134"/>
        <v>50000</v>
      </c>
      <c r="S224" s="93">
        <f t="shared" si="113"/>
        <v>0</v>
      </c>
      <c r="T224" s="165"/>
      <c r="U224" s="93">
        <f>ROUND(R224,0)+20000</f>
        <v>70000</v>
      </c>
      <c r="V224" s="93">
        <f t="shared" si="114"/>
        <v>20000</v>
      </c>
      <c r="W224" s="165"/>
      <c r="X224" s="546">
        <v>42125.5</v>
      </c>
      <c r="Y224" s="230">
        <f t="shared" si="129"/>
        <v>0.60179285714285713</v>
      </c>
      <c r="Z224" s="497"/>
    </row>
    <row r="225" spans="2:26" s="4" customFormat="1" ht="18.75" customHeight="1" x14ac:dyDescent="0.25">
      <c r="B225" s="2">
        <v>1017</v>
      </c>
      <c r="C225" s="79" t="s">
        <v>193</v>
      </c>
      <c r="D225" s="286" t="s">
        <v>491</v>
      </c>
      <c r="E225" s="357">
        <v>200000</v>
      </c>
      <c r="F225" s="357">
        <f>ROUND(E225,0)</f>
        <v>200000</v>
      </c>
      <c r="G225" s="93">
        <f t="shared" si="108"/>
        <v>0</v>
      </c>
      <c r="H225" s="412"/>
      <c r="I225" s="93">
        <f t="shared" si="131"/>
        <v>200000</v>
      </c>
      <c r="J225" s="93">
        <f t="shared" si="124"/>
        <v>0</v>
      </c>
      <c r="K225" s="169"/>
      <c r="L225" s="93">
        <f t="shared" si="132"/>
        <v>200000</v>
      </c>
      <c r="M225" s="93">
        <f t="shared" si="125"/>
        <v>0</v>
      </c>
      <c r="N225" s="169"/>
      <c r="O225" s="93">
        <f t="shared" si="133"/>
        <v>200000</v>
      </c>
      <c r="P225" s="93">
        <f t="shared" si="126"/>
        <v>0</v>
      </c>
      <c r="Q225" s="169"/>
      <c r="R225" s="93">
        <f t="shared" si="134"/>
        <v>200000</v>
      </c>
      <c r="S225" s="93">
        <f t="shared" si="113"/>
        <v>0</v>
      </c>
      <c r="T225" s="169"/>
      <c r="U225" s="93">
        <f t="shared" si="135"/>
        <v>200000</v>
      </c>
      <c r="V225" s="93">
        <f t="shared" si="114"/>
        <v>0</v>
      </c>
      <c r="W225" s="169"/>
      <c r="X225" s="492">
        <v>0</v>
      </c>
      <c r="Y225" s="230">
        <f t="shared" si="129"/>
        <v>0</v>
      </c>
      <c r="Z225" s="497"/>
    </row>
    <row r="226" spans="2:26" s="4" customFormat="1" ht="40.15" customHeight="1" x14ac:dyDescent="0.25">
      <c r="B226" s="2">
        <v>1018</v>
      </c>
      <c r="C226" s="79" t="s">
        <v>194</v>
      </c>
      <c r="D226" s="280" t="s">
        <v>641</v>
      </c>
      <c r="E226" s="493"/>
      <c r="F226" s="493"/>
      <c r="G226" s="492"/>
      <c r="H226" s="494"/>
      <c r="I226" s="492"/>
      <c r="J226" s="492"/>
      <c r="K226" s="495"/>
      <c r="L226" s="492"/>
      <c r="M226" s="492"/>
      <c r="N226" s="495"/>
      <c r="O226" s="492">
        <v>44284</v>
      </c>
      <c r="P226" s="93">
        <f t="shared" si="126"/>
        <v>44284</v>
      </c>
      <c r="Q226" s="498" t="s">
        <v>823</v>
      </c>
      <c r="R226" s="492">
        <f t="shared" si="134"/>
        <v>44284</v>
      </c>
      <c r="S226" s="93">
        <f t="shared" si="113"/>
        <v>0</v>
      </c>
      <c r="T226" s="498"/>
      <c r="U226" s="492">
        <f t="shared" si="135"/>
        <v>44284</v>
      </c>
      <c r="V226" s="93">
        <f t="shared" si="114"/>
        <v>0</v>
      </c>
      <c r="W226" s="498"/>
      <c r="X226" s="546">
        <v>250</v>
      </c>
      <c r="Y226" s="496">
        <f t="shared" si="129"/>
        <v>5.6453798211543674E-3</v>
      </c>
      <c r="Z226" s="492" t="s">
        <v>570</v>
      </c>
    </row>
    <row r="227" spans="2:26" ht="40.9" customHeight="1" x14ac:dyDescent="0.25">
      <c r="B227" s="2" t="s">
        <v>418</v>
      </c>
      <c r="C227" s="79" t="s">
        <v>196</v>
      </c>
      <c r="D227" s="286" t="s">
        <v>485</v>
      </c>
      <c r="E227" s="357">
        <v>10226</v>
      </c>
      <c r="F227" s="357">
        <f>ROUND(E227,0)</f>
        <v>10226</v>
      </c>
      <c r="G227" s="93">
        <f>F227-E227</f>
        <v>0</v>
      </c>
      <c r="H227" s="412"/>
      <c r="I227" s="11">
        <f t="shared" si="131"/>
        <v>10226</v>
      </c>
      <c r="J227" s="11">
        <f t="shared" si="124"/>
        <v>0</v>
      </c>
      <c r="K227" s="170"/>
      <c r="L227" s="11">
        <f t="shared" si="132"/>
        <v>10226</v>
      </c>
      <c r="M227" s="11">
        <f t="shared" si="125"/>
        <v>0</v>
      </c>
      <c r="N227" s="170"/>
      <c r="O227" s="11">
        <f t="shared" si="133"/>
        <v>10226</v>
      </c>
      <c r="P227" s="11">
        <f t="shared" si="126"/>
        <v>0</v>
      </c>
      <c r="Q227" s="170"/>
      <c r="R227" s="11">
        <f t="shared" si="134"/>
        <v>10226</v>
      </c>
      <c r="S227" s="11">
        <f t="shared" si="113"/>
        <v>0</v>
      </c>
      <c r="T227" s="170"/>
      <c r="U227" s="11">
        <f t="shared" si="135"/>
        <v>10226</v>
      </c>
      <c r="V227" s="11">
        <f t="shared" si="114"/>
        <v>0</v>
      </c>
      <c r="W227" s="170"/>
      <c r="X227" s="456">
        <v>0</v>
      </c>
      <c r="Y227" s="201">
        <f t="shared" si="129"/>
        <v>0</v>
      </c>
      <c r="Z227" s="503"/>
    </row>
    <row r="228" spans="2:26" ht="44.45" customHeight="1" x14ac:dyDescent="0.25">
      <c r="B228" s="2" t="s">
        <v>486</v>
      </c>
      <c r="C228" s="79" t="s">
        <v>822</v>
      </c>
      <c r="D228" s="286" t="s">
        <v>487</v>
      </c>
      <c r="E228" s="357">
        <v>4086</v>
      </c>
      <c r="F228" s="357">
        <f>ROUND(E228,0)</f>
        <v>4086</v>
      </c>
      <c r="G228" s="93">
        <f>F228-E228</f>
        <v>0</v>
      </c>
      <c r="H228" s="412"/>
      <c r="I228" s="11">
        <f t="shared" si="131"/>
        <v>4086</v>
      </c>
      <c r="J228" s="11">
        <f t="shared" si="124"/>
        <v>0</v>
      </c>
      <c r="K228" s="175"/>
      <c r="L228" s="11">
        <f t="shared" si="132"/>
        <v>4086</v>
      </c>
      <c r="M228" s="11">
        <f t="shared" si="125"/>
        <v>0</v>
      </c>
      <c r="N228" s="175"/>
      <c r="O228" s="11">
        <f t="shared" si="133"/>
        <v>4086</v>
      </c>
      <c r="P228" s="11">
        <f t="shared" si="126"/>
        <v>0</v>
      </c>
      <c r="Q228" s="175"/>
      <c r="R228" s="11">
        <f t="shared" si="134"/>
        <v>4086</v>
      </c>
      <c r="S228" s="11">
        <f t="shared" si="113"/>
        <v>0</v>
      </c>
      <c r="T228" s="175"/>
      <c r="U228" s="11">
        <f t="shared" si="135"/>
        <v>4086</v>
      </c>
      <c r="V228" s="11">
        <f t="shared" si="114"/>
        <v>0</v>
      </c>
      <c r="W228" s="175"/>
      <c r="X228" s="456">
        <v>0</v>
      </c>
      <c r="Y228" s="201">
        <f t="shared" si="129"/>
        <v>0</v>
      </c>
      <c r="Z228" s="503"/>
    </row>
    <row r="229" spans="2:26" x14ac:dyDescent="0.25">
      <c r="C229" s="80" t="s">
        <v>81</v>
      </c>
      <c r="D229" s="290" t="s">
        <v>177</v>
      </c>
      <c r="E229" s="329">
        <v>24609695.260866992</v>
      </c>
      <c r="F229" s="329">
        <f t="shared" ref="F229" si="136">F230+F231+F235+F239+F243+F247+F251+F262+F263+F281+F284+F287+F288+F289+F290+F291+F292+F293</f>
        <v>25093873</v>
      </c>
      <c r="G229" s="13">
        <f>F229-E229</f>
        <v>484177.73913300782</v>
      </c>
      <c r="H229" s="263"/>
      <c r="I229" s="13">
        <f>I230+I231+I235+I239+I243+I247+I251+I262+I263+I281+I284+I287+I288+I289+I290+I291+I292+I293</f>
        <v>25311613</v>
      </c>
      <c r="J229" s="13">
        <f t="shared" si="124"/>
        <v>217740</v>
      </c>
      <c r="K229" s="13"/>
      <c r="L229" s="13">
        <f>L230+L231+L235+L239+L243+L247+L251+L262+L263+L281+L284+L287+L288+L289+L290+L291+L292+L293</f>
        <v>25298401</v>
      </c>
      <c r="M229" s="13">
        <f t="shared" si="125"/>
        <v>-13212</v>
      </c>
      <c r="N229" s="13"/>
      <c r="O229" s="13">
        <f>O230+O231+O235+O239+O243+O247+O251+O262+O263+O281+O284+O287+O288+O289+O290+O291+O292+O293</f>
        <v>25291772</v>
      </c>
      <c r="P229" s="13">
        <f t="shared" si="126"/>
        <v>-6629</v>
      </c>
      <c r="Q229" s="13"/>
      <c r="R229" s="13">
        <f>R230+R231+R235+R239+R243+R247+R251+R262+R263+R281+R284+R287+R288+R289+R290+R291+R292+R293</f>
        <v>25713889</v>
      </c>
      <c r="S229" s="13">
        <f t="shared" si="113"/>
        <v>422117</v>
      </c>
      <c r="T229" s="13"/>
      <c r="U229" s="13">
        <f>U230+U231+U235+U239+U243+U247+U251+U262+U263+U281+U284+U287+U288+U289+U290+U291+U292+U293</f>
        <v>25852265</v>
      </c>
      <c r="V229" s="13">
        <f t="shared" si="114"/>
        <v>138376</v>
      </c>
      <c r="W229" s="13"/>
      <c r="X229" s="499">
        <f>X230+X231+X235+X239+X243+X247+X251+X262+X263+X281+X284+X287+X288+X289+X290+X291+X292+X293</f>
        <v>15622182.399999999</v>
      </c>
      <c r="Y229" s="200">
        <f t="shared" si="129"/>
        <v>0.60428679653407535</v>
      </c>
      <c r="Z229" s="508"/>
    </row>
    <row r="230" spans="2:26" ht="27.6" customHeight="1" x14ac:dyDescent="0.25">
      <c r="B230" s="26" t="s">
        <v>178</v>
      </c>
      <c r="C230" s="79" t="s">
        <v>83</v>
      </c>
      <c r="D230" s="300" t="s">
        <v>179</v>
      </c>
      <c r="E230" s="36">
        <v>750000</v>
      </c>
      <c r="F230" s="36">
        <f>ROUND(E230,0)</f>
        <v>750000</v>
      </c>
      <c r="G230" s="18">
        <f t="shared" si="108"/>
        <v>0</v>
      </c>
      <c r="H230" s="381"/>
      <c r="I230" s="18">
        <f>ROUND(F230,0)</f>
        <v>750000</v>
      </c>
      <c r="J230" s="18">
        <f t="shared" si="124"/>
        <v>0</v>
      </c>
      <c r="K230" s="145"/>
      <c r="L230" s="18">
        <f>ROUND(I230,0)</f>
        <v>750000</v>
      </c>
      <c r="M230" s="18">
        <f t="shared" si="125"/>
        <v>0</v>
      </c>
      <c r="N230" s="145"/>
      <c r="O230" s="18">
        <f>ROUND(L230,0)</f>
        <v>750000</v>
      </c>
      <c r="P230" s="18">
        <f t="shared" si="126"/>
        <v>0</v>
      </c>
      <c r="Q230" s="145"/>
      <c r="R230" s="18">
        <f>ROUND(O230,0)+80000+70000</f>
        <v>900000</v>
      </c>
      <c r="S230" s="18">
        <f t="shared" si="113"/>
        <v>150000</v>
      </c>
      <c r="T230" s="145" t="s">
        <v>863</v>
      </c>
      <c r="U230" s="18">
        <f>ROUND(R230,0)</f>
        <v>900000</v>
      </c>
      <c r="V230" s="18">
        <f t="shared" si="114"/>
        <v>0</v>
      </c>
      <c r="W230" s="145"/>
      <c r="X230" s="546">
        <v>606161.18999999994</v>
      </c>
      <c r="Y230" s="212">
        <f t="shared" si="129"/>
        <v>0.67351243333333322</v>
      </c>
      <c r="Z230" s="492" t="s">
        <v>893</v>
      </c>
    </row>
    <row r="231" spans="2:26" ht="17.45" customHeight="1" x14ac:dyDescent="0.25">
      <c r="C231" s="79" t="s">
        <v>84</v>
      </c>
      <c r="D231" s="300" t="s">
        <v>180</v>
      </c>
      <c r="E231" s="36">
        <v>2321467.5649073655</v>
      </c>
      <c r="F231" s="36">
        <f t="shared" ref="F231" si="137">SUM(F232:F234)</f>
        <v>2327886</v>
      </c>
      <c r="G231" s="18">
        <f t="shared" si="108"/>
        <v>6418.4350926345214</v>
      </c>
      <c r="H231" s="261"/>
      <c r="I231" s="18">
        <f>SUM(I232:I234)</f>
        <v>2335378</v>
      </c>
      <c r="J231" s="18">
        <f t="shared" si="124"/>
        <v>7492</v>
      </c>
      <c r="K231" s="165"/>
      <c r="L231" s="18">
        <f>SUM(L232:L234)</f>
        <v>2312869</v>
      </c>
      <c r="M231" s="18">
        <f t="shared" si="125"/>
        <v>-22509</v>
      </c>
      <c r="N231" s="165"/>
      <c r="O231" s="18">
        <f>SUM(O232:O234)</f>
        <v>2312869</v>
      </c>
      <c r="P231" s="18">
        <f t="shared" si="126"/>
        <v>0</v>
      </c>
      <c r="Q231" s="165"/>
      <c r="R231" s="18">
        <f>SUM(R232:R234)</f>
        <v>2315847</v>
      </c>
      <c r="S231" s="18">
        <f t="shared" si="113"/>
        <v>2978</v>
      </c>
      <c r="T231" s="165"/>
      <c r="U231" s="18">
        <f>SUM(U232:U234)</f>
        <v>2295007</v>
      </c>
      <c r="V231" s="18">
        <f t="shared" si="114"/>
        <v>-20840</v>
      </c>
      <c r="W231" s="165"/>
      <c r="X231" s="492">
        <f>SUM(X232:X234)</f>
        <v>1402289.08</v>
      </c>
      <c r="Y231" s="212">
        <f t="shared" si="129"/>
        <v>0.61101734330222091</v>
      </c>
      <c r="Z231" s="497"/>
    </row>
    <row r="232" spans="2:26" ht="16.149999999999999" customHeight="1" x14ac:dyDescent="0.25">
      <c r="B232" s="58" t="s">
        <v>261</v>
      </c>
      <c r="C232" s="81" t="s">
        <v>366</v>
      </c>
      <c r="D232" s="276" t="s">
        <v>233</v>
      </c>
      <c r="E232" s="50">
        <v>413462</v>
      </c>
      <c r="F232" s="50">
        <f>ROUND(E232,0)+399+324</f>
        <v>414185</v>
      </c>
      <c r="G232" s="14">
        <f t="shared" si="108"/>
        <v>723</v>
      </c>
      <c r="H232" s="135" t="s">
        <v>681</v>
      </c>
      <c r="I232" s="14">
        <f>ROUND(F232,0)+7380+112</f>
        <v>421677</v>
      </c>
      <c r="J232" s="14">
        <f t="shared" si="124"/>
        <v>7492</v>
      </c>
      <c r="K232" s="135" t="s">
        <v>755</v>
      </c>
      <c r="L232" s="14">
        <f>ROUND(I232,0)</f>
        <v>421677</v>
      </c>
      <c r="M232" s="14">
        <f t="shared" si="125"/>
        <v>0</v>
      </c>
      <c r="N232" s="135"/>
      <c r="O232" s="14">
        <f>ROUND(L232,0)</f>
        <v>421677</v>
      </c>
      <c r="P232" s="14">
        <f t="shared" si="126"/>
        <v>0</v>
      </c>
      <c r="Q232" s="135"/>
      <c r="R232" s="14">
        <f>ROUND(O232,0)</f>
        <v>421677</v>
      </c>
      <c r="S232" s="14">
        <f t="shared" si="113"/>
        <v>0</v>
      </c>
      <c r="T232" s="135"/>
      <c r="U232" s="14">
        <f>ROUND(R232,0)-18775-2065</f>
        <v>400837</v>
      </c>
      <c r="V232" s="14">
        <f t="shared" si="114"/>
        <v>-20840</v>
      </c>
      <c r="W232" s="135" t="s">
        <v>897</v>
      </c>
      <c r="X232" s="507">
        <v>280419.77</v>
      </c>
      <c r="Y232" s="231">
        <f t="shared" si="129"/>
        <v>0.69958554225283598</v>
      </c>
      <c r="Z232" s="509"/>
    </row>
    <row r="233" spans="2:26" ht="16.5" customHeight="1" x14ac:dyDescent="0.25">
      <c r="B233" s="58" t="s">
        <v>218</v>
      </c>
      <c r="C233" s="81" t="s">
        <v>367</v>
      </c>
      <c r="D233" s="276" t="s">
        <v>184</v>
      </c>
      <c r="E233" s="50">
        <v>1908005.5649073652</v>
      </c>
      <c r="F233" s="50">
        <f>ROUND(E233,0)-160317+5695</f>
        <v>1753384</v>
      </c>
      <c r="G233" s="14">
        <f t="shared" si="108"/>
        <v>-154621.56490736525</v>
      </c>
      <c r="H233" s="135" t="s">
        <v>703</v>
      </c>
      <c r="I233" s="14">
        <f>ROUND(F233,0)-145959</f>
        <v>1607425</v>
      </c>
      <c r="J233" s="14">
        <f t="shared" si="124"/>
        <v>-145959</v>
      </c>
      <c r="K233" s="135" t="s">
        <v>765</v>
      </c>
      <c r="L233" s="14">
        <f>ROUND(I233,0)-22509</f>
        <v>1584916</v>
      </c>
      <c r="M233" s="14">
        <f t="shared" si="125"/>
        <v>-22509</v>
      </c>
      <c r="N233" s="135" t="s">
        <v>788</v>
      </c>
      <c r="O233" s="14">
        <f>ROUND(L233,0)-7811</f>
        <v>1577105</v>
      </c>
      <c r="P233" s="14">
        <f t="shared" si="126"/>
        <v>-7811</v>
      </c>
      <c r="Q233" s="294" t="s">
        <v>828</v>
      </c>
      <c r="R233" s="14">
        <f>ROUND(O233,0)</f>
        <v>1577105</v>
      </c>
      <c r="S233" s="14">
        <f t="shared" si="113"/>
        <v>0</v>
      </c>
      <c r="T233" s="294"/>
      <c r="U233" s="14">
        <f>ROUND(R233,0)+10721</f>
        <v>1587826</v>
      </c>
      <c r="V233" s="14">
        <f t="shared" si="114"/>
        <v>10721</v>
      </c>
      <c r="W233" s="573" t="s">
        <v>915</v>
      </c>
      <c r="X233" s="507">
        <f>1082828.71-164691.4</f>
        <v>918137.30999999994</v>
      </c>
      <c r="Y233" s="231">
        <f t="shared" si="129"/>
        <v>0.57823546786612634</v>
      </c>
      <c r="Z233" s="507" t="s">
        <v>574</v>
      </c>
    </row>
    <row r="234" spans="2:26" ht="27.75" customHeight="1" x14ac:dyDescent="0.25">
      <c r="B234" s="58"/>
      <c r="C234" s="81" t="s">
        <v>692</v>
      </c>
      <c r="D234" s="276" t="s">
        <v>527</v>
      </c>
      <c r="E234" s="421"/>
      <c r="F234" s="421">
        <v>160317</v>
      </c>
      <c r="G234" s="14">
        <f t="shared" si="108"/>
        <v>160317</v>
      </c>
      <c r="H234" s="439"/>
      <c r="I234" s="14">
        <f>ROUND(F234,0)+145959</f>
        <v>306276</v>
      </c>
      <c r="J234" s="14">
        <f>I234-F234</f>
        <v>145959</v>
      </c>
      <c r="K234" s="294" t="s">
        <v>765</v>
      </c>
      <c r="L234" s="14">
        <f>ROUND(I234,0)</f>
        <v>306276</v>
      </c>
      <c r="M234" s="14">
        <f t="shared" si="125"/>
        <v>0</v>
      </c>
      <c r="N234" s="294"/>
      <c r="O234" s="14">
        <f>ROUND(L234,0)+7811</f>
        <v>314087</v>
      </c>
      <c r="P234" s="14">
        <f t="shared" si="126"/>
        <v>7811</v>
      </c>
      <c r="Q234" s="294" t="s">
        <v>828</v>
      </c>
      <c r="R234" s="14">
        <f>ROUND(O234,0)+2978</f>
        <v>317065</v>
      </c>
      <c r="S234" s="14">
        <f t="shared" si="113"/>
        <v>2978</v>
      </c>
      <c r="T234" s="294" t="s">
        <v>875</v>
      </c>
      <c r="U234" s="14">
        <f>ROUND(R234,0)-10721</f>
        <v>306344</v>
      </c>
      <c r="V234" s="14">
        <f t="shared" si="114"/>
        <v>-10721</v>
      </c>
      <c r="W234" s="574"/>
      <c r="X234" s="526">
        <f>164723+10000+17009+12000</f>
        <v>203732</v>
      </c>
      <c r="Y234" s="231">
        <f t="shared" si="129"/>
        <v>0.66504321938735544</v>
      </c>
      <c r="Z234" s="509"/>
    </row>
    <row r="235" spans="2:26" ht="18" customHeight="1" x14ac:dyDescent="0.25">
      <c r="C235" s="79" t="s">
        <v>368</v>
      </c>
      <c r="D235" s="300" t="s">
        <v>185</v>
      </c>
      <c r="E235" s="36">
        <v>1447835.9786112006</v>
      </c>
      <c r="F235" s="36">
        <f t="shared" ref="F235" si="138">F236+F237+F238</f>
        <v>1429177</v>
      </c>
      <c r="G235" s="18">
        <f t="shared" si="108"/>
        <v>-18658.978611200582</v>
      </c>
      <c r="H235" s="261"/>
      <c r="I235" s="18">
        <f>I236+I237+I238</f>
        <v>1432166</v>
      </c>
      <c r="J235" s="18">
        <f t="shared" si="124"/>
        <v>2989</v>
      </c>
      <c r="K235" s="165"/>
      <c r="L235" s="18">
        <f>L236+L237+L238</f>
        <v>1426182</v>
      </c>
      <c r="M235" s="18">
        <f t="shared" si="125"/>
        <v>-5984</v>
      </c>
      <c r="N235" s="165"/>
      <c r="O235" s="18">
        <f>O236+O237+O238</f>
        <v>1426182</v>
      </c>
      <c r="P235" s="18">
        <f t="shared" si="126"/>
        <v>0</v>
      </c>
      <c r="Q235" s="165"/>
      <c r="R235" s="18">
        <f>R236+R237+R238</f>
        <v>1430782</v>
      </c>
      <c r="S235" s="18">
        <f t="shared" si="113"/>
        <v>4600</v>
      </c>
      <c r="T235" s="165"/>
      <c r="U235" s="18">
        <f>U236+U237+U238</f>
        <v>1425343</v>
      </c>
      <c r="V235" s="18">
        <f t="shared" si="114"/>
        <v>-5439</v>
      </c>
      <c r="W235" s="165"/>
      <c r="X235" s="492">
        <f>X236+X237+X238</f>
        <v>820179.25</v>
      </c>
      <c r="Y235" s="212">
        <f t="shared" si="129"/>
        <v>0.57542587994609018</v>
      </c>
      <c r="Z235" s="497"/>
    </row>
    <row r="236" spans="2:26" ht="16.5" customHeight="1" x14ac:dyDescent="0.25">
      <c r="B236" s="58" t="s">
        <v>262</v>
      </c>
      <c r="C236" s="81" t="s">
        <v>369</v>
      </c>
      <c r="D236" s="276" t="s">
        <v>233</v>
      </c>
      <c r="E236" s="330">
        <v>158733</v>
      </c>
      <c r="F236" s="330">
        <f>ROUND(E236,0)+525</f>
        <v>159258</v>
      </c>
      <c r="G236" s="11">
        <f t="shared" si="108"/>
        <v>525</v>
      </c>
      <c r="H236" s="135" t="s">
        <v>681</v>
      </c>
      <c r="I236" s="11">
        <f>ROUND(F236,0)+2989</f>
        <v>162247</v>
      </c>
      <c r="J236" s="11">
        <f t="shared" si="124"/>
        <v>2989</v>
      </c>
      <c r="K236" s="135" t="s">
        <v>755</v>
      </c>
      <c r="L236" s="11">
        <f>ROUND(I236,0)</f>
        <v>162247</v>
      </c>
      <c r="M236" s="11">
        <f t="shared" si="125"/>
        <v>0</v>
      </c>
      <c r="N236" s="135"/>
      <c r="O236" s="11">
        <f>ROUND(L236,0)</f>
        <v>162247</v>
      </c>
      <c r="P236" s="11">
        <f t="shared" si="126"/>
        <v>0</v>
      </c>
      <c r="Q236" s="135"/>
      <c r="R236" s="11">
        <f>ROUND(O236,0)</f>
        <v>162247</v>
      </c>
      <c r="S236" s="11">
        <f t="shared" si="113"/>
        <v>0</v>
      </c>
      <c r="T236" s="135"/>
      <c r="U236" s="11">
        <f>ROUND(R236,0)-5439</f>
        <v>156808</v>
      </c>
      <c r="V236" s="11">
        <f t="shared" si="114"/>
        <v>-5439</v>
      </c>
      <c r="W236" s="135" t="s">
        <v>897</v>
      </c>
      <c r="X236" s="456">
        <v>112127.71</v>
      </c>
      <c r="Y236" s="201">
        <f t="shared" si="129"/>
        <v>0.71506370848426104</v>
      </c>
      <c r="Z236" s="486"/>
    </row>
    <row r="237" spans="2:26" ht="13.5" customHeight="1" x14ac:dyDescent="0.25">
      <c r="B237" s="58" t="s">
        <v>460</v>
      </c>
      <c r="C237" s="81" t="s">
        <v>370</v>
      </c>
      <c r="D237" s="276" t="s">
        <v>184</v>
      </c>
      <c r="E237" s="330">
        <v>1289102.9786112006</v>
      </c>
      <c r="F237" s="330">
        <f>ROUND(E237,0)-119772-19184</f>
        <v>1150147</v>
      </c>
      <c r="G237" s="11">
        <f t="shared" si="108"/>
        <v>-138955.97861120058</v>
      </c>
      <c r="H237" s="135" t="s">
        <v>703</v>
      </c>
      <c r="I237" s="11">
        <f>ROUND(F237,0)-64977</f>
        <v>1085170</v>
      </c>
      <c r="J237" s="11">
        <f t="shared" si="124"/>
        <v>-64977</v>
      </c>
      <c r="K237" s="135" t="s">
        <v>766</v>
      </c>
      <c r="L237" s="11">
        <f>ROUND(I237,0)-3036</f>
        <v>1082134</v>
      </c>
      <c r="M237" s="11">
        <f t="shared" si="125"/>
        <v>-3036</v>
      </c>
      <c r="N237" s="135" t="s">
        <v>788</v>
      </c>
      <c r="O237" s="11">
        <f>ROUND(L237,0)</f>
        <v>1082134</v>
      </c>
      <c r="P237" s="11">
        <f t="shared" si="126"/>
        <v>0</v>
      </c>
      <c r="Q237" s="135"/>
      <c r="R237" s="11">
        <f>ROUND(O237,0)</f>
        <v>1082134</v>
      </c>
      <c r="S237" s="11">
        <f t="shared" si="113"/>
        <v>0</v>
      </c>
      <c r="T237" s="135"/>
      <c r="U237" s="11">
        <f>ROUND(R237,0)</f>
        <v>1082134</v>
      </c>
      <c r="V237" s="11">
        <f t="shared" si="114"/>
        <v>0</v>
      </c>
      <c r="W237" s="135"/>
      <c r="X237" s="456">
        <f>680606.54-89829</f>
        <v>590777.54</v>
      </c>
      <c r="Y237" s="201">
        <f t="shared" si="129"/>
        <v>0.54593750866343727</v>
      </c>
      <c r="Z237" s="456" t="s">
        <v>574</v>
      </c>
    </row>
    <row r="238" spans="2:26" ht="16.899999999999999" customHeight="1" x14ac:dyDescent="0.25">
      <c r="B238" s="58"/>
      <c r="C238" s="81" t="s">
        <v>691</v>
      </c>
      <c r="D238" s="276" t="s">
        <v>527</v>
      </c>
      <c r="E238" s="334"/>
      <c r="F238" s="334">
        <v>119772</v>
      </c>
      <c r="G238" s="11">
        <f t="shared" si="108"/>
        <v>119772</v>
      </c>
      <c r="H238" s="402"/>
      <c r="I238" s="11">
        <f>ROUND(F238,0)+64977</f>
        <v>184749</v>
      </c>
      <c r="J238" s="11">
        <f>I238-F238</f>
        <v>64977</v>
      </c>
      <c r="K238" s="135" t="s">
        <v>766</v>
      </c>
      <c r="L238" s="11">
        <f>ROUND(I238,0)-2948</f>
        <v>181801</v>
      </c>
      <c r="M238" s="11">
        <f t="shared" si="125"/>
        <v>-2948</v>
      </c>
      <c r="N238" s="294" t="s">
        <v>788</v>
      </c>
      <c r="O238" s="11">
        <f>ROUND(L238,0)</f>
        <v>181801</v>
      </c>
      <c r="P238" s="11">
        <f>O238-L238</f>
        <v>0</v>
      </c>
      <c r="Q238" s="294"/>
      <c r="R238" s="11">
        <f>ROUND(O238,0)+4600</f>
        <v>186401</v>
      </c>
      <c r="S238" s="11">
        <f t="shared" si="113"/>
        <v>4600</v>
      </c>
      <c r="T238" s="135" t="s">
        <v>874</v>
      </c>
      <c r="U238" s="11">
        <f>ROUND(R238,0)</f>
        <v>186401</v>
      </c>
      <c r="V238" s="11">
        <f t="shared" si="114"/>
        <v>0</v>
      </c>
      <c r="W238" s="135"/>
      <c r="X238" s="526">
        <v>117274</v>
      </c>
      <c r="Y238" s="201">
        <f t="shared" si="129"/>
        <v>0.62914898525222507</v>
      </c>
      <c r="Z238" s="456"/>
    </row>
    <row r="239" spans="2:26" ht="27.6" customHeight="1" x14ac:dyDescent="0.25">
      <c r="C239" s="84" t="s">
        <v>371</v>
      </c>
      <c r="D239" s="300" t="s">
        <v>288</v>
      </c>
      <c r="E239" s="36">
        <v>1594129.4529886562</v>
      </c>
      <c r="F239" s="36">
        <f>F240+F241+F242</f>
        <v>1595142</v>
      </c>
      <c r="G239" s="18">
        <f t="shared" si="108"/>
        <v>1012.5470113437623</v>
      </c>
      <c r="H239" s="261"/>
      <c r="I239" s="18">
        <f>I240+I241+I242</f>
        <v>1599680</v>
      </c>
      <c r="J239" s="18">
        <f t="shared" si="124"/>
        <v>4538</v>
      </c>
      <c r="K239" s="165"/>
      <c r="L239" s="18">
        <f>L240+L241+L242</f>
        <v>1599680</v>
      </c>
      <c r="M239" s="18">
        <f t="shared" si="125"/>
        <v>0</v>
      </c>
      <c r="N239" s="165"/>
      <c r="O239" s="18">
        <f>O240+O241+O242</f>
        <v>1602830</v>
      </c>
      <c r="P239" s="18">
        <f t="shared" si="126"/>
        <v>3150</v>
      </c>
      <c r="Q239" s="165"/>
      <c r="R239" s="18">
        <f>R240+R241+R242</f>
        <v>1614666</v>
      </c>
      <c r="S239" s="18">
        <f t="shared" si="113"/>
        <v>11836</v>
      </c>
      <c r="T239" s="165"/>
      <c r="U239" s="18">
        <f>U240+U241+U242</f>
        <v>1599521</v>
      </c>
      <c r="V239" s="18">
        <f t="shared" si="114"/>
        <v>-15145</v>
      </c>
      <c r="W239" s="165"/>
      <c r="X239" s="492">
        <f>X240+X241+X242</f>
        <v>1015486.66</v>
      </c>
      <c r="Y239" s="212">
        <f t="shared" si="129"/>
        <v>0.63486922647467592</v>
      </c>
      <c r="Z239" s="492"/>
    </row>
    <row r="240" spans="2:26" ht="13.5" customHeight="1" x14ac:dyDescent="0.25">
      <c r="B240" s="2" t="s">
        <v>321</v>
      </c>
      <c r="C240" s="81" t="s">
        <v>372</v>
      </c>
      <c r="D240" s="276" t="s">
        <v>233</v>
      </c>
      <c r="E240" s="330">
        <v>238164</v>
      </c>
      <c r="F240" s="330">
        <f>ROUND(E240,0)+1013</f>
        <v>239177</v>
      </c>
      <c r="G240" s="11">
        <f t="shared" si="108"/>
        <v>1013</v>
      </c>
      <c r="H240" s="135" t="s">
        <v>681</v>
      </c>
      <c r="I240" s="11">
        <f>ROUND(F240,0)+4538</f>
        <v>243715</v>
      </c>
      <c r="J240" s="11">
        <f t="shared" si="124"/>
        <v>4538</v>
      </c>
      <c r="K240" s="127" t="s">
        <v>735</v>
      </c>
      <c r="L240" s="11">
        <f>ROUND(I240,0)</f>
        <v>243715</v>
      </c>
      <c r="M240" s="11">
        <f t="shared" si="125"/>
        <v>0</v>
      </c>
      <c r="N240" s="135"/>
      <c r="O240" s="11">
        <f>ROUND(L240,0)</f>
        <v>243715</v>
      </c>
      <c r="P240" s="11">
        <f t="shared" si="126"/>
        <v>0</v>
      </c>
      <c r="Q240" s="135"/>
      <c r="R240" s="11">
        <f>ROUND(O240,0)</f>
        <v>243715</v>
      </c>
      <c r="S240" s="11">
        <f t="shared" si="113"/>
        <v>0</v>
      </c>
      <c r="T240" s="135"/>
      <c r="U240" s="11">
        <f>ROUND(R240,0)-15145</f>
        <v>228570</v>
      </c>
      <c r="V240" s="11">
        <f t="shared" si="114"/>
        <v>-15145</v>
      </c>
      <c r="W240" s="135" t="s">
        <v>897</v>
      </c>
      <c r="X240" s="456">
        <v>165706.29</v>
      </c>
      <c r="Y240" s="201">
        <f t="shared" si="129"/>
        <v>0.72496954980968631</v>
      </c>
      <c r="Z240" s="456"/>
    </row>
    <row r="241" spans="2:26" ht="15.6" customHeight="1" x14ac:dyDescent="0.25">
      <c r="B241" s="2" t="s">
        <v>322</v>
      </c>
      <c r="C241" s="81" t="s">
        <v>373</v>
      </c>
      <c r="D241" s="276" t="s">
        <v>184</v>
      </c>
      <c r="E241" s="330">
        <v>1201933.4529886562</v>
      </c>
      <c r="F241" s="330">
        <f>ROUND(E241,0)-10900</f>
        <v>1191033</v>
      </c>
      <c r="G241" s="11">
        <f t="shared" si="108"/>
        <v>-10900.452988656238</v>
      </c>
      <c r="H241" s="580" t="s">
        <v>723</v>
      </c>
      <c r="I241" s="11">
        <f>ROUND(F241,0)</f>
        <v>1191033</v>
      </c>
      <c r="J241" s="11">
        <f t="shared" si="124"/>
        <v>0</v>
      </c>
      <c r="K241" s="135"/>
      <c r="L241" s="11">
        <f>ROUND(I241,0)</f>
        <v>1191033</v>
      </c>
      <c r="M241" s="11">
        <f t="shared" si="125"/>
        <v>0</v>
      </c>
      <c r="N241" s="135"/>
      <c r="O241" s="11">
        <f>ROUND(L241,0)+3150</f>
        <v>1194183</v>
      </c>
      <c r="P241" s="11">
        <f t="shared" si="126"/>
        <v>3150</v>
      </c>
      <c r="Q241" s="135" t="s">
        <v>835</v>
      </c>
      <c r="R241" s="11">
        <f>ROUND(O241,0)+2300+9536</f>
        <v>1206019</v>
      </c>
      <c r="S241" s="12">
        <f t="shared" si="113"/>
        <v>11836</v>
      </c>
      <c r="T241" s="374" t="s">
        <v>866</v>
      </c>
      <c r="U241" s="11">
        <f>ROUND(R241,0)</f>
        <v>1206019</v>
      </c>
      <c r="V241" s="11">
        <f t="shared" si="114"/>
        <v>0</v>
      </c>
      <c r="W241" s="374"/>
      <c r="X241" s="456">
        <f>858707.37-115786</f>
        <v>742921.37</v>
      </c>
      <c r="Y241" s="201">
        <f t="shared" si="129"/>
        <v>0.61601133149643583</v>
      </c>
      <c r="Z241" s="456"/>
    </row>
    <row r="242" spans="2:26" ht="17.45" customHeight="1" x14ac:dyDescent="0.25">
      <c r="C242" s="81" t="s">
        <v>526</v>
      </c>
      <c r="D242" s="276" t="s">
        <v>527</v>
      </c>
      <c r="E242" s="336">
        <v>154032</v>
      </c>
      <c r="F242" s="330">
        <f>ROUND(E242,0)+10900</f>
        <v>164932</v>
      </c>
      <c r="G242" s="11">
        <f>F242-E242</f>
        <v>10900</v>
      </c>
      <c r="H242" s="581"/>
      <c r="I242" s="11">
        <f>ROUND(F242,0)</f>
        <v>164932</v>
      </c>
      <c r="J242" s="11">
        <f t="shared" si="124"/>
        <v>0</v>
      </c>
      <c r="K242" s="137"/>
      <c r="L242" s="11">
        <f>ROUND(I242,0)</f>
        <v>164932</v>
      </c>
      <c r="M242" s="11">
        <f t="shared" si="125"/>
        <v>0</v>
      </c>
      <c r="N242" s="137"/>
      <c r="O242" s="11">
        <f>ROUND(L242,0)</f>
        <v>164932</v>
      </c>
      <c r="P242" s="11">
        <f t="shared" si="126"/>
        <v>0</v>
      </c>
      <c r="Q242" s="137"/>
      <c r="R242" s="11">
        <f>ROUND(O242,0)</f>
        <v>164932</v>
      </c>
      <c r="S242" s="11">
        <f t="shared" si="113"/>
        <v>0</v>
      </c>
      <c r="T242" s="137"/>
      <c r="U242" s="11">
        <f>ROUND(R242,0)</f>
        <v>164932</v>
      </c>
      <c r="V242" s="11">
        <f t="shared" si="114"/>
        <v>0</v>
      </c>
      <c r="W242" s="137"/>
      <c r="X242" s="526">
        <f>96103+5778+4978</f>
        <v>106859</v>
      </c>
      <c r="Y242" s="213">
        <f t="shared" si="129"/>
        <v>0.64789731525719696</v>
      </c>
      <c r="Z242" s="486"/>
    </row>
    <row r="243" spans="2:26" x14ac:dyDescent="0.25">
      <c r="B243" s="2" t="s">
        <v>323</v>
      </c>
      <c r="C243" s="84" t="s">
        <v>374</v>
      </c>
      <c r="D243" s="300" t="s">
        <v>292</v>
      </c>
      <c r="E243" s="36">
        <v>1451440.1020564402</v>
      </c>
      <c r="F243" s="36">
        <f t="shared" ref="F243" si="139">SUM(F244:F246)</f>
        <v>1453093</v>
      </c>
      <c r="G243" s="18">
        <f t="shared" si="108"/>
        <v>1652.8979435598012</v>
      </c>
      <c r="H243" s="261"/>
      <c r="I243" s="18">
        <f>SUM(I244:I246)</f>
        <v>1456118</v>
      </c>
      <c r="J243" s="18">
        <f t="shared" si="124"/>
        <v>3025</v>
      </c>
      <c r="K243" s="165"/>
      <c r="L243" s="18">
        <f>SUM(L244:L246)</f>
        <v>1451590</v>
      </c>
      <c r="M243" s="18">
        <f t="shared" si="125"/>
        <v>-4528</v>
      </c>
      <c r="N243" s="165"/>
      <c r="O243" s="18">
        <f>SUM(O244:O246)</f>
        <v>1451590</v>
      </c>
      <c r="P243" s="18">
        <f t="shared" si="126"/>
        <v>0</v>
      </c>
      <c r="Q243" s="165"/>
      <c r="R243" s="18">
        <f>SUM(R244:R246)</f>
        <v>1451590</v>
      </c>
      <c r="S243" s="18">
        <f t="shared" si="113"/>
        <v>0</v>
      </c>
      <c r="T243" s="165"/>
      <c r="U243" s="18">
        <f>SUM(U244:U246)</f>
        <v>1485448</v>
      </c>
      <c r="V243" s="18">
        <f t="shared" si="114"/>
        <v>33858</v>
      </c>
      <c r="W243" s="165"/>
      <c r="X243" s="492">
        <f>SUM(X244:X246)</f>
        <v>910714.79999999993</v>
      </c>
      <c r="Y243" s="212">
        <f t="shared" si="129"/>
        <v>0.61309100015618179</v>
      </c>
      <c r="Z243" s="497"/>
    </row>
    <row r="244" spans="2:26" s="27" customFormat="1" ht="17.25" customHeight="1" x14ac:dyDescent="0.25">
      <c r="B244" s="62" t="s">
        <v>324</v>
      </c>
      <c r="C244" s="81" t="s">
        <v>375</v>
      </c>
      <c r="D244" s="276" t="s">
        <v>233</v>
      </c>
      <c r="E244" s="330">
        <v>152284</v>
      </c>
      <c r="F244" s="330">
        <f>ROUND(E244,0)+1917-264</f>
        <v>153937</v>
      </c>
      <c r="G244" s="14">
        <f t="shared" ref="G244:G302" si="140">F244-E244</f>
        <v>1653</v>
      </c>
      <c r="H244" s="135" t="s">
        <v>681</v>
      </c>
      <c r="I244" s="11">
        <f>ROUND(F244,0)+3025</f>
        <v>156962</v>
      </c>
      <c r="J244" s="14">
        <f t="shared" si="124"/>
        <v>3025</v>
      </c>
      <c r="K244" s="127" t="s">
        <v>735</v>
      </c>
      <c r="L244" s="11">
        <f>ROUND(I244,0)</f>
        <v>156962</v>
      </c>
      <c r="M244" s="14">
        <f t="shared" si="125"/>
        <v>0</v>
      </c>
      <c r="N244" s="127"/>
      <c r="O244" s="11">
        <f>ROUND(L244,0)</f>
        <v>156962</v>
      </c>
      <c r="P244" s="14">
        <f t="shared" si="126"/>
        <v>0</v>
      </c>
      <c r="Q244" s="127"/>
      <c r="R244" s="11">
        <f>ROUND(O244,0)</f>
        <v>156962</v>
      </c>
      <c r="S244" s="14">
        <f t="shared" si="113"/>
        <v>0</v>
      </c>
      <c r="T244" s="127"/>
      <c r="U244" s="11">
        <f>ROUND(R244,0)+33858</f>
        <v>190820</v>
      </c>
      <c r="V244" s="14">
        <f t="shared" si="114"/>
        <v>33858</v>
      </c>
      <c r="W244" s="127" t="s">
        <v>897</v>
      </c>
      <c r="X244" s="456">
        <v>103482.23</v>
      </c>
      <c r="Y244" s="201">
        <f t="shared" ref="Y244:Y260" si="141">X244/U244</f>
        <v>0.54230285085420815</v>
      </c>
      <c r="Z244" s="486"/>
    </row>
    <row r="245" spans="2:26" s="27" customFormat="1" ht="15.6" customHeight="1" x14ac:dyDescent="0.25">
      <c r="C245" s="81" t="s">
        <v>376</v>
      </c>
      <c r="D245" s="276" t="s">
        <v>184</v>
      </c>
      <c r="E245" s="330">
        <v>1154321.1020564402</v>
      </c>
      <c r="F245" s="330">
        <f>ROUND(E245,0)</f>
        <v>1154321</v>
      </c>
      <c r="G245" s="181">
        <f t="shared" si="140"/>
        <v>-0.10205644019879401</v>
      </c>
      <c r="H245" s="374"/>
      <c r="I245" s="11">
        <f>ROUND(F245,0)</f>
        <v>1154321</v>
      </c>
      <c r="J245" s="181">
        <f t="shared" si="124"/>
        <v>0</v>
      </c>
      <c r="K245" s="127"/>
      <c r="L245" s="11">
        <f>ROUND(I245,0)-4528</f>
        <v>1149793</v>
      </c>
      <c r="M245" s="181">
        <f t="shared" si="125"/>
        <v>-4528</v>
      </c>
      <c r="N245" s="127" t="s">
        <v>788</v>
      </c>
      <c r="O245" s="11">
        <f>ROUND(L245,0)</f>
        <v>1149793</v>
      </c>
      <c r="P245" s="181">
        <f t="shared" si="126"/>
        <v>0</v>
      </c>
      <c r="Q245" s="127"/>
      <c r="R245" s="11">
        <f>ROUND(O245,0)</f>
        <v>1149793</v>
      </c>
      <c r="S245" s="181">
        <f t="shared" si="113"/>
        <v>0</v>
      </c>
      <c r="T245" s="127"/>
      <c r="U245" s="11">
        <f>ROUND(R245,0)</f>
        <v>1149793</v>
      </c>
      <c r="V245" s="181">
        <f t="shared" si="114"/>
        <v>0</v>
      </c>
      <c r="W245" s="127"/>
      <c r="X245" s="456">
        <f>812298.57-88308</f>
        <v>723990.57</v>
      </c>
      <c r="Y245" s="201">
        <f t="shared" si="141"/>
        <v>0.62967035805575433</v>
      </c>
      <c r="Z245" s="456"/>
    </row>
    <row r="246" spans="2:26" s="27" customFormat="1" ht="13.9" customHeight="1" x14ac:dyDescent="0.25">
      <c r="C246" s="81" t="s">
        <v>528</v>
      </c>
      <c r="D246" s="276" t="s">
        <v>527</v>
      </c>
      <c r="E246" s="336">
        <v>144835</v>
      </c>
      <c r="F246" s="330">
        <f>ROUND(E246,0)</f>
        <v>144835</v>
      </c>
      <c r="G246" s="181">
        <f>F246-E246</f>
        <v>0</v>
      </c>
      <c r="H246" s="260"/>
      <c r="I246" s="11">
        <f>ROUND(F246,0)</f>
        <v>144835</v>
      </c>
      <c r="J246" s="181">
        <f t="shared" si="124"/>
        <v>0</v>
      </c>
      <c r="K246" s="137"/>
      <c r="L246" s="11">
        <f>ROUND(I246,0)</f>
        <v>144835</v>
      </c>
      <c r="M246" s="181">
        <f t="shared" si="125"/>
        <v>0</v>
      </c>
      <c r="N246" s="137"/>
      <c r="O246" s="11">
        <f>ROUND(L246,0)</f>
        <v>144835</v>
      </c>
      <c r="P246" s="181">
        <f t="shared" si="126"/>
        <v>0</v>
      </c>
      <c r="Q246" s="137"/>
      <c r="R246" s="11">
        <f>ROUND(O246,0)</f>
        <v>144835</v>
      </c>
      <c r="S246" s="181">
        <f t="shared" si="113"/>
        <v>0</v>
      </c>
      <c r="T246" s="137"/>
      <c r="U246" s="11">
        <f>ROUND(R246,0)</f>
        <v>144835</v>
      </c>
      <c r="V246" s="181">
        <f t="shared" si="114"/>
        <v>0</v>
      </c>
      <c r="W246" s="137"/>
      <c r="X246" s="526">
        <v>83242</v>
      </c>
      <c r="Y246" s="213">
        <f t="shared" si="141"/>
        <v>0.57473676942727936</v>
      </c>
      <c r="Z246" s="486"/>
    </row>
    <row r="247" spans="2:26" x14ac:dyDescent="0.25">
      <c r="C247" s="84" t="s">
        <v>377</v>
      </c>
      <c r="D247" s="300" t="s">
        <v>189</v>
      </c>
      <c r="E247" s="36">
        <v>2861690</v>
      </c>
      <c r="F247" s="36">
        <f>F248+F249+F250</f>
        <v>2818998</v>
      </c>
      <c r="G247" s="18">
        <f t="shared" si="140"/>
        <v>-42692</v>
      </c>
      <c r="H247" s="261"/>
      <c r="I247" s="18">
        <f>I248+I249+I250</f>
        <v>2827823</v>
      </c>
      <c r="J247" s="18">
        <f t="shared" si="124"/>
        <v>8825</v>
      </c>
      <c r="K247" s="165"/>
      <c r="L247" s="18">
        <f>L248+L249+L250</f>
        <v>2827823</v>
      </c>
      <c r="M247" s="18">
        <f t="shared" si="125"/>
        <v>0</v>
      </c>
      <c r="N247" s="165"/>
      <c r="O247" s="18">
        <f>O248+O249+O250</f>
        <v>2827823</v>
      </c>
      <c r="P247" s="18">
        <f t="shared" si="126"/>
        <v>0</v>
      </c>
      <c r="Q247" s="165"/>
      <c r="R247" s="18">
        <f>R248+R249+R250</f>
        <v>3046262</v>
      </c>
      <c r="S247" s="18">
        <f t="shared" si="113"/>
        <v>218439</v>
      </c>
      <c r="T247" s="165" t="s">
        <v>863</v>
      </c>
      <c r="U247" s="18">
        <f>U248+U249+U250</f>
        <v>3076350</v>
      </c>
      <c r="V247" s="18">
        <f t="shared" si="114"/>
        <v>30088</v>
      </c>
      <c r="W247" s="165"/>
      <c r="X247" s="492">
        <f>X248+X249+X250</f>
        <v>2231554.2699999996</v>
      </c>
      <c r="Y247" s="212">
        <f t="shared" si="141"/>
        <v>0.7253902416825132</v>
      </c>
      <c r="Z247" s="497"/>
    </row>
    <row r="248" spans="2:26" s="27" customFormat="1" ht="16.899999999999999" customHeight="1" x14ac:dyDescent="0.25">
      <c r="B248" s="62" t="s">
        <v>221</v>
      </c>
      <c r="C248" s="85" t="s">
        <v>378</v>
      </c>
      <c r="D248" s="320" t="s">
        <v>190</v>
      </c>
      <c r="E248" s="330">
        <v>833320</v>
      </c>
      <c r="F248" s="330">
        <f>ROUND(E248,0)-44403+1711</f>
        <v>790628</v>
      </c>
      <c r="G248" s="14">
        <f t="shared" si="140"/>
        <v>-42692</v>
      </c>
      <c r="H248" s="429" t="s">
        <v>724</v>
      </c>
      <c r="I248" s="11">
        <f>ROUND(F248,0)+8825</f>
        <v>799453</v>
      </c>
      <c r="J248" s="14">
        <f t="shared" si="124"/>
        <v>8825</v>
      </c>
      <c r="K248" s="447" t="s">
        <v>744</v>
      </c>
      <c r="L248" s="11">
        <f>ROUND(I248,0)</f>
        <v>799453</v>
      </c>
      <c r="M248" s="14">
        <f t="shared" si="125"/>
        <v>0</v>
      </c>
      <c r="N248" s="127"/>
      <c r="O248" s="11">
        <f>ROUND(L248,0)</f>
        <v>799453</v>
      </c>
      <c r="P248" s="14">
        <f t="shared" si="126"/>
        <v>0</v>
      </c>
      <c r="Q248" s="127"/>
      <c r="R248" s="11">
        <f>ROUND(O248,0)-179115</f>
        <v>620338</v>
      </c>
      <c r="S248" s="14">
        <f t="shared" si="113"/>
        <v>-179115</v>
      </c>
      <c r="T248" s="127" t="s">
        <v>863</v>
      </c>
      <c r="U248" s="11">
        <f>ROUND(R248,0)+30088</f>
        <v>650426</v>
      </c>
      <c r="V248" s="14">
        <f t="shared" si="114"/>
        <v>30088</v>
      </c>
      <c r="W248" s="127" t="s">
        <v>897</v>
      </c>
      <c r="X248" s="456">
        <v>443713.11</v>
      </c>
      <c r="Y248" s="201">
        <f t="shared" si="141"/>
        <v>0.68218845802597061</v>
      </c>
      <c r="Z248" s="510"/>
    </row>
    <row r="249" spans="2:26" s="27" customFormat="1" ht="16.149999999999999" customHeight="1" x14ac:dyDescent="0.25">
      <c r="B249" s="62" t="s">
        <v>867</v>
      </c>
      <c r="C249" s="85" t="s">
        <v>379</v>
      </c>
      <c r="D249" s="320" t="s">
        <v>649</v>
      </c>
      <c r="E249" s="330">
        <v>1865620</v>
      </c>
      <c r="F249" s="330">
        <f>ROUND(E249,0)</f>
        <v>1865620</v>
      </c>
      <c r="G249" s="14">
        <f t="shared" si="140"/>
        <v>0</v>
      </c>
      <c r="H249" s="413"/>
      <c r="I249" s="11">
        <f>ROUND(F249,0)</f>
        <v>1865620</v>
      </c>
      <c r="J249" s="14">
        <f t="shared" si="124"/>
        <v>0</v>
      </c>
      <c r="K249" s="182"/>
      <c r="L249" s="11">
        <f>ROUND(I249,0)</f>
        <v>1865620</v>
      </c>
      <c r="M249" s="14">
        <f t="shared" si="125"/>
        <v>0</v>
      </c>
      <c r="N249" s="182"/>
      <c r="O249" s="11">
        <f>ROUND(L249,0)</f>
        <v>1865620</v>
      </c>
      <c r="P249" s="14">
        <f t="shared" si="126"/>
        <v>0</v>
      </c>
      <c r="Q249" s="182"/>
      <c r="R249" s="11">
        <f>ROUND(O249,0)+338737</f>
        <v>2204357</v>
      </c>
      <c r="S249" s="14">
        <f t="shared" si="113"/>
        <v>338737</v>
      </c>
      <c r="T249" s="182" t="s">
        <v>863</v>
      </c>
      <c r="U249" s="11">
        <f>ROUND(R249,0)</f>
        <v>2204357</v>
      </c>
      <c r="V249" s="14">
        <f t="shared" si="114"/>
        <v>0</v>
      </c>
      <c r="W249" s="182"/>
      <c r="X249" s="456">
        <v>1641440.88</v>
      </c>
      <c r="Y249" s="201">
        <f t="shared" si="141"/>
        <v>0.74463477558308377</v>
      </c>
      <c r="Z249" s="510"/>
    </row>
    <row r="250" spans="2:26" ht="14.45" customHeight="1" x14ac:dyDescent="0.25">
      <c r="B250" s="58" t="s">
        <v>868</v>
      </c>
      <c r="C250" s="81" t="s">
        <v>380</v>
      </c>
      <c r="D250" s="276" t="s">
        <v>257</v>
      </c>
      <c r="E250" s="330">
        <v>162750</v>
      </c>
      <c r="F250" s="330">
        <f>ROUND(E250,0)</f>
        <v>162750</v>
      </c>
      <c r="G250" s="14">
        <f t="shared" si="140"/>
        <v>0</v>
      </c>
      <c r="H250" s="366"/>
      <c r="I250" s="11">
        <f>ROUND(F250,0)</f>
        <v>162750</v>
      </c>
      <c r="J250" s="14">
        <f t="shared" si="124"/>
        <v>0</v>
      </c>
      <c r="K250" s="127"/>
      <c r="L250" s="11">
        <f>ROUND(I250,0)</f>
        <v>162750</v>
      </c>
      <c r="M250" s="14">
        <f t="shared" si="125"/>
        <v>0</v>
      </c>
      <c r="N250" s="127"/>
      <c r="O250" s="11">
        <f>ROUND(L250,0)</f>
        <v>162750</v>
      </c>
      <c r="P250" s="14">
        <f t="shared" si="126"/>
        <v>0</v>
      </c>
      <c r="Q250" s="127"/>
      <c r="R250" s="11">
        <f>ROUND(O250,0)+58817</f>
        <v>221567</v>
      </c>
      <c r="S250" s="14">
        <f t="shared" si="113"/>
        <v>58817</v>
      </c>
      <c r="T250" s="127" t="s">
        <v>863</v>
      </c>
      <c r="U250" s="11">
        <f>ROUND(R250,0)</f>
        <v>221567</v>
      </c>
      <c r="V250" s="14">
        <f t="shared" si="114"/>
        <v>0</v>
      </c>
      <c r="W250" s="127"/>
      <c r="X250" s="456">
        <v>146400.28</v>
      </c>
      <c r="Y250" s="472">
        <f t="shared" si="141"/>
        <v>0.66074947984131205</v>
      </c>
      <c r="Z250" s="510"/>
    </row>
    <row r="251" spans="2:26" s="4" customFormat="1" ht="15.75" customHeight="1" x14ac:dyDescent="0.2">
      <c r="C251" s="84" t="s">
        <v>381</v>
      </c>
      <c r="D251" s="300" t="s">
        <v>880</v>
      </c>
      <c r="E251" s="345">
        <v>2139500.4741500001</v>
      </c>
      <c r="F251" s="345">
        <f>F252+F256+F257+F258+F259+F260+F261</f>
        <v>2133236</v>
      </c>
      <c r="G251" s="24">
        <f t="shared" si="140"/>
        <v>-6264.4741500001401</v>
      </c>
      <c r="H251" s="404"/>
      <c r="I251" s="24">
        <f>I252+I256+I257+I258+I259+I260+I261</f>
        <v>2205896</v>
      </c>
      <c r="J251" s="24">
        <f t="shared" si="124"/>
        <v>72660</v>
      </c>
      <c r="K251" s="173"/>
      <c r="L251" s="24">
        <f>L252+L256+L257+L258+L259+L260+L261</f>
        <v>2200705</v>
      </c>
      <c r="M251" s="24">
        <f t="shared" si="125"/>
        <v>-5191</v>
      </c>
      <c r="N251" s="173"/>
      <c r="O251" s="24">
        <f>O252+O256+O257+O258+O259+O260+O261</f>
        <v>2200705</v>
      </c>
      <c r="P251" s="24">
        <f t="shared" si="126"/>
        <v>0</v>
      </c>
      <c r="Q251" s="173"/>
      <c r="R251" s="24">
        <f>R252+R256+R257+R258+R259+R260+R261</f>
        <v>2246805</v>
      </c>
      <c r="S251" s="24">
        <f t="shared" si="113"/>
        <v>46100</v>
      </c>
      <c r="T251" s="173"/>
      <c r="U251" s="24">
        <f>U252+U256+U257+U258+U259+U260+U261</f>
        <v>2387345</v>
      </c>
      <c r="V251" s="24">
        <f t="shared" si="114"/>
        <v>140540</v>
      </c>
      <c r="W251" s="173"/>
      <c r="X251" s="500">
        <f>X252+X256+X257+X258+X259+X260+X261</f>
        <v>1535138.2600000002</v>
      </c>
      <c r="Y251" s="224">
        <f t="shared" si="141"/>
        <v>0.64303159367414442</v>
      </c>
      <c r="Z251" s="505"/>
    </row>
    <row r="252" spans="2:26" s="10" customFormat="1" ht="17.25" customHeight="1" x14ac:dyDescent="0.25">
      <c r="B252" s="60" t="s">
        <v>326</v>
      </c>
      <c r="C252" s="81" t="s">
        <v>382</v>
      </c>
      <c r="D252" s="276" t="s">
        <v>233</v>
      </c>
      <c r="E252" s="330">
        <v>1127101</v>
      </c>
      <c r="F252" s="330">
        <f>F253+F254+F255</f>
        <v>1201531</v>
      </c>
      <c r="G252" s="11">
        <f t="shared" si="140"/>
        <v>74430</v>
      </c>
      <c r="H252" s="429" t="s">
        <v>724</v>
      </c>
      <c r="I252" s="11">
        <f>I253+I254+I255</f>
        <v>1239539</v>
      </c>
      <c r="J252" s="11">
        <f t="shared" si="124"/>
        <v>38008</v>
      </c>
      <c r="K252" s="135"/>
      <c r="L252" s="11">
        <f>L253+L254+L255</f>
        <v>1239539</v>
      </c>
      <c r="M252" s="11">
        <f t="shared" si="125"/>
        <v>0</v>
      </c>
      <c r="N252" s="135"/>
      <c r="O252" s="11">
        <f>O253+O254+O255</f>
        <v>1239539</v>
      </c>
      <c r="P252" s="11">
        <f t="shared" si="126"/>
        <v>0</v>
      </c>
      <c r="Q252" s="135"/>
      <c r="R252" s="11">
        <f>R253+R254+R255</f>
        <v>1239539</v>
      </c>
      <c r="S252" s="11">
        <f t="shared" si="113"/>
        <v>0</v>
      </c>
      <c r="T252" s="135"/>
      <c r="U252" s="11">
        <f>U253+U254+U255</f>
        <v>1322260</v>
      </c>
      <c r="V252" s="11">
        <f t="shared" si="114"/>
        <v>82721</v>
      </c>
      <c r="W252" s="135" t="s">
        <v>897</v>
      </c>
      <c r="X252" s="456">
        <f>X253+X254+X255</f>
        <v>832198.83000000007</v>
      </c>
      <c r="Y252" s="201">
        <f t="shared" si="141"/>
        <v>0.62937609093521707</v>
      </c>
      <c r="Z252" s="486"/>
    </row>
    <row r="253" spans="2:26" s="442" customFormat="1" ht="17.25" customHeight="1" x14ac:dyDescent="0.25">
      <c r="B253" s="443"/>
      <c r="C253" s="120" t="s">
        <v>728</v>
      </c>
      <c r="D253" s="315" t="s">
        <v>898</v>
      </c>
      <c r="E253" s="445">
        <v>1070901</v>
      </c>
      <c r="F253" s="445">
        <f>1070901+22307</f>
        <v>1093208</v>
      </c>
      <c r="G253" s="444">
        <f t="shared" si="140"/>
        <v>22307</v>
      </c>
      <c r="H253" s="449" t="s">
        <v>724</v>
      </c>
      <c r="I253" s="444">
        <f t="shared" ref="I253:I262" si="142">ROUND(F253,0)</f>
        <v>1093208</v>
      </c>
      <c r="J253" s="444">
        <f t="shared" si="124"/>
        <v>0</v>
      </c>
      <c r="K253" s="447"/>
      <c r="L253" s="444">
        <f>ROUND(I253,0)</f>
        <v>1093208</v>
      </c>
      <c r="M253" s="11">
        <f t="shared" si="125"/>
        <v>0</v>
      </c>
      <c r="N253" s="447"/>
      <c r="O253" s="444">
        <f>ROUND(L253,0)</f>
        <v>1093208</v>
      </c>
      <c r="P253" s="444">
        <f>O253-L253</f>
        <v>0</v>
      </c>
      <c r="Q253" s="447"/>
      <c r="R253" s="444">
        <f t="shared" ref="R253:R262" si="143">ROUND(O253,0)</f>
        <v>1093208</v>
      </c>
      <c r="S253" s="444">
        <f t="shared" si="113"/>
        <v>0</v>
      </c>
      <c r="T253" s="447"/>
      <c r="U253" s="444">
        <f>ROUND(R253,0)+85381</f>
        <v>1178589</v>
      </c>
      <c r="V253" s="444">
        <f t="shared" si="114"/>
        <v>85381</v>
      </c>
      <c r="W253" s="447"/>
      <c r="X253" s="444">
        <f>787017.87-X255-X256</f>
        <v>742144.61</v>
      </c>
      <c r="Y253" s="201">
        <f t="shared" si="141"/>
        <v>0.62968906887812459</v>
      </c>
      <c r="Z253" s="446"/>
    </row>
    <row r="254" spans="2:26" s="442" customFormat="1" ht="19.899999999999999" customHeight="1" x14ac:dyDescent="0.25">
      <c r="B254" s="443"/>
      <c r="C254" s="120" t="s">
        <v>726</v>
      </c>
      <c r="D254" s="315" t="s">
        <v>730</v>
      </c>
      <c r="E254" s="445">
        <v>56200</v>
      </c>
      <c r="F254" s="445">
        <f>56200+52004-31</f>
        <v>108173</v>
      </c>
      <c r="G254" s="444">
        <f t="shared" si="140"/>
        <v>51973</v>
      </c>
      <c r="H254" s="449" t="s">
        <v>724</v>
      </c>
      <c r="I254" s="444">
        <f>ROUND(F254,0)+18425</f>
        <v>126598</v>
      </c>
      <c r="J254" s="444">
        <f t="shared" si="124"/>
        <v>18425</v>
      </c>
      <c r="K254" s="447" t="s">
        <v>744</v>
      </c>
      <c r="L254" s="444">
        <f>ROUND(I254,0)</f>
        <v>126598</v>
      </c>
      <c r="M254" s="11">
        <f t="shared" si="125"/>
        <v>0</v>
      </c>
      <c r="N254" s="447"/>
      <c r="O254" s="444">
        <f>ROUND(L254,0)</f>
        <v>126598</v>
      </c>
      <c r="P254" s="444">
        <f>O254-L254</f>
        <v>0</v>
      </c>
      <c r="Q254" s="447"/>
      <c r="R254" s="444">
        <f t="shared" si="143"/>
        <v>126598</v>
      </c>
      <c r="S254" s="444">
        <f t="shared" si="113"/>
        <v>0</v>
      </c>
      <c r="T254" s="447"/>
      <c r="U254" s="444">
        <f>ROUND(R254,0)-2660</f>
        <v>123938</v>
      </c>
      <c r="V254" s="444">
        <f t="shared" si="114"/>
        <v>-2660</v>
      </c>
      <c r="W254" s="447"/>
      <c r="X254" s="444">
        <v>82120.19</v>
      </c>
      <c r="Y254" s="201">
        <f t="shared" si="141"/>
        <v>0.66259089222030376</v>
      </c>
      <c r="Z254" s="446"/>
    </row>
    <row r="255" spans="2:26" s="442" customFormat="1" ht="17.25" customHeight="1" x14ac:dyDescent="0.25">
      <c r="B255" s="443"/>
      <c r="C255" s="120" t="s">
        <v>727</v>
      </c>
      <c r="D255" s="315" t="s">
        <v>731</v>
      </c>
      <c r="E255" s="445"/>
      <c r="F255" s="445">
        <v>150</v>
      </c>
      <c r="G255" s="444">
        <f t="shared" si="140"/>
        <v>150</v>
      </c>
      <c r="H255" s="449" t="s">
        <v>724</v>
      </c>
      <c r="I255" s="444">
        <f>ROUND(F255,0)+19583</f>
        <v>19733</v>
      </c>
      <c r="J255" s="444">
        <f t="shared" si="124"/>
        <v>19583</v>
      </c>
      <c r="K255" s="447" t="s">
        <v>755</v>
      </c>
      <c r="L255" s="444">
        <f>ROUND(I255,0)</f>
        <v>19733</v>
      </c>
      <c r="M255" s="11">
        <f t="shared" si="125"/>
        <v>0</v>
      </c>
      <c r="N255" s="447"/>
      <c r="O255" s="444">
        <f>ROUND(L255,0)</f>
        <v>19733</v>
      </c>
      <c r="P255" s="444">
        <f>O255-L255</f>
        <v>0</v>
      </c>
      <c r="Q255" s="447"/>
      <c r="R255" s="444">
        <f t="shared" si="143"/>
        <v>19733</v>
      </c>
      <c r="S255" s="444">
        <f t="shared" si="113"/>
        <v>0</v>
      </c>
      <c r="T255" s="447"/>
      <c r="U255" s="444">
        <f t="shared" ref="U255:U262" si="144">ROUND(R255,0)</f>
        <v>19733</v>
      </c>
      <c r="V255" s="444">
        <f t="shared" si="114"/>
        <v>0</v>
      </c>
      <c r="W255" s="447"/>
      <c r="X255" s="444">
        <f>1864.03+6070</f>
        <v>7934.03</v>
      </c>
      <c r="Y255" s="448">
        <f t="shared" si="141"/>
        <v>0.40206912278923629</v>
      </c>
      <c r="Z255" s="446"/>
    </row>
    <row r="256" spans="2:26" s="10" customFormat="1" x14ac:dyDescent="0.25">
      <c r="B256" s="10" t="s">
        <v>326</v>
      </c>
      <c r="C256" s="81" t="s">
        <v>383</v>
      </c>
      <c r="D256" s="276" t="s">
        <v>258</v>
      </c>
      <c r="E256" s="354">
        <v>49493</v>
      </c>
      <c r="F256" s="354">
        <f>ROUND(E256,0)+4754</f>
        <v>54247</v>
      </c>
      <c r="G256" s="11">
        <f t="shared" ref="G256:G261" si="145">F256-E256</f>
        <v>4754</v>
      </c>
      <c r="H256" s="135" t="s">
        <v>681</v>
      </c>
      <c r="I256" s="11">
        <f t="shared" si="142"/>
        <v>54247</v>
      </c>
      <c r="J256" s="11">
        <f t="shared" si="124"/>
        <v>0</v>
      </c>
      <c r="K256" s="135"/>
      <c r="L256" s="11">
        <f t="shared" ref="L256:L262" si="146">ROUND(I256,0)</f>
        <v>54247</v>
      </c>
      <c r="M256" s="11">
        <f t="shared" si="125"/>
        <v>0</v>
      </c>
      <c r="N256" s="135"/>
      <c r="O256" s="11">
        <f t="shared" ref="O256:O261" si="147">ROUND(L256,0)</f>
        <v>54247</v>
      </c>
      <c r="P256" s="11">
        <f t="shared" si="126"/>
        <v>0</v>
      </c>
      <c r="Q256" s="135"/>
      <c r="R256" s="11">
        <f t="shared" si="143"/>
        <v>54247</v>
      </c>
      <c r="S256" s="11">
        <f t="shared" si="113"/>
        <v>0</v>
      </c>
      <c r="T256" s="135"/>
      <c r="U256" s="11">
        <f t="shared" si="144"/>
        <v>54247</v>
      </c>
      <c r="V256" s="11">
        <f t="shared" si="114"/>
        <v>0</v>
      </c>
      <c r="W256" s="135"/>
      <c r="X256" s="456">
        <v>36939.230000000003</v>
      </c>
      <c r="Y256" s="201">
        <f t="shared" si="141"/>
        <v>0.68094512138920127</v>
      </c>
      <c r="Z256" s="486"/>
    </row>
    <row r="257" spans="2:26" s="10" customFormat="1" ht="59.25" customHeight="1" x14ac:dyDescent="0.25">
      <c r="B257" s="60" t="s">
        <v>328</v>
      </c>
      <c r="C257" s="81" t="s">
        <v>384</v>
      </c>
      <c r="D257" s="276" t="s">
        <v>184</v>
      </c>
      <c r="E257" s="330">
        <v>659972.47414999991</v>
      </c>
      <c r="F257" s="330">
        <f>ROUND(E257,0)-42018-43430</f>
        <v>574524</v>
      </c>
      <c r="G257" s="11">
        <f t="shared" si="145"/>
        <v>-85448.474149999907</v>
      </c>
      <c r="H257" s="429" t="s">
        <v>700</v>
      </c>
      <c r="I257" s="11">
        <f t="shared" si="142"/>
        <v>574524</v>
      </c>
      <c r="J257" s="11">
        <f t="shared" si="124"/>
        <v>0</v>
      </c>
      <c r="K257" s="135" t="s">
        <v>740</v>
      </c>
      <c r="L257" s="11">
        <f>ROUND(I257,0)-5191</f>
        <v>569333</v>
      </c>
      <c r="M257" s="11">
        <f t="shared" si="125"/>
        <v>-5191</v>
      </c>
      <c r="N257" s="135" t="s">
        <v>788</v>
      </c>
      <c r="O257" s="11">
        <f t="shared" si="147"/>
        <v>569333</v>
      </c>
      <c r="P257" s="11">
        <f t="shared" si="126"/>
        <v>0</v>
      </c>
      <c r="Q257" s="135"/>
      <c r="R257" s="11">
        <f t="shared" si="143"/>
        <v>569333</v>
      </c>
      <c r="S257" s="11">
        <f t="shared" si="113"/>
        <v>0</v>
      </c>
      <c r="T257" s="135"/>
      <c r="U257" s="11">
        <f>ROUND(R257,0)+57819</f>
        <v>627152</v>
      </c>
      <c r="V257" s="11">
        <f t="shared" si="114"/>
        <v>57819</v>
      </c>
      <c r="W257" s="135" t="s">
        <v>914</v>
      </c>
      <c r="X257" s="456">
        <f>630489.35-209673</f>
        <v>420816.35</v>
      </c>
      <c r="Y257" s="201">
        <f t="shared" si="141"/>
        <v>0.67099578730515086</v>
      </c>
      <c r="Z257" s="456"/>
    </row>
    <row r="258" spans="2:26" s="10" customFormat="1" ht="16.899999999999999" customHeight="1" x14ac:dyDescent="0.25">
      <c r="B258" s="60"/>
      <c r="C258" s="117" t="s">
        <v>385</v>
      </c>
      <c r="D258" s="276" t="s">
        <v>527</v>
      </c>
      <c r="E258" s="336">
        <v>283797</v>
      </c>
      <c r="F258" s="330">
        <f>ROUND(E258,0)</f>
        <v>283797</v>
      </c>
      <c r="G258" s="11">
        <f t="shared" si="145"/>
        <v>0</v>
      </c>
      <c r="H258" s="260"/>
      <c r="I258" s="11">
        <f t="shared" si="142"/>
        <v>283797</v>
      </c>
      <c r="J258" s="11">
        <f t="shared" si="124"/>
        <v>0</v>
      </c>
      <c r="K258" s="137"/>
      <c r="L258" s="11">
        <f t="shared" si="146"/>
        <v>283797</v>
      </c>
      <c r="M258" s="11">
        <f t="shared" si="125"/>
        <v>0</v>
      </c>
      <c r="N258" s="137"/>
      <c r="O258" s="11">
        <f>ROUND(L258,0)</f>
        <v>283797</v>
      </c>
      <c r="P258" s="11">
        <f t="shared" si="126"/>
        <v>0</v>
      </c>
      <c r="Q258" s="137"/>
      <c r="R258" s="11">
        <f t="shared" si="143"/>
        <v>283797</v>
      </c>
      <c r="S258" s="11">
        <f t="shared" si="113"/>
        <v>0</v>
      </c>
      <c r="T258" s="137"/>
      <c r="U258" s="11">
        <f t="shared" si="144"/>
        <v>283797</v>
      </c>
      <c r="V258" s="11">
        <f t="shared" si="114"/>
        <v>0</v>
      </c>
      <c r="W258" s="137"/>
      <c r="X258" s="526">
        <v>194104</v>
      </c>
      <c r="Y258" s="213">
        <f t="shared" si="141"/>
        <v>0.68395367110998351</v>
      </c>
      <c r="Z258" s="486"/>
    </row>
    <row r="259" spans="2:26" s="10" customFormat="1" ht="16.899999999999999" customHeight="1" x14ac:dyDescent="0.25">
      <c r="B259" s="60" t="s">
        <v>327</v>
      </c>
      <c r="C259" s="81" t="s">
        <v>386</v>
      </c>
      <c r="D259" s="276" t="s">
        <v>254</v>
      </c>
      <c r="E259" s="330">
        <v>3668</v>
      </c>
      <c r="F259" s="330">
        <f>ROUND(E259,0)</f>
        <v>3668</v>
      </c>
      <c r="G259" s="11">
        <f t="shared" si="145"/>
        <v>0</v>
      </c>
      <c r="H259" s="366"/>
      <c r="I259" s="11">
        <f>ROUND(F259,0)+7552</f>
        <v>11220</v>
      </c>
      <c r="J259" s="11">
        <f t="shared" si="124"/>
        <v>7552</v>
      </c>
      <c r="K259" s="127" t="s">
        <v>742</v>
      </c>
      <c r="L259" s="11">
        <f t="shared" si="146"/>
        <v>11220</v>
      </c>
      <c r="M259" s="11">
        <f t="shared" si="125"/>
        <v>0</v>
      </c>
      <c r="N259" s="127"/>
      <c r="O259" s="11">
        <f t="shared" si="147"/>
        <v>11220</v>
      </c>
      <c r="P259" s="11">
        <f t="shared" si="126"/>
        <v>0</v>
      </c>
      <c r="Q259" s="127"/>
      <c r="R259" s="11">
        <f t="shared" si="143"/>
        <v>11220</v>
      </c>
      <c r="S259" s="11">
        <f t="shared" si="113"/>
        <v>0</v>
      </c>
      <c r="T259" s="127"/>
      <c r="U259" s="11">
        <f t="shared" si="144"/>
        <v>11220</v>
      </c>
      <c r="V259" s="11">
        <f t="shared" si="114"/>
        <v>0</v>
      </c>
      <c r="W259" s="127"/>
      <c r="X259" s="456">
        <v>4337.32</v>
      </c>
      <c r="Y259" s="201">
        <f t="shared" si="141"/>
        <v>0.38657040998217468</v>
      </c>
      <c r="Z259" s="486"/>
    </row>
    <row r="260" spans="2:26" s="4" customFormat="1" ht="15.6" customHeight="1" x14ac:dyDescent="0.25">
      <c r="B260" s="58" t="s">
        <v>461</v>
      </c>
      <c r="C260" s="81" t="s">
        <v>387</v>
      </c>
      <c r="D260" s="276" t="s">
        <v>669</v>
      </c>
      <c r="E260" s="330">
        <v>15469</v>
      </c>
      <c r="F260" s="330">
        <f>ROUND(E260,0)</f>
        <v>15469</v>
      </c>
      <c r="G260" s="11">
        <f t="shared" si="145"/>
        <v>0</v>
      </c>
      <c r="H260" s="440"/>
      <c r="I260" s="11">
        <f>ROUND(F260,0)+27100</f>
        <v>42569</v>
      </c>
      <c r="J260" s="11">
        <f t="shared" si="124"/>
        <v>27100</v>
      </c>
      <c r="K260" s="461" t="s">
        <v>767</v>
      </c>
      <c r="L260" s="11">
        <f t="shared" si="146"/>
        <v>42569</v>
      </c>
      <c r="M260" s="11">
        <f t="shared" si="125"/>
        <v>0</v>
      </c>
      <c r="N260" s="151"/>
      <c r="O260" s="11">
        <f t="shared" si="147"/>
        <v>42569</v>
      </c>
      <c r="P260" s="11">
        <f t="shared" si="126"/>
        <v>0</v>
      </c>
      <c r="Q260" s="151"/>
      <c r="R260" s="11">
        <f>ROUND(O260,0)+16100+30000</f>
        <v>88669</v>
      </c>
      <c r="S260" s="11">
        <f t="shared" ref="S260:S302" si="148">R260-O260</f>
        <v>46100</v>
      </c>
      <c r="T260" s="523" t="s">
        <v>878</v>
      </c>
      <c r="U260" s="11">
        <f t="shared" si="144"/>
        <v>88669</v>
      </c>
      <c r="V260" s="11">
        <f t="shared" ref="V260:V302" si="149">U260-R260</f>
        <v>0</v>
      </c>
      <c r="W260" s="523"/>
      <c r="X260" s="456">
        <f>14473.66+32268.87</f>
        <v>46742.53</v>
      </c>
      <c r="Y260" s="201">
        <f t="shared" si="141"/>
        <v>0.52715751841116965</v>
      </c>
      <c r="Z260" s="486"/>
    </row>
    <row r="261" spans="2:26" s="4" customFormat="1" ht="15" customHeight="1" x14ac:dyDescent="0.25">
      <c r="B261" s="58" t="s">
        <v>325</v>
      </c>
      <c r="C261" s="81" t="s">
        <v>472</v>
      </c>
      <c r="D261" s="322" t="s">
        <v>346</v>
      </c>
      <c r="E261" s="330">
        <v>0</v>
      </c>
      <c r="F261" s="330">
        <f>ROUND(E261,0)</f>
        <v>0</v>
      </c>
      <c r="G261" s="11">
        <f t="shared" si="145"/>
        <v>0</v>
      </c>
      <c r="H261" s="398"/>
      <c r="I261" s="11">
        <f t="shared" si="142"/>
        <v>0</v>
      </c>
      <c r="J261" s="11">
        <f t="shared" si="124"/>
        <v>0</v>
      </c>
      <c r="K261" s="142"/>
      <c r="L261" s="11">
        <f t="shared" si="146"/>
        <v>0</v>
      </c>
      <c r="M261" s="11">
        <f t="shared" si="125"/>
        <v>0</v>
      </c>
      <c r="N261" s="142"/>
      <c r="O261" s="11">
        <f t="shared" si="147"/>
        <v>0</v>
      </c>
      <c r="P261" s="11">
        <f t="shared" si="126"/>
        <v>0</v>
      </c>
      <c r="Q261" s="142"/>
      <c r="R261" s="11">
        <f t="shared" si="143"/>
        <v>0</v>
      </c>
      <c r="S261" s="11">
        <f t="shared" si="148"/>
        <v>0</v>
      </c>
      <c r="T261" s="142"/>
      <c r="U261" s="11">
        <f t="shared" si="144"/>
        <v>0</v>
      </c>
      <c r="V261" s="11">
        <f t="shared" si="149"/>
        <v>0</v>
      </c>
      <c r="W261" s="142"/>
      <c r="X261" s="486"/>
      <c r="Y261" s="201"/>
      <c r="Z261" s="486"/>
    </row>
    <row r="262" spans="2:26" ht="13.5" customHeight="1" x14ac:dyDescent="0.25">
      <c r="B262" s="58" t="s">
        <v>474</v>
      </c>
      <c r="C262" s="84" t="s">
        <v>545</v>
      </c>
      <c r="D262" s="300" t="s">
        <v>473</v>
      </c>
      <c r="E262" s="345">
        <v>0</v>
      </c>
      <c r="F262" s="345">
        <f>ROUND(E262,0)+19357+102058</f>
        <v>121415</v>
      </c>
      <c r="G262" s="24">
        <f>F262-E262</f>
        <v>121415</v>
      </c>
      <c r="H262" s="145" t="s">
        <v>736</v>
      </c>
      <c r="I262" s="24">
        <f t="shared" si="142"/>
        <v>121415</v>
      </c>
      <c r="J262" s="24">
        <f t="shared" si="124"/>
        <v>0</v>
      </c>
      <c r="K262" s="145"/>
      <c r="L262" s="24">
        <f t="shared" si="146"/>
        <v>121415</v>
      </c>
      <c r="M262" s="24">
        <f t="shared" si="125"/>
        <v>0</v>
      </c>
      <c r="N262" s="145"/>
      <c r="O262" s="24">
        <f>ROUND(L262,0)-6629</f>
        <v>114786</v>
      </c>
      <c r="P262" s="24">
        <f t="shared" si="126"/>
        <v>-6629</v>
      </c>
      <c r="Q262" s="145" t="s">
        <v>821</v>
      </c>
      <c r="R262" s="24">
        <f t="shared" si="143"/>
        <v>114786</v>
      </c>
      <c r="S262" s="24">
        <f t="shared" si="148"/>
        <v>0</v>
      </c>
      <c r="T262" s="145"/>
      <c r="U262" s="24">
        <f t="shared" si="144"/>
        <v>114786</v>
      </c>
      <c r="V262" s="24">
        <f t="shared" si="149"/>
        <v>0</v>
      </c>
      <c r="W262" s="145"/>
      <c r="X262" s="500">
        <v>114786</v>
      </c>
      <c r="Y262" s="224">
        <f t="shared" ref="Y262:Y302" si="150">X262/U262</f>
        <v>1</v>
      </c>
      <c r="Z262" s="492" t="s">
        <v>777</v>
      </c>
    </row>
    <row r="263" spans="2:26" s="10" customFormat="1" ht="15.75" customHeight="1" x14ac:dyDescent="0.25">
      <c r="B263" s="60"/>
      <c r="C263" s="84" t="s">
        <v>388</v>
      </c>
      <c r="D263" s="300" t="s">
        <v>192</v>
      </c>
      <c r="E263" s="24">
        <v>8531591.7446570527</v>
      </c>
      <c r="F263" s="345">
        <f>F264+F268+F269+F270+F271+F272+F273+F274+F275+F276+F277</f>
        <v>8748498</v>
      </c>
      <c r="G263" s="345">
        <f t="shared" ref="G263:H263" si="151">G264+G268+G269+G270+G271+G272+G273+G274+G275+G276+G277</f>
        <v>216906.25534294697</v>
      </c>
      <c r="H263" s="345" t="e">
        <f t="shared" si="151"/>
        <v>#VALUE!</v>
      </c>
      <c r="I263" s="345">
        <f>I264+I268+I269+I270+I271+I272+I273+I274+I275+I276+I277</f>
        <v>8832612</v>
      </c>
      <c r="J263" s="24">
        <f t="shared" si="124"/>
        <v>84114</v>
      </c>
      <c r="K263" s="145"/>
      <c r="L263" s="345">
        <f>L264+L268+L269+L270+L271+L272+L273+L274+L275+L276+L277</f>
        <v>8853612</v>
      </c>
      <c r="M263" s="24">
        <f t="shared" si="125"/>
        <v>21000</v>
      </c>
      <c r="N263" s="145"/>
      <c r="O263" s="24">
        <f>O264+O268+O269+O270+O271+O272+O273+O274+O275+O276+O277</f>
        <v>8850462</v>
      </c>
      <c r="P263" s="24">
        <f t="shared" si="126"/>
        <v>-3150</v>
      </c>
      <c r="Q263" s="145"/>
      <c r="R263" s="24">
        <f>R264+R268+R269+R270+R271+R272+R273+R274+R275+R276+R277</f>
        <v>8838626</v>
      </c>
      <c r="S263" s="24">
        <f t="shared" si="148"/>
        <v>-11836</v>
      </c>
      <c r="T263" s="145"/>
      <c r="U263" s="24">
        <f>U264+U268+U269+U270+U271+U272+U273+U274+U275+U276+U277</f>
        <v>8814570</v>
      </c>
      <c r="V263" s="24">
        <f t="shared" si="149"/>
        <v>-24056</v>
      </c>
      <c r="W263" s="145"/>
      <c r="X263" s="500">
        <f>X264+X268+X269+X270+X271+X272+X273+X274+X275+X276+X277</f>
        <v>4972761.51</v>
      </c>
      <c r="Y263" s="224">
        <f t="shared" si="150"/>
        <v>0.56415247822639103</v>
      </c>
      <c r="Z263" s="505"/>
    </row>
    <row r="264" spans="2:26" s="10" customFormat="1" ht="17.25" customHeight="1" x14ac:dyDescent="0.25">
      <c r="B264" s="60" t="s">
        <v>318</v>
      </c>
      <c r="C264" s="81" t="s">
        <v>389</v>
      </c>
      <c r="D264" s="276" t="s">
        <v>233</v>
      </c>
      <c r="E264" s="330">
        <v>4238288</v>
      </c>
      <c r="F264" s="330">
        <f>SUM(F265:F267)</f>
        <v>4362146</v>
      </c>
      <c r="G264" s="11">
        <f t="shared" si="140"/>
        <v>123858</v>
      </c>
      <c r="H264" s="429" t="s">
        <v>724</v>
      </c>
      <c r="I264" s="11">
        <f>SUM(I265:I267)</f>
        <v>4407640</v>
      </c>
      <c r="J264" s="11">
        <f t="shared" si="124"/>
        <v>45494</v>
      </c>
      <c r="K264" s="135"/>
      <c r="L264" s="11">
        <f>SUM(L265:L267)</f>
        <v>4407640</v>
      </c>
      <c r="M264" s="11">
        <f t="shared" si="125"/>
        <v>0</v>
      </c>
      <c r="N264" s="135"/>
      <c r="O264" s="11">
        <f>SUM(O265:O267)</f>
        <v>4407640</v>
      </c>
      <c r="P264" s="11">
        <f t="shared" si="126"/>
        <v>0</v>
      </c>
      <c r="Q264" s="135"/>
      <c r="R264" s="11">
        <f>SUM(R265:R267)</f>
        <v>4407640</v>
      </c>
      <c r="S264" s="11">
        <f t="shared" si="148"/>
        <v>0</v>
      </c>
      <c r="T264" s="135"/>
      <c r="U264" s="11">
        <f>SUM(U265:U267)</f>
        <v>4396662</v>
      </c>
      <c r="V264" s="11">
        <f t="shared" si="149"/>
        <v>-10978</v>
      </c>
      <c r="W264" s="135" t="s">
        <v>897</v>
      </c>
      <c r="X264" s="456">
        <f>SUM(X265:X267)</f>
        <v>2833781.99</v>
      </c>
      <c r="Y264" s="201">
        <f t="shared" si="150"/>
        <v>0.64453032550603162</v>
      </c>
      <c r="Z264" s="486"/>
    </row>
    <row r="265" spans="2:26" s="442" customFormat="1" ht="17.25" customHeight="1" x14ac:dyDescent="0.25">
      <c r="B265" s="443"/>
      <c r="C265" s="120" t="s">
        <v>732</v>
      </c>
      <c r="D265" s="315" t="s">
        <v>729</v>
      </c>
      <c r="E265" s="445">
        <v>4021527</v>
      </c>
      <c r="F265" s="445">
        <f>4021527+17418-6716</f>
        <v>4032229</v>
      </c>
      <c r="G265" s="444">
        <f t="shared" si="140"/>
        <v>10702</v>
      </c>
      <c r="H265" s="449" t="s">
        <v>724</v>
      </c>
      <c r="I265" s="444">
        <f>ROUND(F265,0)</f>
        <v>4032229</v>
      </c>
      <c r="J265" s="444">
        <f>I265-F265</f>
        <v>0</v>
      </c>
      <c r="K265" s="447"/>
      <c r="L265" s="444">
        <f>ROUND(I265,0)</f>
        <v>4032229</v>
      </c>
      <c r="M265" s="11">
        <f t="shared" si="125"/>
        <v>0</v>
      </c>
      <c r="N265" s="447"/>
      <c r="O265" s="11">
        <f>ROUND(L265,0)</f>
        <v>4032229</v>
      </c>
      <c r="P265" s="11">
        <f>O265-L265</f>
        <v>0</v>
      </c>
      <c r="Q265" s="447"/>
      <c r="R265" s="11">
        <f>ROUND(O265,0)</f>
        <v>4032229</v>
      </c>
      <c r="S265" s="11">
        <f t="shared" si="148"/>
        <v>0</v>
      </c>
      <c r="T265" s="447"/>
      <c r="U265" s="11">
        <f>ROUND(R265,0)+(14311-2258)</f>
        <v>4044282</v>
      </c>
      <c r="V265" s="11">
        <f t="shared" si="149"/>
        <v>12053</v>
      </c>
      <c r="W265" s="447"/>
      <c r="X265" s="444">
        <f>2763406.18-X267-X276</f>
        <v>2623492.1700000004</v>
      </c>
      <c r="Y265" s="201">
        <f t="shared" si="150"/>
        <v>0.6486917010238159</v>
      </c>
      <c r="Z265" s="446"/>
    </row>
    <row r="266" spans="2:26" s="442" customFormat="1" ht="16.899999999999999" customHeight="1" x14ac:dyDescent="0.25">
      <c r="B266" s="443"/>
      <c r="C266" s="120" t="s">
        <v>733</v>
      </c>
      <c r="D266" s="315" t="s">
        <v>730</v>
      </c>
      <c r="E266" s="445">
        <v>216761</v>
      </c>
      <c r="F266" s="445">
        <f>216761+110614+3572+30+4-1482</f>
        <v>329499</v>
      </c>
      <c r="G266" s="444">
        <f t="shared" si="140"/>
        <v>112738</v>
      </c>
      <c r="H266" s="449" t="s">
        <v>724</v>
      </c>
      <c r="I266" s="444">
        <f>ROUND(F266,0)-49310+22060+264</f>
        <v>302513</v>
      </c>
      <c r="J266" s="444">
        <f>I266-F266</f>
        <v>-26986</v>
      </c>
      <c r="K266" s="447" t="s">
        <v>744</v>
      </c>
      <c r="L266" s="444">
        <f>ROUND(I266,0)</f>
        <v>302513</v>
      </c>
      <c r="M266" s="11">
        <f t="shared" si="125"/>
        <v>0</v>
      </c>
      <c r="N266" s="447"/>
      <c r="O266" s="11">
        <f>ROUND(L266,0)</f>
        <v>302513</v>
      </c>
      <c r="P266" s="11">
        <f>O266-L266</f>
        <v>0</v>
      </c>
      <c r="Q266" s="447"/>
      <c r="R266" s="11">
        <f>ROUND(O266,0)</f>
        <v>302513</v>
      </c>
      <c r="S266" s="11">
        <f t="shared" si="148"/>
        <v>0</v>
      </c>
      <c r="T266" s="447"/>
      <c r="U266" s="11">
        <f>ROUND(R266,0)-4668-18363</f>
        <v>279482</v>
      </c>
      <c r="V266" s="11">
        <f t="shared" si="149"/>
        <v>-23031</v>
      </c>
      <c r="W266" s="447"/>
      <c r="X266" s="444">
        <v>168946.36</v>
      </c>
      <c r="Y266" s="201">
        <f t="shared" si="150"/>
        <v>0.60449817877358825</v>
      </c>
      <c r="Z266" s="446"/>
    </row>
    <row r="267" spans="2:26" s="442" customFormat="1" ht="17.25" customHeight="1" x14ac:dyDescent="0.25">
      <c r="B267" s="443"/>
      <c r="C267" s="120" t="s">
        <v>734</v>
      </c>
      <c r="D267" s="315" t="s">
        <v>731</v>
      </c>
      <c r="E267" s="445"/>
      <c r="F267" s="445">
        <f>418</f>
        <v>418</v>
      </c>
      <c r="G267" s="444">
        <f t="shared" si="140"/>
        <v>418</v>
      </c>
      <c r="H267" s="449" t="s">
        <v>724</v>
      </c>
      <c r="I267" s="444">
        <f>ROUND(F267,0)-264+71355+538+851</f>
        <v>72898</v>
      </c>
      <c r="J267" s="444">
        <f>I267-F267</f>
        <v>72480</v>
      </c>
      <c r="K267" s="447" t="s">
        <v>735</v>
      </c>
      <c r="L267" s="444">
        <f>ROUND(I267,0)</f>
        <v>72898</v>
      </c>
      <c r="M267" s="11">
        <f t="shared" si="125"/>
        <v>0</v>
      </c>
      <c r="N267" s="447"/>
      <c r="O267" s="11">
        <f>ROUND(L267,0)</f>
        <v>72898</v>
      </c>
      <c r="P267" s="11">
        <f>O267-L267</f>
        <v>0</v>
      </c>
      <c r="Q267" s="447"/>
      <c r="R267" s="11">
        <f>ROUND(O267,0)</f>
        <v>72898</v>
      </c>
      <c r="S267" s="11">
        <f t="shared" si="148"/>
        <v>0</v>
      </c>
      <c r="T267" s="447"/>
      <c r="U267" s="11">
        <f>ROUND(R267,0)</f>
        <v>72898</v>
      </c>
      <c r="V267" s="11">
        <f t="shared" si="149"/>
        <v>0</v>
      </c>
      <c r="W267" s="447"/>
      <c r="X267" s="444">
        <v>41343.46</v>
      </c>
      <c r="Y267" s="448">
        <f t="shared" si="150"/>
        <v>0.56714121100716064</v>
      </c>
      <c r="Z267" s="446"/>
    </row>
    <row r="268" spans="2:26" s="10" customFormat="1" ht="43.15" customHeight="1" x14ac:dyDescent="0.25">
      <c r="B268" s="60" t="s">
        <v>219</v>
      </c>
      <c r="C268" s="81" t="s">
        <v>390</v>
      </c>
      <c r="D268" s="276" t="s">
        <v>184</v>
      </c>
      <c r="E268" s="330">
        <v>1427218.8621271863</v>
      </c>
      <c r="F268" s="330">
        <f>ROUND(E268,0)-337847+35517</f>
        <v>1124889</v>
      </c>
      <c r="G268" s="11">
        <f t="shared" si="140"/>
        <v>-302329.86212718626</v>
      </c>
      <c r="H268" s="294" t="s">
        <v>709</v>
      </c>
      <c r="I268" s="11">
        <f>ROUND(F268,0)-146203</f>
        <v>978686</v>
      </c>
      <c r="J268" s="11">
        <f t="shared" si="124"/>
        <v>-146203</v>
      </c>
      <c r="K268" s="135" t="s">
        <v>758</v>
      </c>
      <c r="L268" s="11">
        <f>ROUND(I268,0)+5000+16000</f>
        <v>999686</v>
      </c>
      <c r="M268" s="11">
        <f t="shared" si="125"/>
        <v>21000</v>
      </c>
      <c r="N268" s="482" t="s">
        <v>803</v>
      </c>
      <c r="O268" s="11">
        <f>ROUND(L268,0)-6000</f>
        <v>993686</v>
      </c>
      <c r="P268" s="11">
        <f t="shared" si="126"/>
        <v>-6000</v>
      </c>
      <c r="Q268" s="182" t="s">
        <v>760</v>
      </c>
      <c r="R268" s="11">
        <f>ROUND(O268,0)-5600</f>
        <v>988086</v>
      </c>
      <c r="S268" s="11">
        <f t="shared" si="148"/>
        <v>-5600</v>
      </c>
      <c r="T268" s="575" t="s">
        <v>869</v>
      </c>
      <c r="U268" s="11">
        <f>ROUND(R268,0)-12000</f>
        <v>976086</v>
      </c>
      <c r="V268" s="11">
        <f t="shared" si="149"/>
        <v>-12000</v>
      </c>
      <c r="W268" s="530" t="s">
        <v>901</v>
      </c>
      <c r="X268" s="456">
        <f>1079482.88-303495.26-X272-X273</f>
        <v>697863.96999999986</v>
      </c>
      <c r="Y268" s="201">
        <f t="shared" si="150"/>
        <v>0.71496156076411288</v>
      </c>
      <c r="Z268" s="486"/>
    </row>
    <row r="269" spans="2:26" s="10" customFormat="1" ht="73.150000000000006" customHeight="1" x14ac:dyDescent="0.25">
      <c r="B269" s="60"/>
      <c r="C269" s="81" t="s">
        <v>391</v>
      </c>
      <c r="D269" s="310" t="s">
        <v>527</v>
      </c>
      <c r="E269" s="334"/>
      <c r="F269" s="334">
        <v>337847</v>
      </c>
      <c r="G269" s="11">
        <f t="shared" si="140"/>
        <v>337847</v>
      </c>
      <c r="H269" s="294"/>
      <c r="I269" s="122">
        <f>ROUND(F269,0)+10919+146203</f>
        <v>494969</v>
      </c>
      <c r="J269" s="122">
        <f>I269-F269</f>
        <v>157122</v>
      </c>
      <c r="K269" s="294" t="s">
        <v>757</v>
      </c>
      <c r="L269" s="122">
        <f>ROUND(I269,0)</f>
        <v>494969</v>
      </c>
      <c r="M269" s="11">
        <f t="shared" si="125"/>
        <v>0</v>
      </c>
      <c r="N269" s="294"/>
      <c r="O269" s="11">
        <f>ROUND(L269,0)+6000</f>
        <v>500969</v>
      </c>
      <c r="P269" s="11">
        <f>O269-L269</f>
        <v>6000</v>
      </c>
      <c r="Q269" s="182" t="s">
        <v>760</v>
      </c>
      <c r="R269" s="11">
        <f>ROUND(O269,0)+5600</f>
        <v>506569</v>
      </c>
      <c r="S269" s="11">
        <f t="shared" si="148"/>
        <v>5600</v>
      </c>
      <c r="T269" s="576"/>
      <c r="U269" s="11">
        <f>ROUND(R269,0)+12000+2300</f>
        <v>520869</v>
      </c>
      <c r="V269" s="11">
        <f t="shared" si="149"/>
        <v>14300</v>
      </c>
      <c r="W269" s="530" t="s">
        <v>899</v>
      </c>
      <c r="X269" s="526">
        <f>309371+50109</f>
        <v>359480</v>
      </c>
      <c r="Y269" s="201">
        <f t="shared" si="150"/>
        <v>0.69015433823091799</v>
      </c>
      <c r="Z269" s="486"/>
    </row>
    <row r="270" spans="2:26" s="10" customFormat="1" ht="15" customHeight="1" x14ac:dyDescent="0.25">
      <c r="B270" s="10" t="s">
        <v>319</v>
      </c>
      <c r="C270" s="81" t="s">
        <v>392</v>
      </c>
      <c r="D270" s="276" t="s">
        <v>232</v>
      </c>
      <c r="E270" s="330">
        <v>266093</v>
      </c>
      <c r="F270" s="330">
        <f>ROUND(E270,0)</f>
        <v>266093</v>
      </c>
      <c r="G270" s="11">
        <f t="shared" si="140"/>
        <v>0</v>
      </c>
      <c r="H270" s="182"/>
      <c r="I270" s="11">
        <f>ROUND(F270,0)-27100</f>
        <v>238993</v>
      </c>
      <c r="J270" s="11">
        <f t="shared" si="124"/>
        <v>-27100</v>
      </c>
      <c r="K270" s="461" t="s">
        <v>767</v>
      </c>
      <c r="L270" s="11">
        <f t="shared" ref="L270:L276" si="152">ROUND(I270,0)</f>
        <v>238993</v>
      </c>
      <c r="M270" s="11">
        <f t="shared" si="125"/>
        <v>0</v>
      </c>
      <c r="N270" s="182"/>
      <c r="O270" s="11">
        <f t="shared" ref="O270:O276" si="153">ROUND(L270,0)</f>
        <v>238993</v>
      </c>
      <c r="P270" s="11">
        <f t="shared" si="126"/>
        <v>0</v>
      </c>
      <c r="Q270" s="182"/>
      <c r="R270" s="11">
        <f t="shared" ref="R270:R276" si="154">ROUND(O270,0)</f>
        <v>238993</v>
      </c>
      <c r="S270" s="11">
        <f t="shared" si="148"/>
        <v>0</v>
      </c>
      <c r="T270" s="182"/>
      <c r="U270" s="11">
        <f t="shared" ref="U270:U276" si="155">ROUND(R270,0)</f>
        <v>238993</v>
      </c>
      <c r="V270" s="11">
        <f t="shared" si="149"/>
        <v>0</v>
      </c>
      <c r="W270" s="182"/>
      <c r="X270" s="456">
        <v>77833.850000000006</v>
      </c>
      <c r="Y270" s="201">
        <f t="shared" si="150"/>
        <v>0.32567418292585976</v>
      </c>
      <c r="Z270" s="486"/>
    </row>
    <row r="271" spans="2:26" s="10" customFormat="1" ht="16.149999999999999" customHeight="1" x14ac:dyDescent="0.25">
      <c r="B271" s="60" t="s">
        <v>265</v>
      </c>
      <c r="C271" s="81" t="s">
        <v>393</v>
      </c>
      <c r="D271" s="276" t="s">
        <v>254</v>
      </c>
      <c r="E271" s="330">
        <v>14485</v>
      </c>
      <c r="F271" s="330">
        <f>ROUND(E271,0)</f>
        <v>14485</v>
      </c>
      <c r="G271" s="41">
        <f t="shared" si="140"/>
        <v>0</v>
      </c>
      <c r="H271" s="127"/>
      <c r="I271" s="11">
        <f>ROUND(F271,0)+26175</f>
        <v>40660</v>
      </c>
      <c r="J271" s="41">
        <f t="shared" si="124"/>
        <v>26175</v>
      </c>
      <c r="K271" s="127" t="s">
        <v>742</v>
      </c>
      <c r="L271" s="11">
        <f t="shared" si="152"/>
        <v>40660</v>
      </c>
      <c r="M271" s="41">
        <f t="shared" si="125"/>
        <v>0</v>
      </c>
      <c r="N271" s="127"/>
      <c r="O271" s="11">
        <f t="shared" si="153"/>
        <v>40660</v>
      </c>
      <c r="P271" s="41">
        <f t="shared" si="126"/>
        <v>0</v>
      </c>
      <c r="Q271" s="127"/>
      <c r="R271" s="11">
        <f t="shared" si="154"/>
        <v>40660</v>
      </c>
      <c r="S271" s="41">
        <f t="shared" si="148"/>
        <v>0</v>
      </c>
      <c r="T271" s="127"/>
      <c r="U271" s="11">
        <f t="shared" si="155"/>
        <v>40660</v>
      </c>
      <c r="V271" s="41">
        <f t="shared" si="149"/>
        <v>0</v>
      </c>
      <c r="W271" s="127"/>
      <c r="X271" s="456">
        <v>21511.39</v>
      </c>
      <c r="Y271" s="201">
        <f t="shared" si="150"/>
        <v>0.52905533694048201</v>
      </c>
      <c r="Z271" s="486"/>
    </row>
    <row r="272" spans="2:26" s="5" customFormat="1" ht="27.75" customHeight="1" x14ac:dyDescent="0.25">
      <c r="B272" s="60" t="s">
        <v>219</v>
      </c>
      <c r="C272" s="309" t="s">
        <v>394</v>
      </c>
      <c r="D272" s="276" t="s">
        <v>488</v>
      </c>
      <c r="E272" s="330">
        <v>34497</v>
      </c>
      <c r="F272" s="330">
        <f>ROUND(E272,0)+53231</f>
        <v>87728</v>
      </c>
      <c r="G272" s="52">
        <f t="shared" si="140"/>
        <v>53231</v>
      </c>
      <c r="H272" s="144" t="s">
        <v>696</v>
      </c>
      <c r="I272" s="11">
        <f>ROUND(F272,0)</f>
        <v>87728</v>
      </c>
      <c r="J272" s="52">
        <f t="shared" si="124"/>
        <v>0</v>
      </c>
      <c r="K272" s="144"/>
      <c r="L272" s="11">
        <f t="shared" si="152"/>
        <v>87728</v>
      </c>
      <c r="M272" s="52">
        <f t="shared" si="125"/>
        <v>0</v>
      </c>
      <c r="N272" s="144"/>
      <c r="O272" s="11">
        <f t="shared" si="153"/>
        <v>87728</v>
      </c>
      <c r="P272" s="52">
        <f t="shared" si="126"/>
        <v>0</v>
      </c>
      <c r="Q272" s="144"/>
      <c r="R272" s="11">
        <f t="shared" si="154"/>
        <v>87728</v>
      </c>
      <c r="S272" s="52">
        <f t="shared" si="148"/>
        <v>0</v>
      </c>
      <c r="T272" s="144"/>
      <c r="U272" s="11">
        <f t="shared" si="155"/>
        <v>87728</v>
      </c>
      <c r="V272" s="52">
        <f t="shared" si="149"/>
        <v>0</v>
      </c>
      <c r="W272" s="144"/>
      <c r="X272" s="456">
        <v>78123.649999999994</v>
      </c>
      <c r="Y272" s="201">
        <f t="shared" si="150"/>
        <v>0.89052127028998718</v>
      </c>
      <c r="Z272" s="510" t="s">
        <v>894</v>
      </c>
    </row>
    <row r="273" spans="2:26" s="5" customFormat="1" ht="44.25" customHeight="1" x14ac:dyDescent="0.25">
      <c r="B273" s="60" t="s">
        <v>219</v>
      </c>
      <c r="C273" s="81" t="s">
        <v>395</v>
      </c>
      <c r="D273" s="310" t="s">
        <v>642</v>
      </c>
      <c r="E273" s="334">
        <v>870000</v>
      </c>
      <c r="F273" s="330">
        <f>ROUND(E273,0)</f>
        <v>870000</v>
      </c>
      <c r="G273" s="52">
        <f>F273-E273</f>
        <v>0</v>
      </c>
      <c r="H273" s="402"/>
      <c r="I273" s="122">
        <f>ROUND(F273,0)</f>
        <v>870000</v>
      </c>
      <c r="J273" s="122">
        <f>I273-F273</f>
        <v>0</v>
      </c>
      <c r="K273" s="294"/>
      <c r="L273" s="11">
        <f t="shared" si="152"/>
        <v>870000</v>
      </c>
      <c r="M273" s="52">
        <f t="shared" si="125"/>
        <v>0</v>
      </c>
      <c r="N273" s="294"/>
      <c r="O273" s="11">
        <f>ROUND(L273,0)</f>
        <v>870000</v>
      </c>
      <c r="P273" s="52">
        <f>O273-L273</f>
        <v>0</v>
      </c>
      <c r="Q273" s="294"/>
      <c r="R273" s="11">
        <f t="shared" si="154"/>
        <v>870000</v>
      </c>
      <c r="S273" s="52">
        <f t="shared" si="148"/>
        <v>0</v>
      </c>
      <c r="T273" s="294"/>
      <c r="U273" s="11">
        <f>ROUND(R273,0)-2300</f>
        <v>867700</v>
      </c>
      <c r="V273" s="52">
        <f t="shared" si="149"/>
        <v>-2300</v>
      </c>
      <c r="W273" s="294" t="s">
        <v>900</v>
      </c>
      <c r="X273" s="456">
        <v>0</v>
      </c>
      <c r="Y273" s="209">
        <f t="shared" si="150"/>
        <v>0</v>
      </c>
      <c r="Z273" s="486"/>
    </row>
    <row r="274" spans="2:26" s="5" customFormat="1" ht="18" customHeight="1" x14ac:dyDescent="0.25">
      <c r="B274" s="59" t="s">
        <v>237</v>
      </c>
      <c r="C274" s="81" t="s">
        <v>396</v>
      </c>
      <c r="D274" s="276" t="s">
        <v>252</v>
      </c>
      <c r="E274" s="330">
        <v>1006133.6654766668</v>
      </c>
      <c r="F274" s="330">
        <f>ROUND(E274,0)-197877-65904</f>
        <v>742353</v>
      </c>
      <c r="G274" s="11">
        <f t="shared" si="140"/>
        <v>-263780.66547666676</v>
      </c>
      <c r="H274" s="294" t="s">
        <v>704</v>
      </c>
      <c r="I274" s="11">
        <f>ROUND(F274,0)-58159</f>
        <v>684194</v>
      </c>
      <c r="J274" s="11">
        <f t="shared" si="124"/>
        <v>-58159</v>
      </c>
      <c r="K274" s="135" t="s">
        <v>763</v>
      </c>
      <c r="L274" s="11">
        <f t="shared" si="152"/>
        <v>684194</v>
      </c>
      <c r="M274" s="11">
        <f t="shared" si="125"/>
        <v>0</v>
      </c>
      <c r="N274" s="135"/>
      <c r="O274" s="11">
        <f t="shared" si="153"/>
        <v>684194</v>
      </c>
      <c r="P274" s="11">
        <f t="shared" si="126"/>
        <v>0</v>
      </c>
      <c r="Q274" s="135"/>
      <c r="R274" s="11">
        <f t="shared" si="154"/>
        <v>684194</v>
      </c>
      <c r="S274" s="11">
        <f t="shared" si="148"/>
        <v>0</v>
      </c>
      <c r="T274" s="135"/>
      <c r="U274" s="11">
        <f t="shared" si="155"/>
        <v>684194</v>
      </c>
      <c r="V274" s="11">
        <f t="shared" si="149"/>
        <v>0</v>
      </c>
      <c r="W274" s="135"/>
      <c r="X274" s="456">
        <f>472058.19-148410</f>
        <v>323648.19</v>
      </c>
      <c r="Y274" s="201">
        <f t="shared" si="150"/>
        <v>0.47303570332391104</v>
      </c>
      <c r="Z274" s="486"/>
    </row>
    <row r="275" spans="2:26" s="5" customFormat="1" ht="18" customHeight="1" x14ac:dyDescent="0.25">
      <c r="B275" s="59"/>
      <c r="C275" s="309" t="s">
        <v>665</v>
      </c>
      <c r="D275" s="310" t="s">
        <v>690</v>
      </c>
      <c r="E275" s="334"/>
      <c r="F275" s="334">
        <v>197877</v>
      </c>
      <c r="G275" s="11">
        <f t="shared" si="140"/>
        <v>197877</v>
      </c>
      <c r="H275" s="294"/>
      <c r="I275" s="11">
        <f>ROUND(F275,0)+19453+58159</f>
        <v>275489</v>
      </c>
      <c r="J275" s="11">
        <f>I275-F275</f>
        <v>77612</v>
      </c>
      <c r="K275" s="294" t="s">
        <v>762</v>
      </c>
      <c r="L275" s="11">
        <f>ROUND(I275,0)</f>
        <v>275489</v>
      </c>
      <c r="M275" s="11">
        <f>L275-I275</f>
        <v>0</v>
      </c>
      <c r="N275" s="294"/>
      <c r="O275" s="11">
        <f>ROUND(L275,0)</f>
        <v>275489</v>
      </c>
      <c r="P275" s="11">
        <f>O275-L275</f>
        <v>0</v>
      </c>
      <c r="Q275" s="294"/>
      <c r="R275" s="11">
        <f t="shared" si="154"/>
        <v>275489</v>
      </c>
      <c r="S275" s="11">
        <f t="shared" si="148"/>
        <v>0</v>
      </c>
      <c r="T275" s="294"/>
      <c r="U275" s="11">
        <f t="shared" si="155"/>
        <v>275489</v>
      </c>
      <c r="V275" s="11">
        <f t="shared" si="149"/>
        <v>0</v>
      </c>
      <c r="W275" s="294"/>
      <c r="X275" s="526">
        <v>203304</v>
      </c>
      <c r="Y275" s="201">
        <f t="shared" si="150"/>
        <v>0.73797501896627449</v>
      </c>
      <c r="Z275" s="486"/>
    </row>
    <row r="276" spans="2:26" s="5" customFormat="1" ht="15" customHeight="1" x14ac:dyDescent="0.25">
      <c r="B276" s="60" t="s">
        <v>318</v>
      </c>
      <c r="C276" s="81" t="s">
        <v>685</v>
      </c>
      <c r="D276" s="276" t="s">
        <v>259</v>
      </c>
      <c r="E276" s="330">
        <v>166307</v>
      </c>
      <c r="F276" s="330">
        <f>ROUND(E276,0)+69974</f>
        <v>236281</v>
      </c>
      <c r="G276" s="41">
        <f t="shared" si="140"/>
        <v>69974</v>
      </c>
      <c r="H276" s="135" t="s">
        <v>681</v>
      </c>
      <c r="I276" s="11">
        <f>ROUND(F276,0)</f>
        <v>236281</v>
      </c>
      <c r="J276" s="41">
        <f t="shared" si="124"/>
        <v>0</v>
      </c>
      <c r="K276" s="128"/>
      <c r="L276" s="11">
        <f t="shared" si="152"/>
        <v>236281</v>
      </c>
      <c r="M276" s="41">
        <f t="shared" si="125"/>
        <v>0</v>
      </c>
      <c r="N276" s="128"/>
      <c r="O276" s="11">
        <f t="shared" si="153"/>
        <v>236281</v>
      </c>
      <c r="P276" s="41">
        <f t="shared" si="126"/>
        <v>0</v>
      </c>
      <c r="Q276" s="128"/>
      <c r="R276" s="11">
        <f t="shared" si="154"/>
        <v>236281</v>
      </c>
      <c r="S276" s="41">
        <f t="shared" si="148"/>
        <v>0</v>
      </c>
      <c r="T276" s="128"/>
      <c r="U276" s="11">
        <f t="shared" si="155"/>
        <v>236281</v>
      </c>
      <c r="V276" s="41">
        <f t="shared" si="149"/>
        <v>0</v>
      </c>
      <c r="W276" s="128"/>
      <c r="X276" s="456">
        <v>98570.55</v>
      </c>
      <c r="Y276" s="201">
        <f t="shared" si="150"/>
        <v>0.41717510083332981</v>
      </c>
      <c r="Z276" s="486"/>
    </row>
    <row r="277" spans="2:26" s="88" customFormat="1" ht="13.9" customHeight="1" x14ac:dyDescent="0.25">
      <c r="B277" s="59"/>
      <c r="C277" s="89" t="s">
        <v>686</v>
      </c>
      <c r="D277" s="321" t="s">
        <v>267</v>
      </c>
      <c r="E277" s="358">
        <v>508569.2170532</v>
      </c>
      <c r="F277" s="358">
        <f t="shared" ref="F277" si="156">F278+F279+F280</f>
        <v>508799</v>
      </c>
      <c r="G277" s="104">
        <f t="shared" si="140"/>
        <v>229.78294679999817</v>
      </c>
      <c r="H277" s="414"/>
      <c r="I277" s="104">
        <f>I278+I279+I280</f>
        <v>517972</v>
      </c>
      <c r="J277" s="104">
        <f t="shared" si="124"/>
        <v>9173</v>
      </c>
      <c r="K277" s="104"/>
      <c r="L277" s="104">
        <f>L278+L279+L280</f>
        <v>517972</v>
      </c>
      <c r="M277" s="104">
        <f t="shared" si="125"/>
        <v>0</v>
      </c>
      <c r="N277" s="104"/>
      <c r="O277" s="104">
        <f>O278+O279+O280</f>
        <v>514822</v>
      </c>
      <c r="P277" s="104">
        <f t="shared" si="126"/>
        <v>-3150</v>
      </c>
      <c r="Q277" s="104"/>
      <c r="R277" s="104">
        <f>R278+R279+R280</f>
        <v>502986</v>
      </c>
      <c r="S277" s="104">
        <f t="shared" si="148"/>
        <v>-11836</v>
      </c>
      <c r="T277" s="104"/>
      <c r="U277" s="104">
        <f>U278+U279+U280</f>
        <v>489908</v>
      </c>
      <c r="V277" s="104">
        <f t="shared" si="149"/>
        <v>-13078</v>
      </c>
      <c r="W277" s="104"/>
      <c r="X277" s="527">
        <f>X278+X279+X280</f>
        <v>278643.92</v>
      </c>
      <c r="Y277" s="232">
        <f t="shared" si="150"/>
        <v>0.56876785029025856</v>
      </c>
      <c r="Z277" s="511"/>
    </row>
    <row r="278" spans="2:26" s="5" customFormat="1" ht="12" customHeight="1" x14ac:dyDescent="0.25">
      <c r="B278" s="58" t="s">
        <v>317</v>
      </c>
      <c r="C278" s="86" t="s">
        <v>687</v>
      </c>
      <c r="D278" s="276" t="s">
        <v>756</v>
      </c>
      <c r="E278" s="330">
        <v>138119</v>
      </c>
      <c r="F278" s="330">
        <f>ROUND(E278,0)-46+276</f>
        <v>138349</v>
      </c>
      <c r="G278" s="52">
        <f t="shared" si="140"/>
        <v>230</v>
      </c>
      <c r="H278" s="135" t="s">
        <v>681</v>
      </c>
      <c r="I278" s="11">
        <f>ROUND(F278,0)+2468</f>
        <v>140817</v>
      </c>
      <c r="J278" s="52">
        <f t="shared" si="124"/>
        <v>2468</v>
      </c>
      <c r="K278" s="144" t="s">
        <v>735</v>
      </c>
      <c r="L278" s="11">
        <f>ROUND(I278,0)</f>
        <v>140817</v>
      </c>
      <c r="M278" s="52">
        <f t="shared" si="125"/>
        <v>0</v>
      </c>
      <c r="N278" s="144"/>
      <c r="O278" s="11">
        <f>ROUND(L278,0)</f>
        <v>140817</v>
      </c>
      <c r="P278" s="52">
        <f t="shared" si="126"/>
        <v>0</v>
      </c>
      <c r="Q278" s="144"/>
      <c r="R278" s="11">
        <f>ROUND(O278,0)</f>
        <v>140817</v>
      </c>
      <c r="S278" s="52">
        <f t="shared" si="148"/>
        <v>0</v>
      </c>
      <c r="T278" s="144"/>
      <c r="U278" s="11">
        <f>ROUND(R278,0)-13078</f>
        <v>127739</v>
      </c>
      <c r="V278" s="52">
        <f t="shared" si="149"/>
        <v>-13078</v>
      </c>
      <c r="W278" s="144" t="s">
        <v>897</v>
      </c>
      <c r="X278" s="456">
        <v>89319.77</v>
      </c>
      <c r="Y278" s="201">
        <f t="shared" si="150"/>
        <v>0.69923649003045274</v>
      </c>
      <c r="Z278" s="456"/>
    </row>
    <row r="279" spans="2:26" s="4" customFormat="1" ht="13.9" customHeight="1" x14ac:dyDescent="0.25">
      <c r="B279" s="59" t="s">
        <v>266</v>
      </c>
      <c r="C279" s="86" t="s">
        <v>688</v>
      </c>
      <c r="D279" s="276" t="s">
        <v>268</v>
      </c>
      <c r="E279" s="330">
        <v>370450.2170532</v>
      </c>
      <c r="F279" s="330">
        <f>ROUND(E279,0)-14058</f>
        <v>356392</v>
      </c>
      <c r="G279" s="52">
        <f t="shared" si="140"/>
        <v>-14058.217053200002</v>
      </c>
      <c r="H279" s="136"/>
      <c r="I279" s="11">
        <f>ROUND(F279,0)-6000</f>
        <v>350392</v>
      </c>
      <c r="J279" s="52">
        <f t="shared" si="124"/>
        <v>-6000</v>
      </c>
      <c r="K279" s="136" t="s">
        <v>760</v>
      </c>
      <c r="L279" s="11">
        <f>ROUND(I279,0)</f>
        <v>350392</v>
      </c>
      <c r="M279" s="52">
        <f t="shared" si="125"/>
        <v>0</v>
      </c>
      <c r="N279" s="136"/>
      <c r="O279" s="11">
        <f>ROUND(L279,0)-3150</f>
        <v>347242</v>
      </c>
      <c r="P279" s="52">
        <f t="shared" si="126"/>
        <v>-3150</v>
      </c>
      <c r="Q279" s="135" t="s">
        <v>835</v>
      </c>
      <c r="R279" s="11">
        <f>ROUND(O279,0)-2300-9536</f>
        <v>335406</v>
      </c>
      <c r="S279" s="52">
        <f t="shared" si="148"/>
        <v>-11836</v>
      </c>
      <c r="T279" s="135" t="s">
        <v>866</v>
      </c>
      <c r="U279" s="11">
        <f>ROUND(R279,0)</f>
        <v>335406</v>
      </c>
      <c r="V279" s="52">
        <f t="shared" si="149"/>
        <v>0</v>
      </c>
      <c r="W279" s="135"/>
      <c r="X279" s="456">
        <f>187608.15-10539</f>
        <v>177069.15</v>
      </c>
      <c r="Y279" s="201">
        <f t="shared" si="150"/>
        <v>0.5279248135095973</v>
      </c>
      <c r="Z279" s="456"/>
    </row>
    <row r="280" spans="2:26" s="4" customFormat="1" ht="13.9" customHeight="1" x14ac:dyDescent="0.25">
      <c r="B280" s="59"/>
      <c r="C280" s="86" t="s">
        <v>689</v>
      </c>
      <c r="D280" s="310" t="s">
        <v>683</v>
      </c>
      <c r="E280" s="334"/>
      <c r="F280" s="334">
        <v>14058</v>
      </c>
      <c r="G280" s="52">
        <f t="shared" si="140"/>
        <v>14058</v>
      </c>
      <c r="H280" s="143" t="s">
        <v>684</v>
      </c>
      <c r="I280" s="122">
        <f>ROUND(F280,0)+6705+6000</f>
        <v>26763</v>
      </c>
      <c r="J280" s="122">
        <f>I280-F280</f>
        <v>12705</v>
      </c>
      <c r="K280" s="294" t="s">
        <v>759</v>
      </c>
      <c r="L280" s="11">
        <f>ROUND(I280,0)</f>
        <v>26763</v>
      </c>
      <c r="M280" s="52">
        <f t="shared" si="125"/>
        <v>0</v>
      </c>
      <c r="N280" s="143"/>
      <c r="O280" s="11">
        <f>ROUND(L280,0)</f>
        <v>26763</v>
      </c>
      <c r="P280" s="52">
        <f>O280-L280</f>
        <v>0</v>
      </c>
      <c r="Q280" s="143"/>
      <c r="R280" s="11">
        <f>ROUND(O280,0)</f>
        <v>26763</v>
      </c>
      <c r="S280" s="52">
        <f t="shared" si="148"/>
        <v>0</v>
      </c>
      <c r="T280" s="143"/>
      <c r="U280" s="11">
        <f>ROUND(R280,0)</f>
        <v>26763</v>
      </c>
      <c r="V280" s="52">
        <f t="shared" si="149"/>
        <v>0</v>
      </c>
      <c r="W280" s="143"/>
      <c r="X280" s="526">
        <v>12255</v>
      </c>
      <c r="Y280" s="201">
        <f t="shared" si="150"/>
        <v>0.45790830624369466</v>
      </c>
      <c r="Z280" s="456"/>
    </row>
    <row r="281" spans="2:26" ht="18" customHeight="1" x14ac:dyDescent="0.25">
      <c r="C281" s="84" t="s">
        <v>397</v>
      </c>
      <c r="D281" s="300" t="s">
        <v>514</v>
      </c>
      <c r="E281" s="345">
        <v>1647206</v>
      </c>
      <c r="F281" s="345">
        <f t="shared" ref="F281" si="157">F282+F283</f>
        <v>1852644</v>
      </c>
      <c r="G281" s="24">
        <f t="shared" si="140"/>
        <v>205438</v>
      </c>
      <c r="H281" s="273"/>
      <c r="I281" s="24">
        <f>I282+I283</f>
        <v>1852644</v>
      </c>
      <c r="J281" s="24">
        <f t="shared" si="124"/>
        <v>0</v>
      </c>
      <c r="K281" s="24"/>
      <c r="L281" s="24">
        <f>L282+L283</f>
        <v>1856644</v>
      </c>
      <c r="M281" s="24">
        <f t="shared" si="125"/>
        <v>4000</v>
      </c>
      <c r="N281" s="24"/>
      <c r="O281" s="24">
        <f>O282+O283</f>
        <v>1856644</v>
      </c>
      <c r="P281" s="24">
        <f t="shared" si="126"/>
        <v>0</v>
      </c>
      <c r="Q281" s="24"/>
      <c r="R281" s="24">
        <f>R282+R283</f>
        <v>1856644</v>
      </c>
      <c r="S281" s="24">
        <f t="shared" si="148"/>
        <v>0</v>
      </c>
      <c r="T281" s="24"/>
      <c r="U281" s="24">
        <f>U282+U283</f>
        <v>1852110</v>
      </c>
      <c r="V281" s="24">
        <f t="shared" si="149"/>
        <v>-4534</v>
      </c>
      <c r="W281" s="24"/>
      <c r="X281" s="500">
        <f>X282+X283</f>
        <v>1206208.53</v>
      </c>
      <c r="Y281" s="224">
        <f t="shared" si="150"/>
        <v>0.65126182030224988</v>
      </c>
      <c r="Z281" s="500"/>
    </row>
    <row r="282" spans="2:26" ht="13.5" customHeight="1" x14ac:dyDescent="0.25">
      <c r="C282" s="81" t="s">
        <v>398</v>
      </c>
      <c r="D282" s="276" t="s">
        <v>182</v>
      </c>
      <c r="E282" s="330">
        <v>651116</v>
      </c>
      <c r="F282" s="330">
        <f>ROUND(E282,0)+1832+142597</f>
        <v>795545</v>
      </c>
      <c r="G282" s="11">
        <f t="shared" si="140"/>
        <v>144429</v>
      </c>
      <c r="H282" s="135" t="s">
        <v>707</v>
      </c>
      <c r="I282" s="11">
        <f>ROUND(F282,0)</f>
        <v>795545</v>
      </c>
      <c r="J282" s="11">
        <f t="shared" si="124"/>
        <v>0</v>
      </c>
      <c r="K282" s="135"/>
      <c r="L282" s="11">
        <f>ROUND(I282,0)</f>
        <v>795545</v>
      </c>
      <c r="M282" s="11">
        <f t="shared" si="125"/>
        <v>0</v>
      </c>
      <c r="N282" s="135"/>
      <c r="O282" s="11">
        <f>ROUND(L282,0)</f>
        <v>795545</v>
      </c>
      <c r="P282" s="11">
        <f t="shared" si="126"/>
        <v>0</v>
      </c>
      <c r="Q282" s="135"/>
      <c r="R282" s="11">
        <f>ROUND(O282,0)</f>
        <v>795545</v>
      </c>
      <c r="S282" s="11">
        <f t="shared" si="148"/>
        <v>0</v>
      </c>
      <c r="T282" s="135"/>
      <c r="U282" s="11">
        <f>ROUND(R282,0)-4534</f>
        <v>791011</v>
      </c>
      <c r="V282" s="11">
        <f t="shared" si="149"/>
        <v>-4534</v>
      </c>
      <c r="W282" s="135" t="s">
        <v>897</v>
      </c>
      <c r="X282" s="456">
        <v>517936.03</v>
      </c>
      <c r="Y282" s="201">
        <f t="shared" si="150"/>
        <v>0.65477727869776781</v>
      </c>
      <c r="Z282" s="456"/>
    </row>
    <row r="283" spans="2:26" ht="25.9" customHeight="1" x14ac:dyDescent="0.25">
      <c r="C283" s="81" t="s">
        <v>399</v>
      </c>
      <c r="D283" s="276" t="s">
        <v>184</v>
      </c>
      <c r="E283" s="330">
        <v>996090</v>
      </c>
      <c r="F283" s="330">
        <f>ROUND(E283,0)+61009</f>
        <v>1057099</v>
      </c>
      <c r="G283" s="11">
        <f t="shared" si="140"/>
        <v>61009</v>
      </c>
      <c r="H283" s="183" t="s">
        <v>706</v>
      </c>
      <c r="I283" s="11">
        <f>ROUND(F283,0)</f>
        <v>1057099</v>
      </c>
      <c r="J283" s="11">
        <f t="shared" ref="J283:J302" si="158">I283-F283</f>
        <v>0</v>
      </c>
      <c r="K283" s="183"/>
      <c r="L283" s="11">
        <f>ROUND(I283,0)+4000</f>
        <v>1061099</v>
      </c>
      <c r="M283" s="11">
        <f t="shared" ref="M283:M302" si="159">L283-I283</f>
        <v>4000</v>
      </c>
      <c r="N283" s="195" t="s">
        <v>805</v>
      </c>
      <c r="O283" s="11">
        <f>ROUND(L283,0)</f>
        <v>1061099</v>
      </c>
      <c r="P283" s="11">
        <f t="shared" ref="P283:P302" si="160">O283-L283</f>
        <v>0</v>
      </c>
      <c r="Q283" s="183"/>
      <c r="R283" s="11">
        <f>ROUND(O283,0)</f>
        <v>1061099</v>
      </c>
      <c r="S283" s="11">
        <f t="shared" si="148"/>
        <v>0</v>
      </c>
      <c r="T283" s="183"/>
      <c r="U283" s="11">
        <f>ROUND(R283,0)</f>
        <v>1061099</v>
      </c>
      <c r="V283" s="11">
        <f t="shared" si="149"/>
        <v>0</v>
      </c>
      <c r="W283" s="183"/>
      <c r="X283" s="456">
        <v>688272.5</v>
      </c>
      <c r="Y283" s="201">
        <f t="shared" si="150"/>
        <v>0.6486411729725502</v>
      </c>
      <c r="Z283" s="502"/>
    </row>
    <row r="284" spans="2:26" ht="16.149999999999999" customHeight="1" x14ac:dyDescent="0.25">
      <c r="C284" s="87" t="s">
        <v>400</v>
      </c>
      <c r="D284" s="300" t="s">
        <v>195</v>
      </c>
      <c r="E284" s="345">
        <v>706577.70189168002</v>
      </c>
      <c r="F284" s="345">
        <f>F285+F286</f>
        <v>706619</v>
      </c>
      <c r="G284" s="24">
        <f t="shared" si="140"/>
        <v>41.298108319984749</v>
      </c>
      <c r="H284" s="404"/>
      <c r="I284" s="24">
        <f>I285+I286</f>
        <v>740716</v>
      </c>
      <c r="J284" s="24">
        <f t="shared" si="158"/>
        <v>34097</v>
      </c>
      <c r="K284" s="173" t="s">
        <v>738</v>
      </c>
      <c r="L284" s="24">
        <f>L285+L286</f>
        <v>740716</v>
      </c>
      <c r="M284" s="24">
        <f t="shared" si="159"/>
        <v>0</v>
      </c>
      <c r="N284" s="173"/>
      <c r="O284" s="24">
        <f>O285+O286</f>
        <v>740716</v>
      </c>
      <c r="P284" s="24">
        <f t="shared" si="160"/>
        <v>0</v>
      </c>
      <c r="Q284" s="173"/>
      <c r="R284" s="24">
        <f>R285+R286</f>
        <v>740716</v>
      </c>
      <c r="S284" s="24">
        <f t="shared" si="148"/>
        <v>0</v>
      </c>
      <c r="T284" s="173"/>
      <c r="U284" s="24">
        <f>U285+U286</f>
        <v>744620</v>
      </c>
      <c r="V284" s="24">
        <f t="shared" si="149"/>
        <v>3904</v>
      </c>
      <c r="W284" s="173"/>
      <c r="X284" s="500">
        <f>X285+X286</f>
        <v>430576.26</v>
      </c>
      <c r="Y284" s="224">
        <f t="shared" si="150"/>
        <v>0.57824965754344504</v>
      </c>
      <c r="Z284" s="505"/>
    </row>
    <row r="285" spans="2:26" ht="16.5" customHeight="1" x14ac:dyDescent="0.25">
      <c r="B285" s="58" t="s">
        <v>459</v>
      </c>
      <c r="C285" s="81" t="s">
        <v>401</v>
      </c>
      <c r="D285" s="276" t="s">
        <v>182</v>
      </c>
      <c r="E285" s="330">
        <v>314605.76040000003</v>
      </c>
      <c r="F285" s="330">
        <f>ROUND(E285,0)+41</f>
        <v>314647</v>
      </c>
      <c r="G285" s="11">
        <f t="shared" si="140"/>
        <v>41.239599999971688</v>
      </c>
      <c r="H285" s="127" t="s">
        <v>525</v>
      </c>
      <c r="I285" s="11">
        <f>ROUND(F285,0)-22981</f>
        <v>291666</v>
      </c>
      <c r="J285" s="11">
        <f t="shared" si="158"/>
        <v>-22981</v>
      </c>
      <c r="K285" s="127"/>
      <c r="L285" s="11">
        <f t="shared" ref="L285:L292" si="161">ROUND(I285,0)</f>
        <v>291666</v>
      </c>
      <c r="M285" s="11">
        <f t="shared" si="159"/>
        <v>0</v>
      </c>
      <c r="N285" s="127"/>
      <c r="O285" s="11">
        <f t="shared" ref="O285:O291" si="162">ROUND(L285,0)</f>
        <v>291666</v>
      </c>
      <c r="P285" s="11">
        <f t="shared" si="160"/>
        <v>0</v>
      </c>
      <c r="Q285" s="127"/>
      <c r="R285" s="11">
        <f t="shared" ref="R285:R291" si="163">ROUND(O285,0)</f>
        <v>291666</v>
      </c>
      <c r="S285" s="11">
        <f t="shared" si="148"/>
        <v>0</v>
      </c>
      <c r="T285" s="127"/>
      <c r="U285" s="11">
        <f>ROUND(R285,0)+3904</f>
        <v>295570</v>
      </c>
      <c r="V285" s="11">
        <f t="shared" si="149"/>
        <v>3904</v>
      </c>
      <c r="W285" s="127" t="s">
        <v>905</v>
      </c>
      <c r="X285" s="456">
        <v>187539.27</v>
      </c>
      <c r="Y285" s="201">
        <f t="shared" si="150"/>
        <v>0.63450035524579618</v>
      </c>
      <c r="Z285" s="486"/>
    </row>
    <row r="286" spans="2:26" ht="16.5" customHeight="1" x14ac:dyDescent="0.25">
      <c r="B286" s="58" t="s">
        <v>220</v>
      </c>
      <c r="C286" s="81" t="s">
        <v>402</v>
      </c>
      <c r="D286" s="276" t="s">
        <v>223</v>
      </c>
      <c r="E286" s="330">
        <v>391971.94149168005</v>
      </c>
      <c r="F286" s="330">
        <f t="shared" ref="F286:F291" si="164">ROUND(E286,0)</f>
        <v>391972</v>
      </c>
      <c r="G286" s="11">
        <f t="shared" si="140"/>
        <v>5.8508319954853505E-2</v>
      </c>
      <c r="H286" s="374"/>
      <c r="I286" s="11">
        <f>ROUND(F286,0)+57078</f>
        <v>449050</v>
      </c>
      <c r="J286" s="11">
        <f t="shared" si="158"/>
        <v>57078</v>
      </c>
      <c r="K286" s="135"/>
      <c r="L286" s="11">
        <f t="shared" si="161"/>
        <v>449050</v>
      </c>
      <c r="M286" s="11">
        <f t="shared" si="159"/>
        <v>0</v>
      </c>
      <c r="N286" s="135"/>
      <c r="O286" s="11">
        <f t="shared" si="162"/>
        <v>449050</v>
      </c>
      <c r="P286" s="11">
        <f t="shared" si="160"/>
        <v>0</v>
      </c>
      <c r="Q286" s="135"/>
      <c r="R286" s="11">
        <f t="shared" si="163"/>
        <v>449050</v>
      </c>
      <c r="S286" s="11">
        <f t="shared" si="148"/>
        <v>0</v>
      </c>
      <c r="T286" s="135"/>
      <c r="U286" s="11">
        <f t="shared" ref="U286:U291" si="165">ROUND(R286,0)</f>
        <v>449050</v>
      </c>
      <c r="V286" s="11">
        <f t="shared" si="149"/>
        <v>0</v>
      </c>
      <c r="W286" s="135"/>
      <c r="X286" s="456">
        <v>243036.99</v>
      </c>
      <c r="Y286" s="201">
        <f t="shared" si="150"/>
        <v>0.54122478565861265</v>
      </c>
      <c r="Z286" s="502"/>
    </row>
    <row r="287" spans="2:26" ht="19.899999999999999" customHeight="1" x14ac:dyDescent="0.25">
      <c r="B287" s="58" t="s">
        <v>230</v>
      </c>
      <c r="C287" s="87" t="s">
        <v>403</v>
      </c>
      <c r="D287" s="300" t="s">
        <v>638</v>
      </c>
      <c r="E287" s="36">
        <v>482391.24160460004</v>
      </c>
      <c r="F287" s="36">
        <f t="shared" si="164"/>
        <v>482391</v>
      </c>
      <c r="G287" s="18">
        <f t="shared" si="140"/>
        <v>-0.2416046000435017</v>
      </c>
      <c r="H287" s="381"/>
      <c r="I287" s="18">
        <f t="shared" ref="I287:I292" si="166">ROUND(F287,0)</f>
        <v>482391</v>
      </c>
      <c r="J287" s="18">
        <f t="shared" si="158"/>
        <v>0</v>
      </c>
      <c r="K287" s="145"/>
      <c r="L287" s="18">
        <f t="shared" si="161"/>
        <v>482391</v>
      </c>
      <c r="M287" s="18">
        <f t="shared" si="159"/>
        <v>0</v>
      </c>
      <c r="N287" s="145"/>
      <c r="O287" s="18">
        <f>ROUND(L287,0)</f>
        <v>482391</v>
      </c>
      <c r="P287" s="18">
        <f t="shared" si="160"/>
        <v>0</v>
      </c>
      <c r="Q287" s="145"/>
      <c r="R287" s="18">
        <f t="shared" si="163"/>
        <v>482391</v>
      </c>
      <c r="S287" s="18">
        <f t="shared" si="148"/>
        <v>0</v>
      </c>
      <c r="T287" s="145"/>
      <c r="U287" s="18">
        <f t="shared" si="165"/>
        <v>482391</v>
      </c>
      <c r="V287" s="18">
        <f t="shared" si="149"/>
        <v>0</v>
      </c>
      <c r="W287" s="145"/>
      <c r="X287" s="492">
        <f>265682.29+61276.3</f>
        <v>326958.58999999997</v>
      </c>
      <c r="Y287" s="212">
        <f t="shared" si="150"/>
        <v>0.67778750018138811</v>
      </c>
      <c r="Z287" s="492" t="s">
        <v>610</v>
      </c>
    </row>
    <row r="288" spans="2:26" ht="18" customHeight="1" x14ac:dyDescent="0.25">
      <c r="B288" s="58"/>
      <c r="C288" s="87" t="s">
        <v>404</v>
      </c>
      <c r="D288" s="300" t="s">
        <v>637</v>
      </c>
      <c r="E288" s="357">
        <v>3000</v>
      </c>
      <c r="F288" s="36">
        <f t="shared" si="164"/>
        <v>3000</v>
      </c>
      <c r="G288" s="18">
        <f t="shared" si="140"/>
        <v>0</v>
      </c>
      <c r="H288" s="415"/>
      <c r="I288" s="18">
        <f t="shared" si="166"/>
        <v>3000</v>
      </c>
      <c r="J288" s="93">
        <f t="shared" si="158"/>
        <v>0</v>
      </c>
      <c r="K288" s="184"/>
      <c r="L288" s="18">
        <f t="shared" si="161"/>
        <v>3000</v>
      </c>
      <c r="M288" s="93">
        <f t="shared" si="159"/>
        <v>0</v>
      </c>
      <c r="N288" s="184"/>
      <c r="O288" s="18">
        <f t="shared" si="162"/>
        <v>3000</v>
      </c>
      <c r="P288" s="93">
        <f t="shared" si="160"/>
        <v>0</v>
      </c>
      <c r="Q288" s="184"/>
      <c r="R288" s="18">
        <f t="shared" si="163"/>
        <v>3000</v>
      </c>
      <c r="S288" s="93">
        <f t="shared" si="148"/>
        <v>0</v>
      </c>
      <c r="T288" s="184"/>
      <c r="U288" s="18">
        <f t="shared" si="165"/>
        <v>3000</v>
      </c>
      <c r="V288" s="93">
        <f t="shared" si="149"/>
        <v>0</v>
      </c>
      <c r="W288" s="184"/>
      <c r="X288" s="492">
        <v>0</v>
      </c>
      <c r="Y288" s="230">
        <f t="shared" si="150"/>
        <v>0</v>
      </c>
      <c r="Z288" s="497"/>
    </row>
    <row r="289" spans="2:27" ht="31.9" customHeight="1" x14ac:dyDescent="0.25">
      <c r="B289" s="58" t="s">
        <v>330</v>
      </c>
      <c r="C289" s="87" t="s">
        <v>405</v>
      </c>
      <c r="D289" s="300" t="s">
        <v>666</v>
      </c>
      <c r="E289" s="36">
        <v>17962</v>
      </c>
      <c r="F289" s="36">
        <f>ROUND(E289,0)-1841</f>
        <v>16121</v>
      </c>
      <c r="G289" s="167">
        <f t="shared" si="140"/>
        <v>-1841</v>
      </c>
      <c r="H289" s="168" t="s">
        <v>525</v>
      </c>
      <c r="I289" s="18">
        <f t="shared" si="166"/>
        <v>16121</v>
      </c>
      <c r="J289" s="167">
        <f t="shared" si="158"/>
        <v>0</v>
      </c>
      <c r="K289" s="168"/>
      <c r="L289" s="18">
        <f t="shared" si="161"/>
        <v>16121</v>
      </c>
      <c r="M289" s="167">
        <f t="shared" si="159"/>
        <v>0</v>
      </c>
      <c r="N289" s="168"/>
      <c r="O289" s="18">
        <f t="shared" si="162"/>
        <v>16121</v>
      </c>
      <c r="P289" s="167">
        <f t="shared" si="160"/>
        <v>0</v>
      </c>
      <c r="Q289" s="168"/>
      <c r="R289" s="18">
        <f t="shared" si="163"/>
        <v>16121</v>
      </c>
      <c r="S289" s="167">
        <f t="shared" si="148"/>
        <v>0</v>
      </c>
      <c r="T289" s="168"/>
      <c r="U289" s="18">
        <f t="shared" si="165"/>
        <v>16121</v>
      </c>
      <c r="V289" s="167">
        <f t="shared" si="149"/>
        <v>0</v>
      </c>
      <c r="W289" s="168"/>
      <c r="X289" s="492">
        <v>0</v>
      </c>
      <c r="Y289" s="212">
        <f t="shared" si="150"/>
        <v>0</v>
      </c>
      <c r="Z289" s="492" t="s">
        <v>776</v>
      </c>
    </row>
    <row r="290" spans="2:27" ht="27" customHeight="1" x14ac:dyDescent="0.25">
      <c r="B290" s="58" t="s">
        <v>329</v>
      </c>
      <c r="C290" s="87" t="s">
        <v>406</v>
      </c>
      <c r="D290" s="300" t="s">
        <v>295</v>
      </c>
      <c r="E290" s="36">
        <v>1049</v>
      </c>
      <c r="F290" s="36">
        <f t="shared" si="164"/>
        <v>1049</v>
      </c>
      <c r="G290" s="167">
        <f t="shared" si="140"/>
        <v>0</v>
      </c>
      <c r="H290" s="397"/>
      <c r="I290" s="18">
        <f t="shared" si="166"/>
        <v>1049</v>
      </c>
      <c r="J290" s="167">
        <f t="shared" si="158"/>
        <v>0</v>
      </c>
      <c r="K290" s="168"/>
      <c r="L290" s="18">
        <f t="shared" si="161"/>
        <v>1049</v>
      </c>
      <c r="M290" s="167">
        <f t="shared" si="159"/>
        <v>0</v>
      </c>
      <c r="N290" s="168"/>
      <c r="O290" s="18">
        <f t="shared" si="162"/>
        <v>1049</v>
      </c>
      <c r="P290" s="167">
        <f t="shared" si="160"/>
        <v>0</v>
      </c>
      <c r="Q290" s="168"/>
      <c r="R290" s="18">
        <f t="shared" si="163"/>
        <v>1049</v>
      </c>
      <c r="S290" s="167">
        <f t="shared" si="148"/>
        <v>0</v>
      </c>
      <c r="T290" s="168"/>
      <c r="U290" s="18">
        <f t="shared" si="165"/>
        <v>1049</v>
      </c>
      <c r="V290" s="167">
        <f t="shared" si="149"/>
        <v>0</v>
      </c>
      <c r="W290" s="168"/>
      <c r="X290" s="492">
        <v>0</v>
      </c>
      <c r="Y290" s="212">
        <f t="shared" si="150"/>
        <v>0</v>
      </c>
      <c r="Z290" s="492" t="s">
        <v>776</v>
      </c>
    </row>
    <row r="291" spans="2:27" ht="57.6" customHeight="1" x14ac:dyDescent="0.25">
      <c r="B291" s="58" t="s">
        <v>458</v>
      </c>
      <c r="C291" s="87" t="s">
        <v>407</v>
      </c>
      <c r="D291" s="312" t="s">
        <v>493</v>
      </c>
      <c r="E291" s="36">
        <v>765</v>
      </c>
      <c r="F291" s="36">
        <f t="shared" si="164"/>
        <v>765</v>
      </c>
      <c r="G291" s="93">
        <f t="shared" si="140"/>
        <v>0</v>
      </c>
      <c r="H291" s="415"/>
      <c r="I291" s="18">
        <f t="shared" si="166"/>
        <v>765</v>
      </c>
      <c r="J291" s="93">
        <f t="shared" si="158"/>
        <v>0</v>
      </c>
      <c r="K291" s="184"/>
      <c r="L291" s="18">
        <f t="shared" si="161"/>
        <v>765</v>
      </c>
      <c r="M291" s="93">
        <f t="shared" si="159"/>
        <v>0</v>
      </c>
      <c r="N291" s="184"/>
      <c r="O291" s="18">
        <f t="shared" si="162"/>
        <v>765</v>
      </c>
      <c r="P291" s="93">
        <f t="shared" si="160"/>
        <v>0</v>
      </c>
      <c r="Q291" s="184"/>
      <c r="R291" s="18">
        <f t="shared" si="163"/>
        <v>765</v>
      </c>
      <c r="S291" s="93">
        <f t="shared" si="148"/>
        <v>0</v>
      </c>
      <c r="T291" s="184"/>
      <c r="U291" s="18">
        <f t="shared" si="165"/>
        <v>765</v>
      </c>
      <c r="V291" s="93">
        <f t="shared" si="149"/>
        <v>0</v>
      </c>
      <c r="W291" s="184"/>
      <c r="X291" s="492">
        <v>0</v>
      </c>
      <c r="Y291" s="212">
        <f t="shared" si="150"/>
        <v>0</v>
      </c>
      <c r="Z291" s="492" t="s">
        <v>776</v>
      </c>
    </row>
    <row r="292" spans="2:27" ht="30.6" customHeight="1" x14ac:dyDescent="0.25">
      <c r="B292" s="58" t="s">
        <v>719</v>
      </c>
      <c r="C292" s="84" t="s">
        <v>408</v>
      </c>
      <c r="D292" s="300" t="s">
        <v>718</v>
      </c>
      <c r="E292" s="359">
        <v>637343</v>
      </c>
      <c r="F292" s="36">
        <f>ROUND(E292,0)</f>
        <v>637343</v>
      </c>
      <c r="G292" s="93">
        <f>F292-E292</f>
        <v>0</v>
      </c>
      <c r="H292" s="416"/>
      <c r="I292" s="18">
        <f t="shared" si="166"/>
        <v>637343</v>
      </c>
      <c r="J292" s="93">
        <f>I292-F292</f>
        <v>0</v>
      </c>
      <c r="K292" s="298"/>
      <c r="L292" s="18">
        <f t="shared" si="161"/>
        <v>637343</v>
      </c>
      <c r="M292" s="93">
        <f t="shared" si="159"/>
        <v>0</v>
      </c>
      <c r="N292" s="298"/>
      <c r="O292" s="18">
        <f>ROUND(L292,0)</f>
        <v>637343</v>
      </c>
      <c r="P292" s="93">
        <f>O292-L292</f>
        <v>0</v>
      </c>
      <c r="Q292" s="298"/>
      <c r="R292" s="18">
        <f>ROUND(O292,0)</f>
        <v>637343</v>
      </c>
      <c r="S292" s="93">
        <f t="shared" si="148"/>
        <v>0</v>
      </c>
      <c r="T292" s="298"/>
      <c r="U292" s="18">
        <f>ROUND(R292,0)</f>
        <v>637343</v>
      </c>
      <c r="V292" s="93">
        <f t="shared" si="149"/>
        <v>0</v>
      </c>
      <c r="W292" s="298"/>
      <c r="X292" s="492">
        <v>49368</v>
      </c>
      <c r="Y292" s="299">
        <f t="shared" si="150"/>
        <v>7.7459076196020035E-2</v>
      </c>
      <c r="Z292" s="492" t="s">
        <v>851</v>
      </c>
    </row>
    <row r="293" spans="2:27" ht="27" customHeight="1" x14ac:dyDescent="0.25">
      <c r="C293" s="84" t="s">
        <v>661</v>
      </c>
      <c r="D293" s="300" t="s">
        <v>244</v>
      </c>
      <c r="E293" s="338">
        <v>15746</v>
      </c>
      <c r="F293" s="338">
        <f>F294+F295</f>
        <v>16496</v>
      </c>
      <c r="G293" s="18">
        <f t="shared" si="140"/>
        <v>750</v>
      </c>
      <c r="H293" s="417"/>
      <c r="I293" s="49">
        <f>I294+I295</f>
        <v>16496</v>
      </c>
      <c r="J293" s="18">
        <f t="shared" si="158"/>
        <v>0</v>
      </c>
      <c r="K293" s="185"/>
      <c r="L293" s="49">
        <f>L294+L295</f>
        <v>16496</v>
      </c>
      <c r="M293" s="18">
        <f t="shared" si="159"/>
        <v>0</v>
      </c>
      <c r="N293" s="185"/>
      <c r="O293" s="49">
        <f>O294+O295</f>
        <v>16496</v>
      </c>
      <c r="P293" s="18">
        <f t="shared" si="160"/>
        <v>0</v>
      </c>
      <c r="Q293" s="185"/>
      <c r="R293" s="49">
        <f>R294+R295</f>
        <v>16496</v>
      </c>
      <c r="S293" s="18">
        <f t="shared" si="148"/>
        <v>0</v>
      </c>
      <c r="T293" s="185"/>
      <c r="U293" s="49">
        <f>U294+U295</f>
        <v>16496</v>
      </c>
      <c r="V293" s="18">
        <f t="shared" si="149"/>
        <v>0</v>
      </c>
      <c r="W293" s="185"/>
      <c r="X293" s="528">
        <f>X294+X295</f>
        <v>0</v>
      </c>
      <c r="Y293" s="229">
        <f t="shared" si="150"/>
        <v>0</v>
      </c>
      <c r="Z293" s="512"/>
    </row>
    <row r="294" spans="2:27" ht="14.45" customHeight="1" x14ac:dyDescent="0.25">
      <c r="B294" s="58" t="s">
        <v>246</v>
      </c>
      <c r="C294" s="25" t="s">
        <v>662</v>
      </c>
      <c r="D294" s="22" t="s">
        <v>315</v>
      </c>
      <c r="E294" s="337">
        <v>15746</v>
      </c>
      <c r="F294" s="337">
        <f>ROUND(E294,0)+750</f>
        <v>16496</v>
      </c>
      <c r="G294" s="52">
        <f t="shared" si="140"/>
        <v>750</v>
      </c>
      <c r="H294" s="144" t="s">
        <v>525</v>
      </c>
      <c r="I294" s="52">
        <f>ROUND(F294,0)</f>
        <v>16496</v>
      </c>
      <c r="J294" s="52">
        <f t="shared" si="158"/>
        <v>0</v>
      </c>
      <c r="K294" s="144"/>
      <c r="L294" s="52">
        <f>ROUND(I294,0)</f>
        <v>16496</v>
      </c>
      <c r="M294" s="52">
        <f t="shared" si="159"/>
        <v>0</v>
      </c>
      <c r="N294" s="144"/>
      <c r="O294" s="52">
        <f>ROUND(L294,0)</f>
        <v>16496</v>
      </c>
      <c r="P294" s="52">
        <f t="shared" si="160"/>
        <v>0</v>
      </c>
      <c r="Q294" s="144"/>
      <c r="R294" s="52">
        <f>ROUND(O294,0)</f>
        <v>16496</v>
      </c>
      <c r="S294" s="52">
        <f t="shared" si="148"/>
        <v>0</v>
      </c>
      <c r="T294" s="144"/>
      <c r="U294" s="52">
        <f>ROUND(R294,0)</f>
        <v>16496</v>
      </c>
      <c r="V294" s="52">
        <f t="shared" si="149"/>
        <v>0</v>
      </c>
      <c r="W294" s="144"/>
      <c r="X294" s="456">
        <v>0</v>
      </c>
      <c r="Y294" s="206">
        <f t="shared" si="150"/>
        <v>0</v>
      </c>
      <c r="Z294" s="268"/>
    </row>
    <row r="295" spans="2:27" s="4" customFormat="1" ht="15" customHeight="1" x14ac:dyDescent="0.25">
      <c r="B295" s="58" t="s">
        <v>320</v>
      </c>
      <c r="C295" s="25" t="s">
        <v>663</v>
      </c>
      <c r="D295" s="22" t="s">
        <v>290</v>
      </c>
      <c r="E295" s="337">
        <v>0</v>
      </c>
      <c r="F295" s="337">
        <f>ROUND(E295,0)</f>
        <v>0</v>
      </c>
      <c r="G295" s="52">
        <f t="shared" si="140"/>
        <v>0</v>
      </c>
      <c r="H295" s="380"/>
      <c r="I295" s="52">
        <f>ROUND(F295,0)</f>
        <v>0</v>
      </c>
      <c r="J295" s="52">
        <f t="shared" si="158"/>
        <v>0</v>
      </c>
      <c r="K295" s="144"/>
      <c r="L295" s="52">
        <f>ROUND(I295,0)</f>
        <v>0</v>
      </c>
      <c r="M295" s="52">
        <f t="shared" si="159"/>
        <v>0</v>
      </c>
      <c r="N295" s="144"/>
      <c r="O295" s="52">
        <f>ROUND(L295,0)</f>
        <v>0</v>
      </c>
      <c r="P295" s="52">
        <f t="shared" si="160"/>
        <v>0</v>
      </c>
      <c r="Q295" s="144"/>
      <c r="R295" s="52">
        <f>ROUND(O295,0)</f>
        <v>0</v>
      </c>
      <c r="S295" s="52">
        <f t="shared" si="148"/>
        <v>0</v>
      </c>
      <c r="T295" s="144"/>
      <c r="U295" s="52">
        <f>ROUND(R295,0)</f>
        <v>0</v>
      </c>
      <c r="V295" s="52">
        <f t="shared" si="149"/>
        <v>0</v>
      </c>
      <c r="W295" s="144"/>
      <c r="X295" s="456">
        <v>0</v>
      </c>
      <c r="Y295" s="206" t="e">
        <f t="shared" si="150"/>
        <v>#DIV/0!</v>
      </c>
      <c r="Z295" s="268"/>
    </row>
    <row r="296" spans="2:27" s="4" customFormat="1" ht="17.45" customHeight="1" outlineLevel="1" x14ac:dyDescent="0.2">
      <c r="C296" s="80" t="s">
        <v>492</v>
      </c>
      <c r="D296" s="290" t="s">
        <v>197</v>
      </c>
      <c r="E296" s="329">
        <v>0</v>
      </c>
      <c r="F296" s="329">
        <f>SUM(F297:F298)</f>
        <v>0</v>
      </c>
      <c r="G296" s="13">
        <f t="shared" si="140"/>
        <v>0</v>
      </c>
      <c r="H296" s="368"/>
      <c r="I296" s="13">
        <f>SUM(I297:I298)</f>
        <v>0</v>
      </c>
      <c r="J296" s="13">
        <f t="shared" si="158"/>
        <v>0</v>
      </c>
      <c r="K296" s="129"/>
      <c r="L296" s="13">
        <f>SUM(L297:L298)</f>
        <v>0</v>
      </c>
      <c r="M296" s="13">
        <f t="shared" si="159"/>
        <v>0</v>
      </c>
      <c r="N296" s="129"/>
      <c r="O296" s="13">
        <f>SUM(O297:O298)</f>
        <v>0</v>
      </c>
      <c r="P296" s="13">
        <f t="shared" si="160"/>
        <v>0</v>
      </c>
      <c r="Q296" s="129"/>
      <c r="R296" s="13">
        <f>SUM(R297:R298)</f>
        <v>0</v>
      </c>
      <c r="S296" s="13">
        <f t="shared" si="148"/>
        <v>0</v>
      </c>
      <c r="T296" s="129"/>
      <c r="U296" s="13">
        <f>SUM(U297:U298)</f>
        <v>0</v>
      </c>
      <c r="V296" s="13">
        <f t="shared" si="149"/>
        <v>0</v>
      </c>
      <c r="W296" s="129"/>
      <c r="X296" s="499">
        <f>SUM(X297:X298)</f>
        <v>0</v>
      </c>
      <c r="Y296" s="200" t="e">
        <f t="shared" si="150"/>
        <v>#DIV/0!</v>
      </c>
      <c r="Z296" s="263"/>
    </row>
    <row r="297" spans="2:27" ht="17.25" customHeight="1" outlineLevel="1" x14ac:dyDescent="0.25">
      <c r="C297" s="79" t="s">
        <v>89</v>
      </c>
      <c r="D297" s="280" t="s">
        <v>198</v>
      </c>
      <c r="E297" s="36"/>
      <c r="F297" s="36"/>
      <c r="G297" s="18">
        <f t="shared" si="140"/>
        <v>0</v>
      </c>
      <c r="H297" s="381"/>
      <c r="I297" s="18"/>
      <c r="J297" s="18">
        <f t="shared" si="158"/>
        <v>0</v>
      </c>
      <c r="K297" s="145"/>
      <c r="L297" s="18"/>
      <c r="M297" s="18">
        <f t="shared" si="159"/>
        <v>0</v>
      </c>
      <c r="N297" s="145"/>
      <c r="O297" s="18">
        <f>ROUND(L297,0)</f>
        <v>0</v>
      </c>
      <c r="P297" s="18">
        <f t="shared" si="160"/>
        <v>0</v>
      </c>
      <c r="Q297" s="145"/>
      <c r="R297" s="18">
        <f>ROUND(O297,0)</f>
        <v>0</v>
      </c>
      <c r="S297" s="18">
        <f t="shared" si="148"/>
        <v>0</v>
      </c>
      <c r="T297" s="145"/>
      <c r="U297" s="18">
        <f>ROUND(R297,0)</f>
        <v>0</v>
      </c>
      <c r="V297" s="18">
        <f t="shared" si="149"/>
        <v>0</v>
      </c>
      <c r="W297" s="145"/>
      <c r="X297" s="497"/>
      <c r="Y297" s="212" t="e">
        <f t="shared" si="150"/>
        <v>#DIV/0!</v>
      </c>
      <c r="Z297" s="264"/>
    </row>
    <row r="298" spans="2:27" ht="15.75" outlineLevel="1" thickBot="1" x14ac:dyDescent="0.3">
      <c r="C298" s="79" t="s">
        <v>92</v>
      </c>
      <c r="D298" s="280" t="s">
        <v>199</v>
      </c>
      <c r="E298" s="36"/>
      <c r="F298" s="36"/>
      <c r="G298" s="18">
        <f t="shared" si="140"/>
        <v>0</v>
      </c>
      <c r="H298" s="381"/>
      <c r="I298" s="18"/>
      <c r="J298" s="18">
        <f t="shared" si="158"/>
        <v>0</v>
      </c>
      <c r="K298" s="145"/>
      <c r="L298" s="18"/>
      <c r="M298" s="18">
        <f t="shared" si="159"/>
        <v>0</v>
      </c>
      <c r="N298" s="145"/>
      <c r="O298" s="18">
        <f>ROUND(L298,0)</f>
        <v>0</v>
      </c>
      <c r="P298" s="18">
        <f t="shared" si="160"/>
        <v>0</v>
      </c>
      <c r="Q298" s="145"/>
      <c r="R298" s="18">
        <f>ROUND(O298,0)</f>
        <v>0</v>
      </c>
      <c r="S298" s="18">
        <f t="shared" si="148"/>
        <v>0</v>
      </c>
      <c r="T298" s="145"/>
      <c r="U298" s="18">
        <f>ROUND(R298,0)</f>
        <v>0</v>
      </c>
      <c r="V298" s="18">
        <f t="shared" si="149"/>
        <v>0</v>
      </c>
      <c r="W298" s="145"/>
      <c r="X298" s="497"/>
      <c r="Y298" s="212" t="e">
        <f t="shared" si="150"/>
        <v>#DIV/0!</v>
      </c>
      <c r="Z298" s="264"/>
    </row>
    <row r="299" spans="2:27" s="4" customFormat="1" ht="30" customHeight="1" thickBot="1" x14ac:dyDescent="0.25">
      <c r="C299" s="28"/>
      <c r="D299" s="323" t="s">
        <v>200</v>
      </c>
      <c r="E299" s="360">
        <v>58317822.384578399</v>
      </c>
      <c r="F299" s="360">
        <f t="shared" ref="F299:I299" si="167">F130+F140+F142+F143+F148+F150+F192+F207+F229+F296</f>
        <v>59128575</v>
      </c>
      <c r="G299" s="360">
        <f t="shared" si="167"/>
        <v>810752.62895110343</v>
      </c>
      <c r="H299" s="360" t="e">
        <f t="shared" si="167"/>
        <v>#VALUE!</v>
      </c>
      <c r="I299" s="360">
        <f t="shared" si="167"/>
        <v>59750919</v>
      </c>
      <c r="J299" s="29">
        <f t="shared" si="158"/>
        <v>622344</v>
      </c>
      <c r="K299" s="186"/>
      <c r="L299" s="29">
        <f>L130+L140+L142+L143+L148+L150+L192+L207+L229+L296</f>
        <v>59826407</v>
      </c>
      <c r="M299" s="29">
        <f t="shared" si="159"/>
        <v>75488</v>
      </c>
      <c r="N299" s="186"/>
      <c r="O299" s="29">
        <f>O130+O140+O142+O143+O148+O150+O192+O207+O229+O296</f>
        <v>60556119</v>
      </c>
      <c r="P299" s="29">
        <f t="shared" si="160"/>
        <v>729712</v>
      </c>
      <c r="Q299" s="186"/>
      <c r="R299" s="29">
        <f>R130+R140+R142+R143+R148+R150+R192+R207+R229+R296</f>
        <v>61061627</v>
      </c>
      <c r="S299" s="29">
        <f t="shared" si="148"/>
        <v>505508</v>
      </c>
      <c r="T299" s="186"/>
      <c r="U299" s="29">
        <f>U130+U140+U142+U143+U148+U150+U192+U207+U229+U296</f>
        <v>61240003</v>
      </c>
      <c r="V299" s="29">
        <f t="shared" si="149"/>
        <v>178376</v>
      </c>
      <c r="W299" s="186"/>
      <c r="X299" s="29">
        <f>X130+X140+X142+X143+X148+X150+X192+X207+X229+X296+0.5</f>
        <v>38001513.500999995</v>
      </c>
      <c r="Y299" s="473">
        <f t="shared" si="150"/>
        <v>0.62053415479094598</v>
      </c>
      <c r="Z299" s="418"/>
      <c r="AA299" s="33"/>
    </row>
    <row r="300" spans="2:27" s="10" customFormat="1" ht="76.150000000000006" customHeight="1" thickBot="1" x14ac:dyDescent="0.3">
      <c r="C300" s="80" t="s">
        <v>107</v>
      </c>
      <c r="D300" s="290" t="s">
        <v>201</v>
      </c>
      <c r="E300" s="329">
        <v>3486155</v>
      </c>
      <c r="F300" s="329">
        <f>ROUND(E300,0)+37335+(133641+67)</f>
        <v>3657198</v>
      </c>
      <c r="G300" s="13">
        <f t="shared" si="140"/>
        <v>171043</v>
      </c>
      <c r="H300" s="441" t="s">
        <v>716</v>
      </c>
      <c r="I300" s="13">
        <f>ROUND(F300,0)</f>
        <v>3657198</v>
      </c>
      <c r="J300" s="13">
        <f t="shared" si="158"/>
        <v>0</v>
      </c>
      <c r="K300" s="134"/>
      <c r="L300" s="13">
        <f>ROUND(I300,0)</f>
        <v>3657198</v>
      </c>
      <c r="M300" s="13">
        <f t="shared" si="159"/>
        <v>0</v>
      </c>
      <c r="N300" s="134"/>
      <c r="O300" s="13">
        <f>ROUND(L300,0)</f>
        <v>3657198</v>
      </c>
      <c r="P300" s="13">
        <f t="shared" si="160"/>
        <v>0</v>
      </c>
      <c r="Q300" s="134"/>
      <c r="R300" s="13">
        <f>ROUND(O300,0)</f>
        <v>3657198</v>
      </c>
      <c r="S300" s="13">
        <f t="shared" si="148"/>
        <v>0</v>
      </c>
      <c r="T300" s="134"/>
      <c r="U300" s="13">
        <f>ROUND(R300,0)</f>
        <v>3657198</v>
      </c>
      <c r="V300" s="13">
        <f t="shared" si="149"/>
        <v>0</v>
      </c>
      <c r="W300" s="134"/>
      <c r="X300" s="13">
        <v>2792855.71</v>
      </c>
      <c r="Y300" s="200">
        <f t="shared" si="150"/>
        <v>0.76365996864266028</v>
      </c>
      <c r="Z300" s="263"/>
    </row>
    <row r="301" spans="2:27" ht="15.75" thickBot="1" x14ac:dyDescent="0.3">
      <c r="C301" s="28"/>
      <c r="D301" s="323" t="s">
        <v>202</v>
      </c>
      <c r="E301" s="451">
        <v>61803977.384578399</v>
      </c>
      <c r="F301" s="451">
        <f>F299+F300</f>
        <v>62785773</v>
      </c>
      <c r="G301" s="30">
        <f t="shared" si="140"/>
        <v>981795.61542160064</v>
      </c>
      <c r="H301" s="187"/>
      <c r="I301" s="30">
        <f>I299+I300</f>
        <v>63408117</v>
      </c>
      <c r="J301" s="30">
        <f t="shared" si="158"/>
        <v>622344</v>
      </c>
      <c r="K301" s="187"/>
      <c r="L301" s="30">
        <f>L299+L300</f>
        <v>63483605</v>
      </c>
      <c r="M301" s="30">
        <f t="shared" si="159"/>
        <v>75488</v>
      </c>
      <c r="N301" s="187"/>
      <c r="O301" s="30">
        <f>O299+O300</f>
        <v>64213317</v>
      </c>
      <c r="P301" s="30">
        <f t="shared" si="160"/>
        <v>729712</v>
      </c>
      <c r="Q301" s="187"/>
      <c r="R301" s="30">
        <f>R299+R300</f>
        <v>64718825</v>
      </c>
      <c r="S301" s="30">
        <f t="shared" si="148"/>
        <v>505508</v>
      </c>
      <c r="T301" s="187"/>
      <c r="U301" s="30">
        <f>U299+U300</f>
        <v>64897201</v>
      </c>
      <c r="V301" s="30">
        <f t="shared" si="149"/>
        <v>178376</v>
      </c>
      <c r="W301" s="187"/>
      <c r="X301" s="30">
        <f>X299+X300</f>
        <v>40794369.210999995</v>
      </c>
      <c r="Y301" s="233">
        <f t="shared" si="150"/>
        <v>0.62859982529909098</v>
      </c>
      <c r="Z301" s="419"/>
    </row>
    <row r="302" spans="2:27" ht="16.5" thickTop="1" thickBot="1" x14ac:dyDescent="0.3">
      <c r="C302" s="31" t="s">
        <v>203</v>
      </c>
      <c r="D302" s="324" t="s">
        <v>204</v>
      </c>
      <c r="E302" s="361">
        <v>0.25542160123586655</v>
      </c>
      <c r="F302" s="361">
        <f>F124-F301-0.2</f>
        <v>80542.8</v>
      </c>
      <c r="G302" s="32">
        <f t="shared" si="140"/>
        <v>80542.544578398767</v>
      </c>
      <c r="H302" s="188"/>
      <c r="I302" s="32">
        <f>I124-I301-0.2</f>
        <v>50316.800000000003</v>
      </c>
      <c r="J302" s="32">
        <f t="shared" si="158"/>
        <v>-30226</v>
      </c>
      <c r="K302" s="188"/>
      <c r="L302" s="32">
        <f>L124-L301-0.2</f>
        <v>58013.8</v>
      </c>
      <c r="M302" s="32">
        <f t="shared" si="159"/>
        <v>7697</v>
      </c>
      <c r="N302" s="188"/>
      <c r="O302" s="32">
        <f>O124-O301-0.2</f>
        <v>58013.8</v>
      </c>
      <c r="P302" s="32">
        <f t="shared" si="160"/>
        <v>0</v>
      </c>
      <c r="Q302" s="188"/>
      <c r="R302" s="32">
        <f>R124-R301-0.2</f>
        <v>38078.800000000003</v>
      </c>
      <c r="S302" s="32">
        <f t="shared" si="148"/>
        <v>-19935</v>
      </c>
      <c r="T302" s="188"/>
      <c r="U302" s="32">
        <f>U124-U301-0.2</f>
        <v>57059.8</v>
      </c>
      <c r="V302" s="32">
        <f t="shared" si="149"/>
        <v>18981</v>
      </c>
      <c r="W302" s="188"/>
      <c r="X302" s="32">
        <f>X124-X301-0.2</f>
        <v>9224625.4190000109</v>
      </c>
      <c r="Y302" s="234">
        <f t="shared" si="150"/>
        <v>161.66592625631372</v>
      </c>
      <c r="Z302" s="420"/>
    </row>
  </sheetData>
  <mergeCells count="15">
    <mergeCell ref="W233:W234"/>
    <mergeCell ref="T268:T269"/>
    <mergeCell ref="C127:D127"/>
    <mergeCell ref="C128:D128"/>
    <mergeCell ref="C2:D2"/>
    <mergeCell ref="C3:D3"/>
    <mergeCell ref="H241:H242"/>
    <mergeCell ref="K145:K146"/>
    <mergeCell ref="T196:T197"/>
    <mergeCell ref="Y55:Y56"/>
    <mergeCell ref="Y156:Y157"/>
    <mergeCell ref="X52:X53"/>
    <mergeCell ref="Y52:Y53"/>
    <mergeCell ref="X55:X56"/>
    <mergeCell ref="X156:X157"/>
  </mergeCells>
  <phoneticPr fontId="63" type="noConversion"/>
  <conditionalFormatting sqref="E302:G302">
    <cfRule type="cellIs" dxfId="8" priority="17" operator="lessThan">
      <formula>0</formula>
    </cfRule>
  </conditionalFormatting>
  <conditionalFormatting sqref="I302:J302">
    <cfRule type="cellIs" dxfId="7" priority="5" operator="lessThan">
      <formula>0</formula>
    </cfRule>
  </conditionalFormatting>
  <conditionalFormatting sqref="L302:M302">
    <cfRule type="cellIs" dxfId="6" priority="4" operator="lessThan">
      <formula>0</formula>
    </cfRule>
  </conditionalFormatting>
  <conditionalFormatting sqref="O302:P302">
    <cfRule type="cellIs" dxfId="5" priority="3" operator="lessThan">
      <formula>0</formula>
    </cfRule>
  </conditionalFormatting>
  <conditionalFormatting sqref="R302:S302">
    <cfRule type="cellIs" dxfId="4" priority="2" operator="lessThan">
      <formula>0</formula>
    </cfRule>
  </conditionalFormatting>
  <conditionalFormatting sqref="U302:V302">
    <cfRule type="cellIs" dxfId="3" priority="1" operator="lessThan">
      <formula>0</formula>
    </cfRule>
  </conditionalFormatting>
  <conditionalFormatting sqref="X302:Z302">
    <cfRule type="cellIs" dxfId="2" priority="6" operator="lessThan">
      <formula>0</formula>
    </cfRule>
  </conditionalFormatting>
  <pageMargins left="0.47244094488188981" right="0.47244094488188981" top="0.47244094488188981" bottom="0.47244094488188981" header="0.27559055118110237" footer="0.27559055118110237"/>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EA7-5A2B-4644-8D40-B5EFC535D84E}">
  <sheetPr codeName="Lapa26">
    <tabColor rgb="FFC4EB35"/>
    <pageSetUpPr fitToPage="1"/>
  </sheetPr>
  <dimension ref="A1:R116"/>
  <sheetViews>
    <sheetView tabSelected="1" zoomScale="90" zoomScaleNormal="90" workbookViewId="0">
      <selection activeCell="A4" sqref="A4"/>
    </sheetView>
  </sheetViews>
  <sheetFormatPr defaultColWidth="9" defaultRowHeight="12.75" outlineLevelRow="1" x14ac:dyDescent="0.2"/>
  <cols>
    <col min="1" max="1" width="56.42578125" style="236" customWidth="1"/>
    <col min="2" max="3" width="14.42578125" style="236" customWidth="1"/>
    <col min="4" max="4" width="14.85546875" style="236" customWidth="1"/>
    <col min="5" max="5" width="16.140625" style="236" customWidth="1"/>
    <col min="6" max="6" width="9" style="236"/>
    <col min="7" max="7" width="15.28515625" style="236" customWidth="1"/>
    <col min="8" max="17" width="9" style="236"/>
    <col min="18" max="18" width="12" style="236" customWidth="1"/>
    <col min="19" max="19" width="54.5703125" style="236" customWidth="1"/>
    <col min="20" max="16384" width="9" style="236"/>
  </cols>
  <sheetData>
    <row r="1" spans="1:4" s="237" customFormat="1" x14ac:dyDescent="0.2"/>
    <row r="2" spans="1:4" s="237" customFormat="1" ht="13.5" thickBot="1" x14ac:dyDescent="0.25">
      <c r="B2" s="238" t="s">
        <v>578</v>
      </c>
      <c r="C2" s="239" t="s">
        <v>916</v>
      </c>
      <c r="D2" s="239"/>
    </row>
    <row r="3" spans="1:4" s="237" customFormat="1" x14ac:dyDescent="0.2"/>
    <row r="5" spans="1:4" ht="57.6" customHeight="1" x14ac:dyDescent="0.2">
      <c r="A5" s="240" t="s">
        <v>579</v>
      </c>
      <c r="B5" s="241" t="s">
        <v>895</v>
      </c>
      <c r="C5" s="241" t="str">
        <f>"Izpilde"&amp;" "&amp;$C$2</f>
        <v>Izpilde 2024.g. 3 ceturkšņi</v>
      </c>
      <c r="D5" s="241" t="str">
        <f>"Ieņēmumu izpilde, %,"&amp;" "&amp;$C$2</f>
        <v>Ieņēmumu izpilde, %, 2024.g. 3 ceturkšņi</v>
      </c>
    </row>
    <row r="6" spans="1:4" x14ac:dyDescent="0.2">
      <c r="A6" s="235" t="s">
        <v>580</v>
      </c>
      <c r="B6" s="242">
        <f>SUM(B7,B11:B15,B18:B19)</f>
        <v>53285960</v>
      </c>
      <c r="C6" s="242">
        <f>SUM(C7,C11:C15,C18:C19)</f>
        <v>40193616.840000004</v>
      </c>
      <c r="D6" s="243">
        <f t="shared" ref="D6:D19" si="0">C6/B6</f>
        <v>0.75430032301191541</v>
      </c>
    </row>
    <row r="7" spans="1:4" x14ac:dyDescent="0.2">
      <c r="A7" s="236" t="s">
        <v>581</v>
      </c>
      <c r="B7" s="244">
        <f>'2024.gada budzeta plans_apvieno'!U6</f>
        <v>38539687</v>
      </c>
      <c r="C7" s="244">
        <f>'2024.gada budzeta plans_apvieno'!X6</f>
        <v>29885578</v>
      </c>
      <c r="D7" s="245">
        <f t="shared" si="0"/>
        <v>0.77544942178694909</v>
      </c>
    </row>
    <row r="8" spans="1:4" outlineLevel="1" x14ac:dyDescent="0.2">
      <c r="A8" s="246" t="s">
        <v>582</v>
      </c>
      <c r="B8" s="247">
        <f>'2024.gada budzeta plans_apvieno'!U7</f>
        <v>35296836</v>
      </c>
      <c r="C8" s="247">
        <f>'2024.gada budzeta plans_apvieno'!X7</f>
        <v>26886600.870000001</v>
      </c>
      <c r="D8" s="248">
        <f t="shared" si="0"/>
        <v>0.76172835633199532</v>
      </c>
    </row>
    <row r="9" spans="1:4" outlineLevel="1" x14ac:dyDescent="0.2">
      <c r="A9" s="246" t="s">
        <v>583</v>
      </c>
      <c r="B9" s="247">
        <f>'2024.gada budzeta plans_apvieno'!U9</f>
        <v>3172851</v>
      </c>
      <c r="C9" s="247">
        <f>'2024.gada budzeta plans_apvieno'!X9</f>
        <v>2940814.66</v>
      </c>
      <c r="D9" s="248">
        <f t="shared" si="0"/>
        <v>0.92686818889383715</v>
      </c>
    </row>
    <row r="10" spans="1:4" outlineLevel="1" x14ac:dyDescent="0.2">
      <c r="A10" s="246" t="s">
        <v>584</v>
      </c>
      <c r="B10" s="247">
        <f>'2024.gada budzeta plans_apvieno'!U19</f>
        <v>70000</v>
      </c>
      <c r="C10" s="247">
        <f>'2024.gada budzeta plans_apvieno'!X19</f>
        <v>58162.9</v>
      </c>
      <c r="D10" s="248">
        <f t="shared" si="0"/>
        <v>0.83089857142857149</v>
      </c>
    </row>
    <row r="11" spans="1:4" x14ac:dyDescent="0.2">
      <c r="A11" s="249" t="s">
        <v>585</v>
      </c>
      <c r="B11" s="244">
        <f>'2024.gada budzeta plans_apvieno'!U22</f>
        <v>167000</v>
      </c>
      <c r="C11" s="244">
        <f>'2024.gada budzeta plans_apvieno'!X22</f>
        <v>138876.38</v>
      </c>
      <c r="D11" s="245">
        <f t="shared" si="0"/>
        <v>0.83159508982035935</v>
      </c>
    </row>
    <row r="12" spans="1:4" x14ac:dyDescent="0.2">
      <c r="A12" s="249" t="s">
        <v>586</v>
      </c>
      <c r="B12" s="244">
        <f>'2024.gada budzeta plans_apvieno'!U34</f>
        <v>150000</v>
      </c>
      <c r="C12" s="244">
        <f>'2024.gada budzeta plans_apvieno'!X34</f>
        <v>152738.26</v>
      </c>
      <c r="D12" s="245">
        <f t="shared" si="0"/>
        <v>1.0182550666666668</v>
      </c>
    </row>
    <row r="13" spans="1:4" x14ac:dyDescent="0.2">
      <c r="A13" s="249" t="s">
        <v>587</v>
      </c>
      <c r="B13" s="244">
        <f>'2024.gada budzeta plans_apvieno'!U37</f>
        <v>161431</v>
      </c>
      <c r="C13" s="244">
        <f>'2024.gada budzeta plans_apvieno'!X37</f>
        <v>176633.03999999998</v>
      </c>
      <c r="D13" s="245">
        <f t="shared" si="0"/>
        <v>1.0941705124790158</v>
      </c>
    </row>
    <row r="14" spans="1:4" x14ac:dyDescent="0.2">
      <c r="A14" s="249" t="s">
        <v>588</v>
      </c>
      <c r="B14" s="244">
        <f>'2024.gada budzeta plans_apvieno'!U41</f>
        <v>59156</v>
      </c>
      <c r="C14" s="244">
        <f>'2024.gada budzeta plans_apvieno'!X41</f>
        <v>89278.78</v>
      </c>
      <c r="D14" s="245">
        <f t="shared" si="0"/>
        <v>1.5092092095476368</v>
      </c>
    </row>
    <row r="15" spans="1:4" x14ac:dyDescent="0.2">
      <c r="A15" s="249" t="s">
        <v>589</v>
      </c>
      <c r="B15" s="244">
        <f>'2024.gada budzeta plans_apvieno'!U42</f>
        <v>10925219</v>
      </c>
      <c r="C15" s="244">
        <f>'2024.gada budzeta plans_apvieno'!X42</f>
        <v>7667539.1000000006</v>
      </c>
      <c r="D15" s="245">
        <f t="shared" si="0"/>
        <v>0.7018201740395319</v>
      </c>
    </row>
    <row r="16" spans="1:4" outlineLevel="1" x14ac:dyDescent="0.2">
      <c r="A16" s="250" t="s">
        <v>590</v>
      </c>
      <c r="B16" s="247">
        <f>'2024.gada budzeta plans_apvieno'!U43</f>
        <v>9619587</v>
      </c>
      <c r="C16" s="247">
        <f>'2024.gada budzeta plans_apvieno'!X43</f>
        <v>6940114.8400000008</v>
      </c>
      <c r="D16" s="248">
        <f t="shared" si="0"/>
        <v>0.72145663218181832</v>
      </c>
    </row>
    <row r="17" spans="1:4" outlineLevel="1" x14ac:dyDescent="0.2">
      <c r="A17" s="250" t="s">
        <v>617</v>
      </c>
      <c r="B17" s="247">
        <f>'2024.gada budzeta plans_apvieno'!U66</f>
        <v>1305632</v>
      </c>
      <c r="C17" s="247">
        <f>'2024.gada budzeta plans_apvieno'!X66</f>
        <v>727424.26</v>
      </c>
      <c r="D17" s="248">
        <f t="shared" si="0"/>
        <v>0.55714340641160753</v>
      </c>
    </row>
    <row r="18" spans="1:4" x14ac:dyDescent="0.2">
      <c r="A18" s="249" t="s">
        <v>591</v>
      </c>
      <c r="B18" s="244">
        <f>'2024.gada budzeta plans_apvieno'!U88</f>
        <v>375000</v>
      </c>
      <c r="C18" s="244">
        <f>'2024.gada budzeta plans_apvieno'!X88</f>
        <v>245196.76</v>
      </c>
      <c r="D18" s="245">
        <f t="shared" si="0"/>
        <v>0.6538580266666667</v>
      </c>
    </row>
    <row r="19" spans="1:4" x14ac:dyDescent="0.2">
      <c r="A19" s="249" t="s">
        <v>592</v>
      </c>
      <c r="B19" s="244">
        <f>'2024.gada budzeta plans_apvieno'!U91</f>
        <v>2908467</v>
      </c>
      <c r="C19" s="244">
        <f>'2024.gada budzeta plans_apvieno'!X91</f>
        <v>1837776.52</v>
      </c>
      <c r="D19" s="245">
        <f t="shared" si="0"/>
        <v>0.63187119537543324</v>
      </c>
    </row>
    <row r="20" spans="1:4" outlineLevel="1" x14ac:dyDescent="0.2">
      <c r="A20" s="250" t="s">
        <v>853</v>
      </c>
      <c r="B20" s="247">
        <f>B19-B21-B22</f>
        <v>544100</v>
      </c>
      <c r="C20" s="247">
        <f>C19-C21-C22</f>
        <v>329496.70999999996</v>
      </c>
      <c r="D20" s="248">
        <f>C20/B20</f>
        <v>0.60558116155118535</v>
      </c>
    </row>
    <row r="21" spans="1:4" outlineLevel="1" x14ac:dyDescent="0.2">
      <c r="A21" s="250" t="s">
        <v>619</v>
      </c>
      <c r="B21" s="247">
        <f>'2024.gada budzeta plans_apvieno'!U98</f>
        <v>278370</v>
      </c>
      <c r="C21" s="247">
        <f>'2024.gada budzeta plans_apvieno'!X98</f>
        <v>219865.81000000003</v>
      </c>
      <c r="D21" s="248">
        <f>C21/B21</f>
        <v>0.78983299206092616</v>
      </c>
    </row>
    <row r="22" spans="1:4" outlineLevel="1" x14ac:dyDescent="0.2">
      <c r="A22" s="250" t="s">
        <v>854</v>
      </c>
      <c r="B22" s="247">
        <f>'2024.gada budzeta plans_apvieno'!U105</f>
        <v>2085997</v>
      </c>
      <c r="C22" s="247">
        <f>'2024.gada budzeta plans_apvieno'!X105</f>
        <v>1288414</v>
      </c>
      <c r="D22" s="248">
        <f>C22/B22</f>
        <v>0.61764901867068844</v>
      </c>
    </row>
    <row r="23" spans="1:4" x14ac:dyDescent="0.2">
      <c r="A23" s="249"/>
    </row>
    <row r="25" spans="1:4" x14ac:dyDescent="0.2">
      <c r="A25" s="251"/>
      <c r="B25" s="244">
        <f>B6-'2024.gada budzeta plans_apvieno'!U107</f>
        <v>0</v>
      </c>
      <c r="C25" s="244">
        <f>C6-'2024.gada budzeta plans_apvieno'!X107</f>
        <v>-0.42999999970197678</v>
      </c>
      <c r="D25" s="245"/>
    </row>
    <row r="26" spans="1:4" x14ac:dyDescent="0.2">
      <c r="A26" s="251"/>
      <c r="B26" s="244"/>
      <c r="C26" s="244"/>
      <c r="D26" s="245"/>
    </row>
    <row r="27" spans="1:4" x14ac:dyDescent="0.2">
      <c r="A27" s="251"/>
      <c r="B27" s="244"/>
      <c r="C27" s="244"/>
      <c r="D27" s="245"/>
    </row>
    <row r="28" spans="1:4" x14ac:dyDescent="0.2">
      <c r="A28" s="252"/>
      <c r="B28" s="244"/>
      <c r="C28" s="244"/>
      <c r="D28" s="245"/>
    </row>
    <row r="29" spans="1:4" s="256" customFormat="1" outlineLevel="1" x14ac:dyDescent="0.2">
      <c r="A29" s="477" t="s">
        <v>3</v>
      </c>
      <c r="B29" s="247"/>
      <c r="C29" s="247"/>
      <c r="D29" s="248"/>
    </row>
    <row r="30" spans="1:4" s="256" customFormat="1" outlineLevel="1" x14ac:dyDescent="0.2">
      <c r="A30" s="559" t="s">
        <v>917</v>
      </c>
      <c r="B30" s="247"/>
      <c r="C30" s="247"/>
      <c r="D30" s="248"/>
    </row>
    <row r="31" spans="1:4" s="256" customFormat="1" outlineLevel="1" x14ac:dyDescent="0.2">
      <c r="A31" s="559" t="s">
        <v>618</v>
      </c>
      <c r="B31" s="247"/>
      <c r="C31" s="247"/>
      <c r="D31" s="248"/>
    </row>
    <row r="32" spans="1:4" s="256" customFormat="1" outlineLevel="1" x14ac:dyDescent="0.2">
      <c r="A32" s="250" t="s">
        <v>780</v>
      </c>
      <c r="B32" s="247"/>
      <c r="C32" s="247"/>
      <c r="D32" s="248"/>
    </row>
    <row r="33" spans="1:4" s="256" customFormat="1" outlineLevel="1" x14ac:dyDescent="0.2">
      <c r="A33" s="250" t="s">
        <v>620</v>
      </c>
      <c r="B33" s="247"/>
      <c r="C33" s="247"/>
      <c r="D33" s="248"/>
    </row>
    <row r="34" spans="1:4" s="256" customFormat="1" outlineLevel="1" x14ac:dyDescent="0.2">
      <c r="A34" s="250" t="s">
        <v>781</v>
      </c>
      <c r="B34" s="247"/>
      <c r="C34" s="247"/>
      <c r="D34" s="248"/>
    </row>
    <row r="35" spans="1:4" s="256" customFormat="1" outlineLevel="1" x14ac:dyDescent="0.2">
      <c r="A35" s="559" t="s">
        <v>918</v>
      </c>
      <c r="B35" s="247"/>
      <c r="C35" s="247"/>
      <c r="D35" s="248"/>
    </row>
    <row r="36" spans="1:4" s="256" customFormat="1" outlineLevel="1" x14ac:dyDescent="0.2">
      <c r="A36" s="559" t="s">
        <v>919</v>
      </c>
      <c r="B36" s="247"/>
      <c r="C36" s="247"/>
      <c r="D36" s="248"/>
    </row>
    <row r="37" spans="1:4" s="256" customFormat="1" outlineLevel="1" x14ac:dyDescent="0.2">
      <c r="A37" s="559" t="s">
        <v>920</v>
      </c>
      <c r="B37" s="247"/>
      <c r="C37" s="247"/>
      <c r="D37" s="248"/>
    </row>
    <row r="38" spans="1:4" s="256" customFormat="1" outlineLevel="1" x14ac:dyDescent="0.2">
      <c r="A38" s="559" t="s">
        <v>921</v>
      </c>
      <c r="B38" s="247"/>
      <c r="C38" s="247"/>
      <c r="D38" s="248"/>
    </row>
    <row r="39" spans="1:4" s="256" customFormat="1" outlineLevel="1" x14ac:dyDescent="0.2">
      <c r="A39" s="559" t="s">
        <v>855</v>
      </c>
      <c r="B39" s="247"/>
      <c r="C39" s="247"/>
      <c r="D39" s="248"/>
    </row>
    <row r="40" spans="1:4" s="256" customFormat="1" outlineLevel="1" x14ac:dyDescent="0.2">
      <c r="A40" s="250" t="s">
        <v>922</v>
      </c>
      <c r="B40" s="247"/>
      <c r="C40" s="247"/>
      <c r="D40" s="248"/>
    </row>
    <row r="41" spans="1:4" s="256" customFormat="1" outlineLevel="1" x14ac:dyDescent="0.2">
      <c r="A41" s="250" t="s">
        <v>939</v>
      </c>
      <c r="B41" s="247"/>
      <c r="C41" s="247"/>
      <c r="D41" s="248"/>
    </row>
    <row r="42" spans="1:4" s="256" customFormat="1" outlineLevel="1" x14ac:dyDescent="0.2">
      <c r="A42" s="559" t="s">
        <v>923</v>
      </c>
      <c r="B42" s="247"/>
      <c r="C42" s="247"/>
      <c r="D42" s="248"/>
    </row>
    <row r="43" spans="1:4" s="246" customFormat="1" outlineLevel="1" x14ac:dyDescent="0.2">
      <c r="A43" s="559" t="s">
        <v>782</v>
      </c>
      <c r="B43" s="257"/>
      <c r="C43" s="257"/>
      <c r="D43" s="258"/>
    </row>
    <row r="44" spans="1:4" s="246" customFormat="1" outlineLevel="1" x14ac:dyDescent="0.2">
      <c r="A44" s="250" t="s">
        <v>924</v>
      </c>
      <c r="B44" s="257"/>
      <c r="C44" s="257"/>
      <c r="D44" s="258"/>
    </row>
    <row r="45" spans="1:4" s="246" customFormat="1" outlineLevel="1" x14ac:dyDescent="0.2">
      <c r="A45" s="250" t="s">
        <v>925</v>
      </c>
      <c r="B45" s="257"/>
      <c r="C45" s="257"/>
      <c r="D45" s="258"/>
    </row>
    <row r="46" spans="1:4" s="246" customFormat="1" outlineLevel="1" x14ac:dyDescent="0.2">
      <c r="A46" s="250" t="s">
        <v>926</v>
      </c>
      <c r="B46" s="257"/>
      <c r="C46" s="257"/>
      <c r="D46" s="258"/>
    </row>
    <row r="47" spans="1:4" x14ac:dyDescent="0.2">
      <c r="A47" s="251"/>
      <c r="B47" s="244"/>
      <c r="C47" s="244"/>
      <c r="D47" s="245"/>
    </row>
    <row r="48" spans="1:4" x14ac:dyDescent="0.2">
      <c r="A48" s="251"/>
      <c r="B48" s="244"/>
      <c r="C48" s="244"/>
      <c r="D48" s="245"/>
    </row>
    <row r="51" spans="1:6" x14ac:dyDescent="0.2">
      <c r="C51" s="259"/>
    </row>
    <row r="53" spans="1:6" ht="57.6" customHeight="1" x14ac:dyDescent="0.2">
      <c r="A53" s="240" t="s">
        <v>593</v>
      </c>
      <c r="B53" s="241" t="str">
        <f>B5</f>
        <v>24.10.2024. grozījumi</v>
      </c>
      <c r="C53" s="241" t="str">
        <f>"Izpilde"&amp;" "&amp;$C$2</f>
        <v>Izpilde 2024.g. 3 ceturkšņi</v>
      </c>
      <c r="D53" s="241" t="str">
        <f>"Izdevumu izpilde, %,"&amp;" "&amp;$C$2</f>
        <v>Izdevumu izpilde, %, 2024.g. 3 ceturkšņi</v>
      </c>
    </row>
    <row r="54" spans="1:6" x14ac:dyDescent="0.2">
      <c r="A54" s="235" t="s">
        <v>594</v>
      </c>
      <c r="B54" s="253">
        <f>SUM(B55,B59:B63,B68:B70,B83)</f>
        <v>64897201</v>
      </c>
      <c r="C54" s="253">
        <f>SUM(C55,C59:C63,C68:C70,C83)</f>
        <v>40794369.210999995</v>
      </c>
      <c r="D54" s="245">
        <f>C54/B54</f>
        <v>0.62859982529909098</v>
      </c>
    </row>
    <row r="55" spans="1:6" x14ac:dyDescent="0.2">
      <c r="A55" s="236" t="s">
        <v>595</v>
      </c>
      <c r="B55" s="244">
        <f>'2024.gada budzeta plans_apvieno'!U130</f>
        <v>11628303</v>
      </c>
      <c r="C55" s="244">
        <f>'2024.gada budzeta plans_apvieno'!X130</f>
        <v>8350513.8899999997</v>
      </c>
      <c r="D55" s="245">
        <f>C55/B55</f>
        <v>0.71811973681800345</v>
      </c>
      <c r="E55" s="245"/>
      <c r="F55" s="254"/>
    </row>
    <row r="56" spans="1:6" outlineLevel="1" x14ac:dyDescent="0.2">
      <c r="A56" s="246" t="s">
        <v>611</v>
      </c>
      <c r="B56" s="247">
        <f>'2024.gada budzeta plans_apvieno'!U131+'2024.gada budzeta plans_apvieno'!U132+'2024.gada budzeta plans_apvieno'!U133+'2024.gada budzeta plans_apvieno'!U134+'2024.gada budzeta plans_apvieno'!U135+'2024.gada budzeta plans_apvieno'!U136+'2024.gada budzeta plans_apvieno'!U139</f>
        <v>2991572</v>
      </c>
      <c r="C56" s="247">
        <f>'2024.gada budzeta plans_apvieno'!X131+'2024.gada budzeta plans_apvieno'!X132+'2024.gada budzeta plans_apvieno'!X133+'2024.gada budzeta plans_apvieno'!X134+'2024.gada budzeta plans_apvieno'!X135+'2024.gada budzeta plans_apvieno'!X136+'2024.gada budzeta plans_apvieno'!X139</f>
        <v>1788928.4199999992</v>
      </c>
      <c r="D56" s="248">
        <f>C56/B56</f>
        <v>0.59798942495784801</v>
      </c>
      <c r="E56" s="245"/>
      <c r="F56" s="254"/>
    </row>
    <row r="57" spans="1:6" outlineLevel="1" x14ac:dyDescent="0.2">
      <c r="A57" s="246" t="s">
        <v>612</v>
      </c>
      <c r="B57" s="247">
        <f>'2024.gada budzeta plans_apvieno'!U137</f>
        <v>2138615</v>
      </c>
      <c r="C57" s="247">
        <f>'2024.gada budzeta plans_apvieno'!X137</f>
        <v>1609003.03</v>
      </c>
      <c r="D57" s="248">
        <f>C57/B57</f>
        <v>0.7523574977263322</v>
      </c>
      <c r="E57" s="245"/>
      <c r="F57" s="254"/>
    </row>
    <row r="58" spans="1:6" outlineLevel="1" x14ac:dyDescent="0.2">
      <c r="A58" s="246" t="s">
        <v>613</v>
      </c>
      <c r="B58" s="247">
        <f>'2024.gada budzeta plans_apvieno'!U138</f>
        <v>6498116</v>
      </c>
      <c r="C58" s="247">
        <f>'2024.gada budzeta plans_apvieno'!X138</f>
        <v>4952582.4400000004</v>
      </c>
      <c r="D58" s="248">
        <f>C58/B58</f>
        <v>0.76215666817889993</v>
      </c>
      <c r="E58" s="245"/>
      <c r="F58" s="254"/>
    </row>
    <row r="59" spans="1:6" x14ac:dyDescent="0.2">
      <c r="A59" s="236" t="s">
        <v>596</v>
      </c>
      <c r="B59" s="244">
        <f>'2024.gada budzeta plans_apvieno'!U142</f>
        <v>1058357</v>
      </c>
      <c r="C59" s="244">
        <f>'2024.gada budzeta plans_apvieno'!X142</f>
        <v>677864.22</v>
      </c>
      <c r="D59" s="245">
        <f t="shared" ref="D59:D83" si="1">C59/B59</f>
        <v>0.6404873024886687</v>
      </c>
      <c r="E59" s="245"/>
      <c r="F59" s="254"/>
    </row>
    <row r="60" spans="1:6" x14ac:dyDescent="0.2">
      <c r="A60" s="236" t="s">
        <v>597</v>
      </c>
      <c r="B60" s="244">
        <f>'2024.gada budzeta plans_apvieno'!U144</f>
        <v>179686</v>
      </c>
      <c r="C60" s="244">
        <f>'2024.gada budzeta plans_apvieno'!X144</f>
        <v>117909.70000000001</v>
      </c>
      <c r="D60" s="245">
        <f t="shared" si="1"/>
        <v>0.6561985908751935</v>
      </c>
      <c r="E60" s="245"/>
      <c r="F60" s="254"/>
    </row>
    <row r="61" spans="1:6" x14ac:dyDescent="0.2">
      <c r="A61" s="236" t="s">
        <v>598</v>
      </c>
      <c r="B61" s="244">
        <f>'2024.gada budzeta plans_apvieno'!U147</f>
        <v>407862</v>
      </c>
      <c r="C61" s="244">
        <f>'2024.gada budzeta plans_apvieno'!X147</f>
        <v>307471</v>
      </c>
      <c r="D61" s="245">
        <f t="shared" si="1"/>
        <v>0.75386037434230202</v>
      </c>
      <c r="E61" s="245"/>
      <c r="F61" s="254"/>
    </row>
    <row r="62" spans="1:6" x14ac:dyDescent="0.2">
      <c r="A62" s="236" t="s">
        <v>599</v>
      </c>
      <c r="B62" s="244">
        <f>'2024.gada budzeta plans_apvieno'!U148</f>
        <v>174970</v>
      </c>
      <c r="C62" s="244">
        <f>'2024.gada budzeta plans_apvieno'!X148</f>
        <v>5437.96</v>
      </c>
      <c r="D62" s="245">
        <f t="shared" si="1"/>
        <v>3.107938503743499E-2</v>
      </c>
      <c r="E62" s="245"/>
      <c r="F62" s="254"/>
    </row>
    <row r="63" spans="1:6" x14ac:dyDescent="0.2">
      <c r="A63" s="236" t="s">
        <v>600</v>
      </c>
      <c r="B63" s="244">
        <f>'2024.gada budzeta plans_apvieno'!U150</f>
        <v>15516067</v>
      </c>
      <c r="C63" s="244">
        <f>'2024.gada budzeta plans_apvieno'!X150</f>
        <v>9123853.9699999988</v>
      </c>
      <c r="D63" s="245">
        <f t="shared" si="1"/>
        <v>0.58802620341868839</v>
      </c>
      <c r="E63" s="245"/>
      <c r="F63" s="254"/>
    </row>
    <row r="64" spans="1:6" outlineLevel="1" x14ac:dyDescent="0.2">
      <c r="A64" s="246" t="s">
        <v>621</v>
      </c>
      <c r="B64" s="247">
        <f>SUM('2024.gada budzeta plans_apvieno'!I173,'2024.gada budzeta plans_apvieno'!I155,'2024.gada budzeta plans_apvieno'!I153,'2024.gada budzeta plans_apvieno'!I152,'2024.gada budzeta plans_apvieno'!I151)</f>
        <v>2691645</v>
      </c>
      <c r="C64" s="247">
        <f>SUM('2024.gada budzeta plans_apvieno'!X173,'2024.gada budzeta plans_apvieno'!X155,'2024.gada budzeta plans_apvieno'!X153,'2024.gada budzeta plans_apvieno'!X152,'2024.gada budzeta plans_apvieno'!X151)</f>
        <v>1843677.6099999999</v>
      </c>
      <c r="D64" s="248">
        <f t="shared" si="1"/>
        <v>0.68496313964137168</v>
      </c>
      <c r="E64" s="245"/>
      <c r="F64" s="254"/>
    </row>
    <row r="65" spans="1:6" outlineLevel="1" x14ac:dyDescent="0.2">
      <c r="A65" s="246" t="s">
        <v>614</v>
      </c>
      <c r="B65" s="247">
        <f>'2024.gada budzeta plans_apvieno'!I177</f>
        <v>1574037</v>
      </c>
      <c r="C65" s="247">
        <f>'2024.gada budzeta plans_apvieno'!X177</f>
        <v>1082361</v>
      </c>
      <c r="D65" s="248">
        <f t="shared" si="1"/>
        <v>0.68763377226837741</v>
      </c>
      <c r="E65" s="245"/>
      <c r="F65" s="254"/>
    </row>
    <row r="66" spans="1:6" outlineLevel="1" x14ac:dyDescent="0.2">
      <c r="A66" s="246" t="s">
        <v>615</v>
      </c>
      <c r="B66" s="247">
        <f>'2024.gada budzeta plans_apvieno'!I178</f>
        <v>5367776</v>
      </c>
      <c r="C66" s="247">
        <f>'2024.gada budzeta plans_apvieno'!X178</f>
        <v>3424060.5</v>
      </c>
      <c r="D66" s="248">
        <f t="shared" si="1"/>
        <v>0.63789183825852647</v>
      </c>
      <c r="E66" s="245"/>
      <c r="F66" s="254"/>
    </row>
    <row r="67" spans="1:6" outlineLevel="1" x14ac:dyDescent="0.2">
      <c r="A67" s="246" t="s">
        <v>616</v>
      </c>
      <c r="B67" s="247">
        <f>B63-B64-B65-B66</f>
        <v>5882609</v>
      </c>
      <c r="C67" s="247">
        <f>C63-C64-C65-C66</f>
        <v>2773754.8599999994</v>
      </c>
      <c r="D67" s="248">
        <f>C67/B67</f>
        <v>0.47151780103012103</v>
      </c>
      <c r="E67" s="245"/>
      <c r="F67" s="254"/>
    </row>
    <row r="68" spans="1:6" x14ac:dyDescent="0.2">
      <c r="A68" s="236" t="s">
        <v>601</v>
      </c>
      <c r="B68" s="244">
        <f>'2024.gada budzeta plans_apvieno'!U192</f>
        <v>2551562</v>
      </c>
      <c r="C68" s="244">
        <f>'2024.gada budzeta plans_apvieno'!X192</f>
        <v>1760517.38</v>
      </c>
      <c r="D68" s="245">
        <f t="shared" si="1"/>
        <v>0.68997632822561239</v>
      </c>
      <c r="E68" s="245"/>
      <c r="F68" s="254"/>
    </row>
    <row r="69" spans="1:6" x14ac:dyDescent="0.2">
      <c r="A69" s="236" t="s">
        <v>602</v>
      </c>
      <c r="B69" s="244">
        <f>'2024.gada budzeta plans_apvieno'!U207</f>
        <v>3870931</v>
      </c>
      <c r="C69" s="244">
        <f>'2024.gada budzeta plans_apvieno'!X207</f>
        <v>2035762.4810000001</v>
      </c>
      <c r="D69" s="245">
        <f t="shared" si="1"/>
        <v>0.52591029935692479</v>
      </c>
      <c r="E69" s="255"/>
      <c r="F69" s="254"/>
    </row>
    <row r="70" spans="1:6" x14ac:dyDescent="0.2">
      <c r="A70" s="236" t="s">
        <v>603</v>
      </c>
      <c r="B70" s="244">
        <f>'2024.gada budzeta plans_apvieno'!U229</f>
        <v>25852265</v>
      </c>
      <c r="C70" s="244">
        <f>'2024.gada budzeta plans_apvieno'!X229+0.5</f>
        <v>15622182.899999999</v>
      </c>
      <c r="D70" s="245">
        <f t="shared" si="1"/>
        <v>0.60428681587474053</v>
      </c>
      <c r="E70" s="255"/>
      <c r="F70" s="254"/>
    </row>
    <row r="71" spans="1:6" outlineLevel="1" x14ac:dyDescent="0.2">
      <c r="A71" s="246" t="s">
        <v>635</v>
      </c>
      <c r="B71" s="247">
        <f>'2024.gada budzeta plans_apvieno'!U230</f>
        <v>900000</v>
      </c>
      <c r="C71" s="247">
        <f>'2024.gada budzeta plans_apvieno'!X230</f>
        <v>606161.18999999994</v>
      </c>
      <c r="D71" s="248">
        <f>C71/B71</f>
        <v>0.67351243333333322</v>
      </c>
      <c r="E71" s="245"/>
      <c r="F71" s="254"/>
    </row>
    <row r="72" spans="1:6" outlineLevel="1" x14ac:dyDescent="0.2">
      <c r="A72" s="246" t="s">
        <v>631</v>
      </c>
      <c r="B72" s="247">
        <f>'2024.gada budzeta plans_apvieno'!U231</f>
        <v>2295007</v>
      </c>
      <c r="C72" s="247">
        <f>'2024.gada budzeta plans_apvieno'!X231</f>
        <v>1402289.08</v>
      </c>
      <c r="D72" s="248">
        <f>C72/B72</f>
        <v>0.61101734330222091</v>
      </c>
      <c r="E72" s="245"/>
      <c r="F72" s="254"/>
    </row>
    <row r="73" spans="1:6" outlineLevel="1" x14ac:dyDescent="0.2">
      <c r="A73" s="246" t="s">
        <v>632</v>
      </c>
      <c r="B73" s="247">
        <f>'2024.gada budzeta plans_apvieno'!U235</f>
        <v>1425343</v>
      </c>
      <c r="C73" s="247">
        <f>'2024.gada budzeta plans_apvieno'!X235</f>
        <v>820179.25</v>
      </c>
      <c r="D73" s="248">
        <f>C73/B73</f>
        <v>0.57542587994609018</v>
      </c>
      <c r="E73" s="245"/>
      <c r="F73" s="254"/>
    </row>
    <row r="74" spans="1:6" outlineLevel="1" x14ac:dyDescent="0.2">
      <c r="A74" s="246" t="s">
        <v>633</v>
      </c>
      <c r="B74" s="247">
        <f>'2024.gada budzeta plans_apvieno'!U239</f>
        <v>1599521</v>
      </c>
      <c r="C74" s="247">
        <f>'2024.gada budzeta plans_apvieno'!X239</f>
        <v>1015486.66</v>
      </c>
      <c r="D74" s="248">
        <f>C74/B74</f>
        <v>0.63486922647467592</v>
      </c>
      <c r="E74" s="245"/>
      <c r="F74" s="254"/>
    </row>
    <row r="75" spans="1:6" outlineLevel="1" x14ac:dyDescent="0.2">
      <c r="A75" s="246" t="s">
        <v>634</v>
      </c>
      <c r="B75" s="247">
        <f>'2024.gada budzeta plans_apvieno'!U243</f>
        <v>1485448</v>
      </c>
      <c r="C75" s="247">
        <f>'2024.gada budzeta plans_apvieno'!X243</f>
        <v>910714.79999999993</v>
      </c>
      <c r="D75" s="248">
        <f t="shared" ref="D75:D82" si="2">C75/B75</f>
        <v>0.61309100015618179</v>
      </c>
      <c r="E75" s="245"/>
      <c r="F75" s="254"/>
    </row>
    <row r="76" spans="1:6" outlineLevel="1" x14ac:dyDescent="0.2">
      <c r="A76" s="246" t="s">
        <v>624</v>
      </c>
      <c r="B76" s="247">
        <f>'2024.gada budzeta plans_apvieno'!U247</f>
        <v>3076350</v>
      </c>
      <c r="C76" s="247">
        <f>'2024.gada budzeta plans_apvieno'!X247</f>
        <v>2231554.2699999996</v>
      </c>
      <c r="D76" s="248">
        <f t="shared" si="2"/>
        <v>0.7253902416825132</v>
      </c>
      <c r="E76" s="245"/>
      <c r="F76" s="254"/>
    </row>
    <row r="77" spans="1:6" outlineLevel="1" x14ac:dyDescent="0.2">
      <c r="A77" s="246" t="s">
        <v>625</v>
      </c>
      <c r="B77" s="247">
        <f>'2024.gada budzeta plans_apvieno'!U251</f>
        <v>2387345</v>
      </c>
      <c r="C77" s="247">
        <f>'2024.gada budzeta plans_apvieno'!X251</f>
        <v>1535138.2600000002</v>
      </c>
      <c r="D77" s="248">
        <f t="shared" si="2"/>
        <v>0.64303159367414442</v>
      </c>
      <c r="E77" s="245"/>
      <c r="F77" s="254"/>
    </row>
    <row r="78" spans="1:6" outlineLevel="1" x14ac:dyDescent="0.2">
      <c r="A78" s="246" t="s">
        <v>626</v>
      </c>
      <c r="B78" s="247">
        <f>'2024.gada budzeta plans_apvieno'!U263</f>
        <v>8814570</v>
      </c>
      <c r="C78" s="247">
        <f>'2024.gada budzeta plans_apvieno'!X263</f>
        <v>4972761.51</v>
      </c>
      <c r="D78" s="248">
        <f t="shared" si="2"/>
        <v>0.56415247822639103</v>
      </c>
      <c r="E78" s="245"/>
      <c r="F78" s="254"/>
    </row>
    <row r="79" spans="1:6" outlineLevel="1" x14ac:dyDescent="0.2">
      <c r="A79" s="246" t="s">
        <v>627</v>
      </c>
      <c r="B79" s="247">
        <f>'2024.gada budzeta plans_apvieno'!U281</f>
        <v>1852110</v>
      </c>
      <c r="C79" s="247">
        <f>'2024.gada budzeta plans_apvieno'!X281</f>
        <v>1206208.53</v>
      </c>
      <c r="D79" s="248">
        <f t="shared" si="2"/>
        <v>0.65126182030224988</v>
      </c>
      <c r="E79" s="245"/>
      <c r="F79" s="254"/>
    </row>
    <row r="80" spans="1:6" outlineLevel="1" x14ac:dyDescent="0.2">
      <c r="A80" s="246" t="s">
        <v>628</v>
      </c>
      <c r="B80" s="247">
        <f>'2024.gada budzeta plans_apvieno'!U284</f>
        <v>744620</v>
      </c>
      <c r="C80" s="247">
        <f>'2024.gada budzeta plans_apvieno'!X284</f>
        <v>430576.26</v>
      </c>
      <c r="D80" s="248">
        <f t="shared" si="2"/>
        <v>0.57824965754344504</v>
      </c>
      <c r="E80" s="245"/>
      <c r="F80" s="254"/>
    </row>
    <row r="81" spans="1:18" outlineLevel="1" x14ac:dyDescent="0.2">
      <c r="A81" s="246" t="s">
        <v>629</v>
      </c>
      <c r="B81" s="247">
        <f>'2024.gada budzeta plans_apvieno'!U287</f>
        <v>482391</v>
      </c>
      <c r="C81" s="247">
        <f>'2024.gada budzeta plans_apvieno'!X287</f>
        <v>326958.58999999997</v>
      </c>
      <c r="D81" s="248">
        <f t="shared" si="2"/>
        <v>0.67778750018138811</v>
      </c>
      <c r="E81" s="245"/>
      <c r="F81" s="254"/>
    </row>
    <row r="82" spans="1:18" outlineLevel="1" x14ac:dyDescent="0.2">
      <c r="A82" s="246" t="s">
        <v>630</v>
      </c>
      <c r="B82" s="247">
        <f>B70-SUM(B71:B81)</f>
        <v>789560</v>
      </c>
      <c r="C82" s="247">
        <f>C70-SUM(C71:C81)</f>
        <v>164154.5</v>
      </c>
      <c r="D82" s="248">
        <f t="shared" si="2"/>
        <v>0.20790630224428797</v>
      </c>
      <c r="E82" s="245"/>
      <c r="F82" s="254"/>
    </row>
    <row r="83" spans="1:18" x14ac:dyDescent="0.2">
      <c r="A83" s="236" t="s">
        <v>604</v>
      </c>
      <c r="B83" s="244">
        <f>'2024.gada budzeta plans_apvieno'!U300</f>
        <v>3657198</v>
      </c>
      <c r="C83" s="244">
        <f>'2024.gada budzeta plans_apvieno'!X300</f>
        <v>2792855.71</v>
      </c>
      <c r="D83" s="245">
        <f t="shared" si="1"/>
        <v>0.76365996864266028</v>
      </c>
      <c r="E83" s="245"/>
      <c r="F83" s="254"/>
    </row>
    <row r="84" spans="1:18" x14ac:dyDescent="0.2">
      <c r="B84" s="244"/>
      <c r="C84" s="244"/>
    </row>
    <row r="85" spans="1:18" x14ac:dyDescent="0.2">
      <c r="B85" s="244">
        <f>B54-'2024.gada budzeta plans_apvieno'!U301</f>
        <v>0</v>
      </c>
      <c r="C85" s="236">
        <f>C54-'2024.gada budzeta plans_apvieno'!X301</f>
        <v>0</v>
      </c>
    </row>
    <row r="89" spans="1:18" x14ac:dyDescent="0.2">
      <c r="B89" s="244"/>
      <c r="C89" s="244"/>
    </row>
    <row r="90" spans="1:18" s="256" customFormat="1" outlineLevel="1" x14ac:dyDescent="0.2">
      <c r="A90" s="477" t="s">
        <v>3</v>
      </c>
      <c r="B90" s="474"/>
      <c r="C90" s="475"/>
      <c r="D90" s="474"/>
      <c r="E90" s="474"/>
      <c r="F90" s="474"/>
      <c r="G90" s="474"/>
      <c r="H90" s="474"/>
      <c r="I90" s="474"/>
      <c r="J90" s="474"/>
      <c r="K90" s="474"/>
      <c r="L90" s="474"/>
      <c r="M90" s="474"/>
      <c r="N90" s="474"/>
      <c r="O90" s="474"/>
      <c r="P90" s="474"/>
      <c r="Q90" s="474"/>
      <c r="R90" s="474"/>
    </row>
    <row r="91" spans="1:18" s="256" customFormat="1" ht="17.45" customHeight="1" outlineLevel="1" x14ac:dyDescent="0.2">
      <c r="A91" s="586" t="s">
        <v>783</v>
      </c>
      <c r="B91" s="586"/>
      <c r="C91" s="586"/>
      <c r="D91" s="586"/>
      <c r="E91" s="586"/>
      <c r="F91" s="586"/>
      <c r="G91" s="586"/>
      <c r="H91" s="586"/>
      <c r="I91" s="586"/>
      <c r="J91" s="586"/>
      <c r="K91" s="586"/>
      <c r="L91" s="586"/>
      <c r="M91" s="586"/>
      <c r="N91" s="586"/>
      <c r="O91" s="586"/>
      <c r="P91" s="586"/>
      <c r="Q91" s="586"/>
      <c r="R91" s="586"/>
    </row>
    <row r="92" spans="1:18" s="246" customFormat="1" outlineLevel="1" x14ac:dyDescent="0.2">
      <c r="A92" s="250" t="s">
        <v>856</v>
      </c>
      <c r="B92" s="476"/>
      <c r="C92" s="555"/>
      <c r="D92" s="476"/>
      <c r="E92" s="476"/>
      <c r="F92" s="476"/>
      <c r="G92" s="476"/>
      <c r="H92" s="476"/>
      <c r="I92" s="476"/>
      <c r="J92" s="476"/>
      <c r="K92" s="476"/>
      <c r="L92" s="476"/>
      <c r="M92" s="476"/>
      <c r="N92" s="476"/>
      <c r="O92" s="476"/>
      <c r="P92" s="476"/>
      <c r="Q92" s="476"/>
      <c r="R92" s="476"/>
    </row>
    <row r="93" spans="1:18" s="246" customFormat="1" outlineLevel="1" x14ac:dyDescent="0.2">
      <c r="A93" s="250" t="s">
        <v>784</v>
      </c>
      <c r="B93" s="476"/>
      <c r="C93" s="555"/>
      <c r="D93" s="476"/>
      <c r="E93" s="476"/>
      <c r="F93" s="476"/>
      <c r="G93" s="476"/>
      <c r="H93" s="476"/>
      <c r="I93" s="476"/>
      <c r="J93" s="476"/>
      <c r="K93" s="476"/>
      <c r="L93" s="476"/>
      <c r="M93" s="476"/>
      <c r="N93" s="476"/>
      <c r="O93" s="476"/>
      <c r="P93" s="476"/>
      <c r="Q93" s="476"/>
      <c r="R93" s="476"/>
    </row>
    <row r="94" spans="1:18" s="246" customFormat="1" outlineLevel="1" x14ac:dyDescent="0.2">
      <c r="A94" s="250" t="s">
        <v>785</v>
      </c>
      <c r="B94" s="476"/>
      <c r="C94" s="555"/>
      <c r="D94" s="476"/>
      <c r="E94" s="476"/>
      <c r="F94" s="476"/>
      <c r="G94" s="476"/>
      <c r="H94" s="476"/>
      <c r="I94" s="476"/>
      <c r="J94" s="476"/>
      <c r="K94" s="476"/>
      <c r="L94" s="476"/>
      <c r="M94" s="476"/>
      <c r="N94" s="476"/>
      <c r="O94" s="476"/>
      <c r="P94" s="476"/>
      <c r="Q94" s="476"/>
      <c r="R94" s="476"/>
    </row>
    <row r="95" spans="1:18" s="256" customFormat="1" outlineLevel="1" x14ac:dyDescent="0.2">
      <c r="A95" s="559" t="s">
        <v>927</v>
      </c>
      <c r="B95" s="474"/>
      <c r="C95" s="475"/>
      <c r="D95" s="474"/>
      <c r="E95" s="474"/>
      <c r="F95" s="474"/>
      <c r="G95" s="474"/>
      <c r="H95" s="474"/>
      <c r="I95" s="474"/>
      <c r="J95" s="474"/>
      <c r="K95" s="474"/>
      <c r="L95" s="474"/>
      <c r="M95" s="474"/>
      <c r="N95" s="474"/>
      <c r="O95" s="474"/>
      <c r="P95" s="474"/>
      <c r="Q95" s="474"/>
      <c r="R95" s="474"/>
    </row>
    <row r="96" spans="1:18" s="256" customFormat="1" outlineLevel="1" x14ac:dyDescent="0.2">
      <c r="A96" s="559" t="s">
        <v>857</v>
      </c>
      <c r="B96" s="474"/>
      <c r="C96" s="475"/>
      <c r="D96" s="474"/>
      <c r="E96" s="474"/>
      <c r="F96" s="474"/>
      <c r="G96" s="474"/>
      <c r="H96" s="474"/>
      <c r="I96" s="474"/>
      <c r="J96" s="474"/>
      <c r="K96" s="474"/>
      <c r="L96" s="474"/>
      <c r="M96" s="474"/>
      <c r="N96" s="474"/>
      <c r="O96" s="474"/>
      <c r="P96" s="474"/>
      <c r="Q96" s="474"/>
      <c r="R96" s="474"/>
    </row>
    <row r="97" spans="1:18" s="256" customFormat="1" outlineLevel="1" x14ac:dyDescent="0.2">
      <c r="A97" s="559" t="s">
        <v>786</v>
      </c>
      <c r="B97" s="474"/>
      <c r="C97" s="475"/>
      <c r="D97" s="474"/>
      <c r="E97" s="474"/>
      <c r="F97" s="474"/>
      <c r="G97" s="474"/>
      <c r="H97" s="474"/>
      <c r="I97" s="474"/>
      <c r="J97" s="474"/>
      <c r="K97" s="474"/>
      <c r="L97" s="474"/>
      <c r="M97" s="474"/>
      <c r="N97" s="474"/>
      <c r="O97" s="474"/>
      <c r="P97" s="474"/>
      <c r="Q97" s="474"/>
      <c r="R97" s="474"/>
    </row>
    <row r="98" spans="1:18" s="256" customFormat="1" outlineLevel="1" x14ac:dyDescent="0.2">
      <c r="A98" s="559" t="s">
        <v>636</v>
      </c>
      <c r="B98" s="474"/>
      <c r="C98" s="475"/>
      <c r="D98" s="474"/>
      <c r="E98" s="474"/>
      <c r="F98" s="474"/>
      <c r="G98" s="474"/>
      <c r="H98" s="474"/>
      <c r="I98" s="474"/>
      <c r="J98" s="474"/>
      <c r="K98" s="474"/>
      <c r="L98" s="474"/>
      <c r="M98" s="474"/>
      <c r="N98" s="474"/>
      <c r="O98" s="474"/>
      <c r="P98" s="474"/>
      <c r="Q98" s="474"/>
      <c r="R98" s="474"/>
    </row>
    <row r="99" spans="1:18" s="256" customFormat="1" outlineLevel="1" x14ac:dyDescent="0.2">
      <c r="A99" s="559" t="s">
        <v>928</v>
      </c>
      <c r="B99" s="559"/>
      <c r="C99" s="560"/>
      <c r="D99" s="559"/>
      <c r="E99" s="559"/>
      <c r="F99" s="559"/>
      <c r="G99" s="559"/>
      <c r="H99" s="559"/>
      <c r="I99" s="559"/>
      <c r="J99" s="559"/>
      <c r="K99" s="559"/>
      <c r="L99" s="559"/>
      <c r="M99" s="559"/>
      <c r="N99" s="559"/>
      <c r="O99" s="559"/>
      <c r="P99" s="559"/>
      <c r="Q99" s="559"/>
      <c r="R99" s="559"/>
    </row>
    <row r="100" spans="1:18" s="256" customFormat="1" ht="15" customHeight="1" outlineLevel="1" x14ac:dyDescent="0.2">
      <c r="A100" s="585" t="s">
        <v>929</v>
      </c>
      <c r="B100" s="585"/>
      <c r="C100" s="585"/>
      <c r="D100" s="585"/>
      <c r="E100" s="585"/>
      <c r="F100" s="585"/>
      <c r="G100" s="585"/>
      <c r="H100" s="585"/>
      <c r="I100" s="585"/>
      <c r="J100" s="585"/>
      <c r="K100" s="585"/>
      <c r="L100" s="585"/>
      <c r="M100" s="585"/>
      <c r="N100" s="585"/>
      <c r="O100" s="585"/>
      <c r="P100" s="585"/>
      <c r="Q100" s="585"/>
      <c r="R100" s="585"/>
    </row>
    <row r="101" spans="1:18" s="256" customFormat="1" outlineLevel="1" x14ac:dyDescent="0.2">
      <c r="A101" s="250" t="s">
        <v>622</v>
      </c>
      <c r="B101" s="559"/>
      <c r="C101" s="559"/>
      <c r="D101" s="559"/>
      <c r="E101" s="559"/>
      <c r="F101" s="559"/>
      <c r="G101" s="559"/>
      <c r="H101" s="559"/>
      <c r="I101" s="559"/>
      <c r="J101" s="559"/>
      <c r="K101" s="559"/>
      <c r="L101" s="559"/>
      <c r="M101" s="559"/>
      <c r="N101" s="559"/>
      <c r="O101" s="559"/>
      <c r="P101" s="559"/>
      <c r="Q101" s="559"/>
      <c r="R101" s="559"/>
    </row>
    <row r="102" spans="1:18" s="256" customFormat="1" outlineLevel="1" x14ac:dyDescent="0.2">
      <c r="A102" s="250" t="s">
        <v>787</v>
      </c>
      <c r="B102" s="559"/>
      <c r="C102" s="559"/>
      <c r="D102" s="559"/>
      <c r="E102" s="559"/>
      <c r="F102" s="559"/>
      <c r="G102" s="559"/>
      <c r="H102" s="559"/>
      <c r="I102" s="559"/>
      <c r="J102" s="559"/>
      <c r="K102" s="559"/>
      <c r="L102" s="559"/>
      <c r="M102" s="559"/>
      <c r="N102" s="559"/>
      <c r="O102" s="559"/>
      <c r="P102" s="559"/>
      <c r="Q102" s="559"/>
      <c r="R102" s="559"/>
    </row>
    <row r="103" spans="1:18" s="256" customFormat="1" outlineLevel="1" x14ac:dyDescent="0.2">
      <c r="A103" s="250" t="s">
        <v>623</v>
      </c>
      <c r="B103" s="474"/>
      <c r="C103" s="474"/>
      <c r="D103" s="474"/>
      <c r="E103" s="474"/>
      <c r="F103" s="474"/>
      <c r="G103" s="474"/>
      <c r="H103" s="474"/>
      <c r="I103" s="474"/>
      <c r="J103" s="474"/>
      <c r="K103" s="474"/>
      <c r="L103" s="474"/>
      <c r="M103" s="474"/>
      <c r="N103" s="474"/>
      <c r="O103" s="474"/>
      <c r="P103" s="474"/>
      <c r="Q103" s="474"/>
      <c r="R103" s="474"/>
    </row>
    <row r="104" spans="1:18" s="256" customFormat="1" ht="27" customHeight="1" outlineLevel="1" x14ac:dyDescent="0.2">
      <c r="A104" s="584" t="s">
        <v>930</v>
      </c>
      <c r="B104" s="584"/>
      <c r="C104" s="584"/>
      <c r="D104" s="584"/>
      <c r="E104" s="584"/>
      <c r="F104" s="584"/>
      <c r="G104" s="584"/>
      <c r="H104" s="584"/>
      <c r="I104" s="584"/>
      <c r="J104" s="584"/>
      <c r="K104" s="584"/>
      <c r="L104" s="584"/>
      <c r="M104" s="474"/>
      <c r="N104" s="474"/>
      <c r="O104" s="474"/>
      <c r="P104" s="474"/>
      <c r="Q104" s="474"/>
      <c r="R104" s="474"/>
    </row>
    <row r="105" spans="1:18" s="256" customFormat="1" ht="30" customHeight="1" outlineLevel="1" x14ac:dyDescent="0.2">
      <c r="A105" s="584" t="s">
        <v>931</v>
      </c>
      <c r="B105" s="587"/>
      <c r="C105" s="587"/>
      <c r="D105" s="587"/>
      <c r="E105" s="587"/>
      <c r="F105" s="587"/>
      <c r="G105" s="587"/>
      <c r="H105" s="587"/>
      <c r="I105" s="587"/>
      <c r="J105" s="587"/>
      <c r="K105" s="587"/>
      <c r="L105" s="587"/>
      <c r="M105" s="474"/>
      <c r="N105" s="474"/>
      <c r="O105" s="474"/>
      <c r="P105" s="474"/>
      <c r="Q105" s="474"/>
      <c r="R105" s="474"/>
    </row>
    <row r="106" spans="1:18" s="256" customFormat="1" outlineLevel="1" x14ac:dyDescent="0.2">
      <c r="A106" s="559" t="s">
        <v>932</v>
      </c>
      <c r="B106" s="474"/>
      <c r="C106" s="474"/>
      <c r="D106" s="474"/>
      <c r="E106" s="474"/>
      <c r="F106" s="474"/>
      <c r="G106" s="474"/>
      <c r="H106" s="474"/>
      <c r="I106" s="474"/>
      <c r="J106" s="474"/>
      <c r="K106" s="474"/>
      <c r="L106" s="474"/>
      <c r="M106" s="474"/>
      <c r="N106" s="474"/>
      <c r="O106" s="474"/>
      <c r="P106" s="474"/>
      <c r="Q106" s="474"/>
      <c r="R106" s="474"/>
    </row>
    <row r="107" spans="1:18" s="246" customFormat="1" outlineLevel="1" x14ac:dyDescent="0.2">
      <c r="A107" s="584" t="s">
        <v>933</v>
      </c>
      <c r="B107" s="584"/>
      <c r="C107" s="584"/>
      <c r="D107" s="584"/>
      <c r="E107" s="584"/>
      <c r="F107" s="584"/>
      <c r="G107" s="584"/>
      <c r="H107" s="584"/>
      <c r="I107" s="584"/>
      <c r="J107" s="584"/>
      <c r="K107" s="584"/>
      <c r="L107" s="584"/>
      <c r="M107" s="474"/>
      <c r="N107" s="474"/>
      <c r="O107" s="474"/>
      <c r="P107" s="474"/>
      <c r="Q107" s="474"/>
      <c r="R107" s="474"/>
    </row>
    <row r="108" spans="1:18" s="246" customFormat="1" outlineLevel="1" x14ac:dyDescent="0.2">
      <c r="A108" s="250" t="s">
        <v>934</v>
      </c>
      <c r="B108" s="474"/>
      <c r="C108" s="474"/>
      <c r="D108" s="474"/>
      <c r="E108" s="474"/>
      <c r="F108" s="474"/>
      <c r="G108" s="474"/>
      <c r="H108" s="474"/>
      <c r="I108" s="474"/>
      <c r="J108" s="474"/>
      <c r="K108" s="474"/>
      <c r="L108" s="474"/>
      <c r="M108" s="474"/>
      <c r="N108" s="474"/>
      <c r="O108" s="474"/>
      <c r="P108" s="474"/>
      <c r="Q108" s="474"/>
      <c r="R108" s="474"/>
    </row>
    <row r="109" spans="1:18" s="246" customFormat="1" outlineLevel="1" x14ac:dyDescent="0.2">
      <c r="A109" s="250" t="s">
        <v>935</v>
      </c>
      <c r="B109" s="474"/>
      <c r="C109" s="474"/>
      <c r="D109" s="474"/>
      <c r="E109" s="474"/>
      <c r="F109" s="474"/>
      <c r="G109" s="474"/>
      <c r="H109" s="474"/>
      <c r="I109" s="474"/>
      <c r="J109" s="474"/>
      <c r="K109" s="474"/>
      <c r="L109" s="474"/>
      <c r="M109" s="474"/>
      <c r="N109" s="474"/>
      <c r="O109" s="474"/>
      <c r="P109" s="474"/>
      <c r="Q109" s="474"/>
      <c r="R109" s="474"/>
    </row>
    <row r="110" spans="1:18" s="246" customFormat="1" outlineLevel="1" x14ac:dyDescent="0.2">
      <c r="A110" s="250" t="s">
        <v>940</v>
      </c>
      <c r="B110" s="474"/>
      <c r="C110" s="474"/>
      <c r="D110" s="474"/>
      <c r="E110" s="474"/>
      <c r="F110" s="474"/>
      <c r="G110" s="474"/>
      <c r="H110" s="474"/>
      <c r="I110" s="474"/>
      <c r="J110" s="474"/>
      <c r="K110" s="474"/>
      <c r="L110" s="474"/>
      <c r="M110" s="474"/>
      <c r="N110" s="474"/>
      <c r="O110" s="474"/>
      <c r="P110" s="474"/>
      <c r="Q110" s="474"/>
      <c r="R110" s="474"/>
    </row>
    <row r="111" spans="1:18" s="256" customFormat="1" outlineLevel="1" x14ac:dyDescent="0.2">
      <c r="A111" s="250" t="s">
        <v>936</v>
      </c>
      <c r="B111" s="476"/>
      <c r="C111" s="476"/>
      <c r="D111" s="476"/>
      <c r="E111" s="476"/>
      <c r="F111" s="476"/>
      <c r="G111" s="476"/>
      <c r="H111" s="476"/>
      <c r="I111" s="476"/>
      <c r="J111" s="476"/>
      <c r="K111" s="476"/>
      <c r="L111" s="476"/>
      <c r="M111" s="476"/>
      <c r="N111" s="476"/>
      <c r="O111" s="476"/>
      <c r="P111" s="476"/>
      <c r="Q111" s="476"/>
      <c r="R111" s="476"/>
    </row>
    <row r="112" spans="1:18" s="256" customFormat="1" outlineLevel="1" x14ac:dyDescent="0.2">
      <c r="A112" s="250" t="s">
        <v>937</v>
      </c>
      <c r="B112" s="476"/>
      <c r="C112" s="476"/>
      <c r="D112" s="476"/>
      <c r="E112" s="476"/>
      <c r="F112" s="476"/>
      <c r="G112" s="476"/>
      <c r="H112" s="476"/>
      <c r="I112" s="476"/>
      <c r="J112" s="476"/>
      <c r="K112" s="476"/>
      <c r="L112" s="476"/>
      <c r="M112" s="476"/>
      <c r="N112" s="476"/>
      <c r="O112" s="476"/>
      <c r="P112" s="476"/>
      <c r="Q112" s="476"/>
      <c r="R112" s="476"/>
    </row>
    <row r="113" spans="1:18" s="256" customFormat="1" outlineLevel="1" x14ac:dyDescent="0.2">
      <c r="A113" s="250" t="s">
        <v>938</v>
      </c>
      <c r="B113" s="476"/>
      <c r="C113" s="476"/>
      <c r="D113" s="476"/>
      <c r="E113" s="476"/>
      <c r="F113" s="476"/>
      <c r="G113" s="476"/>
      <c r="H113" s="476"/>
      <c r="I113" s="476"/>
      <c r="J113" s="476"/>
      <c r="K113" s="476"/>
      <c r="L113" s="476"/>
      <c r="M113" s="476"/>
      <c r="N113" s="476"/>
      <c r="O113" s="476"/>
      <c r="P113" s="476"/>
      <c r="Q113" s="476"/>
      <c r="R113" s="476"/>
    </row>
    <row r="114" spans="1:18" s="256" customFormat="1" outlineLevel="1" x14ac:dyDescent="0.2">
      <c r="A114" s="584" t="s">
        <v>858</v>
      </c>
      <c r="B114" s="584"/>
      <c r="C114" s="584"/>
      <c r="D114" s="584"/>
      <c r="E114" s="584"/>
      <c r="F114" s="584"/>
      <c r="G114" s="584"/>
      <c r="H114" s="584"/>
      <c r="I114" s="584"/>
      <c r="J114" s="584"/>
      <c r="K114" s="584"/>
      <c r="L114" s="584"/>
      <c r="M114" s="476"/>
      <c r="N114" s="476"/>
      <c r="O114" s="476"/>
      <c r="P114" s="476"/>
      <c r="Q114" s="476"/>
      <c r="R114" s="476"/>
    </row>
    <row r="115" spans="1:18" s="256" customFormat="1" outlineLevel="1" x14ac:dyDescent="0.2">
      <c r="A115" s="559" t="s">
        <v>790</v>
      </c>
      <c r="B115" s="474"/>
      <c r="C115" s="474"/>
      <c r="D115" s="474"/>
      <c r="E115" s="474"/>
      <c r="F115" s="474"/>
      <c r="G115" s="474"/>
      <c r="H115" s="474"/>
      <c r="I115" s="474"/>
      <c r="J115" s="474"/>
      <c r="K115" s="474"/>
      <c r="L115" s="474"/>
      <c r="M115" s="474"/>
      <c r="N115" s="474"/>
      <c r="O115" s="474"/>
      <c r="P115" s="474"/>
      <c r="Q115" s="474"/>
      <c r="R115" s="474"/>
    </row>
    <row r="116" spans="1:18" s="256" customFormat="1" outlineLevel="1" x14ac:dyDescent="0.2"/>
  </sheetData>
  <mergeCells count="6">
    <mergeCell ref="A114:L114"/>
    <mergeCell ref="A100:R100"/>
    <mergeCell ref="A91:R91"/>
    <mergeCell ref="A104:L104"/>
    <mergeCell ref="A105:L105"/>
    <mergeCell ref="A107:L107"/>
  </mergeCells>
  <conditionalFormatting sqref="B25:C25">
    <cfRule type="expression" dxfId="1" priority="2">
      <formula>$B$25=0</formula>
    </cfRule>
  </conditionalFormatting>
  <conditionalFormatting sqref="B85:C85">
    <cfRule type="expression" dxfId="0" priority="1">
      <formula>$B$85=0</formula>
    </cfRule>
  </conditionalFormatting>
  <pageMargins left="0.7" right="0.7" top="0.75" bottom="0.75" header="0.3" footer="0.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Grafiki_budžeta_izpilde</vt:lpstr>
      <vt:lpstr>'2024.gada budzeta plans_apvieno'!Print_Area</vt:lpstr>
      <vt:lpstr>'2024.gada budzeta plans_apvieno'!Print_Titles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cp:lastPrinted>2024-10-10T07:59:40Z</cp:lastPrinted>
  <dcterms:created xsi:type="dcterms:W3CDTF">2015-07-17T07:55:13Z</dcterms:created>
  <dcterms:modified xsi:type="dcterms:W3CDTF">2024-10-15T09:05:03Z</dcterms:modified>
</cp:coreProperties>
</file>