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armite.Muze\Nextcloud\Finansu nodala kopmape\2024\11_2024\"/>
    </mc:Choice>
  </mc:AlternateContent>
  <xr:revisionPtr revIDLastSave="0" documentId="8_{04B52BAA-6C67-44E6-82CB-ED08CB4613FD}" xr6:coauthVersionLast="47" xr6:coauthVersionMax="47" xr10:uidLastSave="{00000000-0000-0000-0000-000000000000}"/>
  <bookViews>
    <workbookView xWindow="28680" yWindow="-120" windowWidth="29040" windowHeight="15720" xr2:uid="{D6E57B4B-86E2-4711-A2A5-8D2CFEE70C00}"/>
  </bookViews>
  <sheets>
    <sheet name="2024.gada budzeta plans_apvieno" sheetId="2" r:id="rId1"/>
    <sheet name="Līgumu saraksts_28112024" sheetId="1" r:id="rId2"/>
  </sheets>
  <externalReferences>
    <externalReference r:id="rId3"/>
    <externalReference r:id="rId4"/>
  </externalReferences>
  <definedNames>
    <definedName name="_0812" localSheetId="0">#REF!</definedName>
    <definedName name="_0812">#REF!</definedName>
    <definedName name="_xlnm._FilterDatabase" localSheetId="0" hidden="1">'2024.gada budzeta plans_apvieno'!#REF!</definedName>
    <definedName name="_xlnm._FilterDatabase" localSheetId="1" hidden="1">'Līgumu saraksts_28112024'!$A$4:$N$136</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 localSheetId="0">#REF!</definedName>
    <definedName name="Kolonnas_virsraksta_reģions1..B11.1">#REF!</definedName>
    <definedName name="Kolonnas_virsraksta_reģions1..D4" localSheetId="0">#REF!</definedName>
    <definedName name="Kolonnas_virsraksta_reģions1..D4">#REF!</definedName>
    <definedName name="Kolonnas_virsraksta_reģions2..D7" localSheetId="0">#REF!</definedName>
    <definedName name="Kolonnas_virsraksta_reģions2..D7">#REF!</definedName>
    <definedName name="Kolonnas_virsraksta_reģions3..C12" localSheetId="0">#REF!</definedName>
    <definedName name="Kolonnas_virsraksta_reģions3..C12">#REF!</definedName>
    <definedName name="KolonnasNosaukums1" localSheetId="0">#REF!</definedName>
    <definedName name="KolonnasNosaukums1">#REF!</definedName>
    <definedName name="Parvadataji" localSheetId="0">#REF!</definedName>
    <definedName name="Parvadataji">#REF!</definedName>
    <definedName name="_xlnm.Print_Area" localSheetId="0">'2024.gada budzeta plans_apvieno'!$A$1:$Z$302</definedName>
    <definedName name="_xlnm.Print_Titles" localSheetId="0">'2024.gada budzeta plans_apvieno'!$5:$5</definedName>
    <definedName name="Saist_apmers_ar_galvojumu" localSheetId="0">#REF!</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2" l="1"/>
  <c r="F300" i="2"/>
  <c r="I300" i="2" s="1"/>
  <c r="O298" i="2"/>
  <c r="R298" i="2" s="1"/>
  <c r="M298" i="2"/>
  <c r="J298" i="2"/>
  <c r="G298" i="2"/>
  <c r="O297" i="2"/>
  <c r="M297" i="2"/>
  <c r="J297" i="2"/>
  <c r="G297" i="2"/>
  <c r="L296" i="2"/>
  <c r="I296" i="2"/>
  <c r="F296" i="2"/>
  <c r="G296" i="2" s="1"/>
  <c r="F295" i="2"/>
  <c r="I295" i="2" s="1"/>
  <c r="F294" i="2"/>
  <c r="I294" i="2" s="1"/>
  <c r="F292" i="2"/>
  <c r="F291" i="2"/>
  <c r="I291" i="2" s="1"/>
  <c r="L291" i="2" s="1"/>
  <c r="M291" i="2" s="1"/>
  <c r="F290" i="2"/>
  <c r="I290" i="2" s="1"/>
  <c r="F289" i="2"/>
  <c r="G289" i="2" s="1"/>
  <c r="F288" i="2"/>
  <c r="I288" i="2" s="1"/>
  <c r="F287" i="2"/>
  <c r="I287" i="2" s="1"/>
  <c r="F286" i="2"/>
  <c r="I286" i="2" s="1"/>
  <c r="L286" i="2" s="1"/>
  <c r="F285" i="2"/>
  <c r="F283" i="2"/>
  <c r="I283" i="2" s="1"/>
  <c r="F282" i="2"/>
  <c r="I282" i="2" s="1"/>
  <c r="I280" i="2"/>
  <c r="L280" i="2" s="1"/>
  <c r="G280" i="2"/>
  <c r="F279" i="2"/>
  <c r="F278" i="2"/>
  <c r="I278" i="2" s="1"/>
  <c r="F276" i="2"/>
  <c r="I276" i="2" s="1"/>
  <c r="I275" i="2"/>
  <c r="L275" i="2" s="1"/>
  <c r="O275" i="2" s="1"/>
  <c r="G275" i="2"/>
  <c r="F274" i="2"/>
  <c r="I274" i="2" s="1"/>
  <c r="F273" i="2"/>
  <c r="I273" i="2" s="1"/>
  <c r="F272" i="2"/>
  <c r="I272" i="2" s="1"/>
  <c r="F271" i="2"/>
  <c r="I271" i="2" s="1"/>
  <c r="F270" i="2"/>
  <c r="I270" i="2" s="1"/>
  <c r="I269" i="2"/>
  <c r="J269" i="2" s="1"/>
  <c r="G269" i="2"/>
  <c r="F268" i="2"/>
  <c r="G268" i="2" s="1"/>
  <c r="F267" i="2"/>
  <c r="G267" i="2" s="1"/>
  <c r="F266" i="2"/>
  <c r="G266" i="2" s="1"/>
  <c r="F265" i="2"/>
  <c r="I265" i="2" s="1"/>
  <c r="H263" i="2"/>
  <c r="F262" i="2"/>
  <c r="I262" i="2" s="1"/>
  <c r="F261" i="2"/>
  <c r="G261" i="2" s="1"/>
  <c r="F260" i="2"/>
  <c r="G260" i="2" s="1"/>
  <c r="F259" i="2"/>
  <c r="I259" i="2" s="1"/>
  <c r="L259" i="2" s="1"/>
  <c r="F258" i="2"/>
  <c r="G258" i="2" s="1"/>
  <c r="F257" i="2"/>
  <c r="I257" i="2" s="1"/>
  <c r="L257" i="2" s="1"/>
  <c r="F256" i="2"/>
  <c r="G256" i="2" s="1"/>
  <c r="I255" i="2"/>
  <c r="L255" i="2" s="1"/>
  <c r="G255" i="2"/>
  <c r="F254" i="2"/>
  <c r="G253" i="2"/>
  <c r="F253" i="2"/>
  <c r="I253" i="2" s="1"/>
  <c r="F250" i="2"/>
  <c r="G250" i="2" s="1"/>
  <c r="F249" i="2"/>
  <c r="F248" i="2"/>
  <c r="G248" i="2" s="1"/>
  <c r="F246" i="2"/>
  <c r="F245" i="2"/>
  <c r="I245" i="2" s="1"/>
  <c r="F244" i="2"/>
  <c r="I244" i="2" s="1"/>
  <c r="L244" i="2" s="1"/>
  <c r="F242" i="2"/>
  <c r="I242" i="2" s="1"/>
  <c r="F241" i="2"/>
  <c r="F240" i="2"/>
  <c r="I238" i="2"/>
  <c r="J238" i="2" s="1"/>
  <c r="G238" i="2"/>
  <c r="F237" i="2"/>
  <c r="G237" i="2" s="1"/>
  <c r="F236" i="2"/>
  <c r="I236" i="2" s="1"/>
  <c r="F235" i="2"/>
  <c r="G235" i="2" s="1"/>
  <c r="I234" i="2"/>
  <c r="L234" i="2" s="1"/>
  <c r="O234" i="2" s="1"/>
  <c r="P234" i="2" s="1"/>
  <c r="G234" i="2"/>
  <c r="F233" i="2"/>
  <c r="F232" i="2"/>
  <c r="I232" i="2" s="1"/>
  <c r="L232" i="2" s="1"/>
  <c r="F230" i="2"/>
  <c r="F228" i="2"/>
  <c r="G228" i="2" s="1"/>
  <c r="F227" i="2"/>
  <c r="G227" i="2" s="1"/>
  <c r="R226" i="2"/>
  <c r="U226" i="2" s="1"/>
  <c r="P226" i="2"/>
  <c r="F225" i="2"/>
  <c r="I225" i="2" s="1"/>
  <c r="L225" i="2" s="1"/>
  <c r="F224" i="2"/>
  <c r="G224" i="2" s="1"/>
  <c r="F223" i="2"/>
  <c r="I223" i="2" s="1"/>
  <c r="F222" i="2"/>
  <c r="F221" i="2"/>
  <c r="I221" i="2" s="1"/>
  <c r="X220" i="2"/>
  <c r="Y220" i="2" s="1"/>
  <c r="U220" i="2"/>
  <c r="R220" i="2"/>
  <c r="P220" i="2"/>
  <c r="O220" i="2"/>
  <c r="F219" i="2"/>
  <c r="G219" i="2" s="1"/>
  <c r="F217" i="2"/>
  <c r="F216" i="2"/>
  <c r="G216" i="2" s="1"/>
  <c r="F214" i="2"/>
  <c r="I214" i="2" s="1"/>
  <c r="X213" i="2"/>
  <c r="V213" i="2"/>
  <c r="U213" i="2"/>
  <c r="R213" i="2"/>
  <c r="O213" i="2"/>
  <c r="F212" i="2"/>
  <c r="F211" i="2"/>
  <c r="I211" i="2" s="1"/>
  <c r="L211" i="2" s="1"/>
  <c r="F210" i="2"/>
  <c r="F209" i="2"/>
  <c r="I209" i="2" s="1"/>
  <c r="K208" i="2"/>
  <c r="K207" i="2"/>
  <c r="H207" i="2"/>
  <c r="H299" i="2" s="1"/>
  <c r="F206" i="2"/>
  <c r="G206" i="2" s="1"/>
  <c r="F205" i="2"/>
  <c r="G205" i="2" s="1"/>
  <c r="I204" i="2"/>
  <c r="L204" i="2" s="1"/>
  <c r="G204" i="2"/>
  <c r="F203" i="2"/>
  <c r="F201" i="2"/>
  <c r="I201" i="2" s="1"/>
  <c r="F200" i="2"/>
  <c r="F199" i="2"/>
  <c r="G199" i="2" s="1"/>
  <c r="F198" i="2"/>
  <c r="F197" i="2"/>
  <c r="G197" i="2" s="1"/>
  <c r="F196" i="2"/>
  <c r="F195" i="2"/>
  <c r="G195" i="2" s="1"/>
  <c r="F194" i="2"/>
  <c r="H193" i="2"/>
  <c r="F191" i="2"/>
  <c r="G191" i="2" s="1"/>
  <c r="F190" i="2"/>
  <c r="F189" i="2"/>
  <c r="I189" i="2" s="1"/>
  <c r="L189" i="2" s="1"/>
  <c r="M189" i="2" s="1"/>
  <c r="F188" i="2"/>
  <c r="F187" i="2"/>
  <c r="G187" i="2" s="1"/>
  <c r="F186" i="2"/>
  <c r="I186" i="2" s="1"/>
  <c r="F185" i="2"/>
  <c r="G185" i="2" s="1"/>
  <c r="L184" i="2"/>
  <c r="J184" i="2"/>
  <c r="F183" i="2"/>
  <c r="F182" i="2"/>
  <c r="F181" i="2"/>
  <c r="I181" i="2" s="1"/>
  <c r="L181" i="2" s="1"/>
  <c r="M181" i="2" s="1"/>
  <c r="F180" i="2"/>
  <c r="F179" i="2"/>
  <c r="I179" i="2" s="1"/>
  <c r="F177" i="2"/>
  <c r="I177" i="2" s="1"/>
  <c r="Y176" i="2"/>
  <c r="V176" i="2"/>
  <c r="S176" i="2"/>
  <c r="F175" i="2"/>
  <c r="F174" i="2"/>
  <c r="F173" i="2"/>
  <c r="O171" i="2"/>
  <c r="M171" i="2"/>
  <c r="F171" i="2"/>
  <c r="G171" i="2" s="1"/>
  <c r="O170" i="2"/>
  <c r="R170" i="2" s="1"/>
  <c r="M170" i="2"/>
  <c r="F170" i="2"/>
  <c r="O169" i="2"/>
  <c r="P169" i="2" s="1"/>
  <c r="M169" i="2"/>
  <c r="F169" i="2"/>
  <c r="G169" i="2" s="1"/>
  <c r="F168" i="2"/>
  <c r="F167" i="2"/>
  <c r="F166" i="2"/>
  <c r="I166" i="2" s="1"/>
  <c r="F165" i="2"/>
  <c r="F164" i="2"/>
  <c r="I164" i="2" s="1"/>
  <c r="F163" i="2"/>
  <c r="F162" i="2"/>
  <c r="I162" i="2" s="1"/>
  <c r="F161" i="2"/>
  <c r="F160" i="2"/>
  <c r="I160" i="2" s="1"/>
  <c r="F159" i="2"/>
  <c r="I159" i="2" s="1"/>
  <c r="J159" i="2" s="1"/>
  <c r="F158" i="2"/>
  <c r="G158" i="2" s="1"/>
  <c r="F157" i="2"/>
  <c r="I157" i="2" s="1"/>
  <c r="J157" i="2" s="1"/>
  <c r="F156" i="2"/>
  <c r="F155" i="2"/>
  <c r="G155" i="2" s="1"/>
  <c r="F153" i="2"/>
  <c r="I153" i="2" s="1"/>
  <c r="F152" i="2"/>
  <c r="F151" i="2"/>
  <c r="F149" i="2"/>
  <c r="G149" i="2" s="1"/>
  <c r="F147" i="2"/>
  <c r="I147" i="2" s="1"/>
  <c r="L147" i="2" s="1"/>
  <c r="F146" i="2"/>
  <c r="I146" i="2" s="1"/>
  <c r="L146" i="2" s="1"/>
  <c r="F145" i="2"/>
  <c r="I145" i="2" s="1"/>
  <c r="F142" i="2"/>
  <c r="I142" i="2" s="1"/>
  <c r="F141" i="2"/>
  <c r="I141" i="2" s="1"/>
  <c r="F140" i="2"/>
  <c r="I140" i="2" s="1"/>
  <c r="G139" i="2"/>
  <c r="F139" i="2"/>
  <c r="I139" i="2" s="1"/>
  <c r="F138" i="2"/>
  <c r="F137" i="2"/>
  <c r="F136" i="2"/>
  <c r="I136" i="2" s="1"/>
  <c r="F135" i="2"/>
  <c r="I135" i="2" s="1"/>
  <c r="L135" i="2" s="1"/>
  <c r="F134" i="2"/>
  <c r="G134" i="2" s="1"/>
  <c r="F133" i="2"/>
  <c r="I133" i="2" s="1"/>
  <c r="L133" i="2" s="1"/>
  <c r="F132" i="2"/>
  <c r="F131" i="2"/>
  <c r="Y129" i="2"/>
  <c r="X129" i="2"/>
  <c r="V129" i="2"/>
  <c r="U129" i="2"/>
  <c r="S129" i="2"/>
  <c r="R129" i="2"/>
  <c r="F123" i="2"/>
  <c r="O122" i="2"/>
  <c r="R122" i="2" s="1"/>
  <c r="S122" i="2" s="1"/>
  <c r="F122" i="2"/>
  <c r="G122" i="2" s="1"/>
  <c r="F121" i="2"/>
  <c r="I121" i="2" s="1"/>
  <c r="L121" i="2" s="1"/>
  <c r="F120" i="2"/>
  <c r="F119" i="2"/>
  <c r="I119" i="2" s="1"/>
  <c r="L119" i="2" s="1"/>
  <c r="F118" i="2"/>
  <c r="G118" i="2" s="1"/>
  <c r="F117" i="2"/>
  <c r="F116" i="2"/>
  <c r="F115" i="2"/>
  <c r="I115" i="2" s="1"/>
  <c r="F114" i="2"/>
  <c r="I114" i="2" s="1"/>
  <c r="F113" i="2"/>
  <c r="G113" i="2" s="1"/>
  <c r="F112" i="2"/>
  <c r="F109" i="2"/>
  <c r="F110" i="2" s="1"/>
  <c r="F106" i="2"/>
  <c r="G106" i="2" s="1"/>
  <c r="F105" i="2"/>
  <c r="I105" i="2" s="1"/>
  <c r="F104" i="2"/>
  <c r="G104" i="2" s="1"/>
  <c r="F103" i="2"/>
  <c r="F102" i="2" s="1"/>
  <c r="G102" i="2" s="1"/>
  <c r="F101" i="2"/>
  <c r="G101" i="2" s="1"/>
  <c r="F100" i="2"/>
  <c r="F99" i="2"/>
  <c r="I99" i="2" s="1"/>
  <c r="J99" i="2" s="1"/>
  <c r="F97" i="2"/>
  <c r="F95" i="2" s="1"/>
  <c r="G95" i="2" s="1"/>
  <c r="Y96" i="2"/>
  <c r="V96" i="2"/>
  <c r="S96" i="2"/>
  <c r="P96" i="2"/>
  <c r="M96" i="2"/>
  <c r="J96" i="2"/>
  <c r="G96" i="2"/>
  <c r="F94" i="2"/>
  <c r="F93" i="2"/>
  <c r="F90" i="2"/>
  <c r="F89" i="2"/>
  <c r="F87" i="2"/>
  <c r="F86" i="2"/>
  <c r="G86" i="2" s="1"/>
  <c r="F85" i="2"/>
  <c r="I85" i="2" s="1"/>
  <c r="F84" i="2"/>
  <c r="F83" i="2"/>
  <c r="G83" i="2" s="1"/>
  <c r="F82" i="2"/>
  <c r="I82" i="2" s="1"/>
  <c r="F81" i="2"/>
  <c r="G81" i="2" s="1"/>
  <c r="F80" i="2"/>
  <c r="G80" i="2" s="1"/>
  <c r="F79" i="2"/>
  <c r="G79" i="2" s="1"/>
  <c r="F78" i="2"/>
  <c r="F77" i="2"/>
  <c r="F76" i="2"/>
  <c r="I76" i="2" s="1"/>
  <c r="L76" i="2" s="1"/>
  <c r="F75" i="2"/>
  <c r="I75" i="2" s="1"/>
  <c r="F74" i="2"/>
  <c r="I74" i="2" s="1"/>
  <c r="J74" i="2" s="1"/>
  <c r="F73" i="2"/>
  <c r="F72" i="2"/>
  <c r="I72" i="2" s="1"/>
  <c r="J72" i="2" s="1"/>
  <c r="F71" i="2"/>
  <c r="I71" i="2" s="1"/>
  <c r="J71" i="2" s="1"/>
  <c r="F70" i="2"/>
  <c r="F69" i="2"/>
  <c r="I69" i="2" s="1"/>
  <c r="J69" i="2" s="1"/>
  <c r="F68" i="2"/>
  <c r="G68" i="2" s="1"/>
  <c r="F67" i="2"/>
  <c r="G67" i="2" s="1"/>
  <c r="F65" i="2"/>
  <c r="I65" i="2" s="1"/>
  <c r="L65" i="2" s="1"/>
  <c r="M65" i="2" s="1"/>
  <c r="F64" i="2"/>
  <c r="I64" i="2" s="1"/>
  <c r="J64" i="2" s="1"/>
  <c r="F63" i="2"/>
  <c r="I63" i="2" s="1"/>
  <c r="L63" i="2" s="1"/>
  <c r="M63" i="2" s="1"/>
  <c r="F62" i="2"/>
  <c r="F61" i="2"/>
  <c r="I61" i="2" s="1"/>
  <c r="J61" i="2" s="1"/>
  <c r="F60" i="2"/>
  <c r="I60" i="2" s="1"/>
  <c r="L60" i="2" s="1"/>
  <c r="M60" i="2" s="1"/>
  <c r="Y59" i="2"/>
  <c r="V59" i="2"/>
  <c r="S59" i="2"/>
  <c r="P59" i="2"/>
  <c r="M59" i="2"/>
  <c r="J59" i="2"/>
  <c r="G59" i="2"/>
  <c r="F58" i="2"/>
  <c r="I58" i="2" s="1"/>
  <c r="J58" i="2" s="1"/>
  <c r="F57" i="2"/>
  <c r="I57" i="2" s="1"/>
  <c r="L57" i="2" s="1"/>
  <c r="O57" i="2" s="1"/>
  <c r="F56" i="2"/>
  <c r="F55" i="2"/>
  <c r="I55" i="2" s="1"/>
  <c r="I54" i="2"/>
  <c r="L54" i="2" s="1"/>
  <c r="O54" i="2" s="1"/>
  <c r="F54" i="2"/>
  <c r="G54" i="2" s="1"/>
  <c r="F53" i="2"/>
  <c r="F52" i="2"/>
  <c r="I52" i="2" s="1"/>
  <c r="F51" i="2"/>
  <c r="G51" i="2" s="1"/>
  <c r="Y49" i="2"/>
  <c r="V49" i="2"/>
  <c r="S49" i="2"/>
  <c r="L49" i="2"/>
  <c r="J49" i="2"/>
  <c r="G49" i="2"/>
  <c r="I48" i="2"/>
  <c r="L48" i="2" s="1"/>
  <c r="M48" i="2" s="1"/>
  <c r="G48" i="2"/>
  <c r="F47" i="2"/>
  <c r="G47" i="2" s="1"/>
  <c r="F46" i="2"/>
  <c r="I46" i="2" s="1"/>
  <c r="L46" i="2" s="1"/>
  <c r="M46" i="2" s="1"/>
  <c r="F45" i="2"/>
  <c r="I45" i="2" s="1"/>
  <c r="L45" i="2" s="1"/>
  <c r="O45" i="2" s="1"/>
  <c r="F44" i="2"/>
  <c r="I44" i="2" s="1"/>
  <c r="J44" i="2" s="1"/>
  <c r="F41" i="2"/>
  <c r="G41" i="2" s="1"/>
  <c r="F40" i="2"/>
  <c r="I40" i="2" s="1"/>
  <c r="F39" i="2"/>
  <c r="G39" i="2" s="1"/>
  <c r="F38" i="2"/>
  <c r="F36" i="2"/>
  <c r="I36" i="2" s="1"/>
  <c r="L36" i="2" s="1"/>
  <c r="O36" i="2" s="1"/>
  <c r="F35" i="2"/>
  <c r="F33" i="2"/>
  <c r="I33" i="2" s="1"/>
  <c r="L33" i="2" s="1"/>
  <c r="F32" i="2"/>
  <c r="I32" i="2" s="1"/>
  <c r="J32" i="2" s="1"/>
  <c r="F31" i="2"/>
  <c r="G31" i="2" s="1"/>
  <c r="F30" i="2"/>
  <c r="I30" i="2" s="1"/>
  <c r="J30" i="2" s="1"/>
  <c r="F29" i="2"/>
  <c r="G29" i="2" s="1"/>
  <c r="F28" i="2"/>
  <c r="F26" i="2"/>
  <c r="I26" i="2" s="1"/>
  <c r="F25" i="2"/>
  <c r="F24" i="2"/>
  <c r="I24" i="2" s="1"/>
  <c r="L24" i="2" s="1"/>
  <c r="F21" i="2"/>
  <c r="G21" i="2" s="1"/>
  <c r="F20" i="2"/>
  <c r="I20" i="2" s="1"/>
  <c r="F18" i="2"/>
  <c r="I18" i="2" s="1"/>
  <c r="F17" i="2"/>
  <c r="I17" i="2" s="1"/>
  <c r="F15" i="2"/>
  <c r="G15" i="2" s="1"/>
  <c r="F14" i="2"/>
  <c r="G14" i="2" s="1"/>
  <c r="F12" i="2"/>
  <c r="I12" i="2" s="1"/>
  <c r="L12" i="2" s="1"/>
  <c r="F11" i="2"/>
  <c r="I11" i="2" s="1"/>
  <c r="L11" i="2" s="1"/>
  <c r="F8" i="2"/>
  <c r="I8" i="2" s="1"/>
  <c r="I31" i="2" l="1"/>
  <c r="L31" i="2" s="1"/>
  <c r="M31" i="2" s="1"/>
  <c r="F281" i="2"/>
  <c r="G281" i="2" s="1"/>
  <c r="I47" i="2"/>
  <c r="J234" i="2"/>
  <c r="I29" i="2"/>
  <c r="J29" i="2" s="1"/>
  <c r="J65" i="2"/>
  <c r="I266" i="2"/>
  <c r="Y213" i="2"/>
  <c r="I267" i="2"/>
  <c r="L267" i="2" s="1"/>
  <c r="O267" i="2" s="1"/>
  <c r="R267" i="2" s="1"/>
  <c r="R234" i="2"/>
  <c r="U234" i="2" s="1"/>
  <c r="V234" i="2" s="1"/>
  <c r="O296" i="2"/>
  <c r="P296" i="2" s="1"/>
  <c r="J47" i="2"/>
  <c r="S226" i="2"/>
  <c r="L269" i="2"/>
  <c r="O269" i="2" s="1"/>
  <c r="G121" i="2"/>
  <c r="F144" i="2"/>
  <c r="F143" i="2" s="1"/>
  <c r="G143" i="2" s="1"/>
  <c r="J280" i="2"/>
  <c r="G26" i="2"/>
  <c r="P298" i="2"/>
  <c r="I113" i="2"/>
  <c r="L113" i="2" s="1"/>
  <c r="U122" i="2"/>
  <c r="X122" i="2" s="1"/>
  <c r="Y122" i="2" s="1"/>
  <c r="F231" i="2"/>
  <c r="F252" i="2"/>
  <c r="G252" i="2" s="1"/>
  <c r="G12" i="2"/>
  <c r="J76" i="2"/>
  <c r="P170" i="2"/>
  <c r="S298" i="2"/>
  <c r="U298" i="2"/>
  <c r="O255" i="2"/>
  <c r="M255" i="2"/>
  <c r="P269" i="2"/>
  <c r="R269" i="2"/>
  <c r="U170" i="2"/>
  <c r="V170" i="2" s="1"/>
  <c r="S170" i="2"/>
  <c r="J265" i="2"/>
  <c r="L265" i="2"/>
  <c r="O265" i="2" s="1"/>
  <c r="R265" i="2" s="1"/>
  <c r="O280" i="2"/>
  <c r="M280" i="2"/>
  <c r="G58" i="2"/>
  <c r="G61" i="2"/>
  <c r="R169" i="2"/>
  <c r="I199" i="2"/>
  <c r="J199" i="2" s="1"/>
  <c r="F208" i="2"/>
  <c r="L238" i="2"/>
  <c r="M269" i="2"/>
  <c r="G286" i="2"/>
  <c r="I227" i="2"/>
  <c r="L227" i="2" s="1"/>
  <c r="O227" i="2" s="1"/>
  <c r="X234" i="2"/>
  <c r="Y234" i="2" s="1"/>
  <c r="G274" i="2"/>
  <c r="G294" i="2"/>
  <c r="I248" i="2"/>
  <c r="L248" i="2" s="1"/>
  <c r="M248" i="2" s="1"/>
  <c r="G254" i="2"/>
  <c r="G295" i="2"/>
  <c r="L32" i="2"/>
  <c r="O32" i="2" s="1"/>
  <c r="O63" i="2"/>
  <c r="P63" i="2" s="1"/>
  <c r="I254" i="2"/>
  <c r="L254" i="2" s="1"/>
  <c r="O254" i="2" s="1"/>
  <c r="G265" i="2"/>
  <c r="P297" i="2"/>
  <c r="F7" i="2"/>
  <c r="J48" i="2"/>
  <c r="I81" i="2"/>
  <c r="G114" i="2"/>
  <c r="I155" i="2"/>
  <c r="J155" i="2" s="1"/>
  <c r="I258" i="2"/>
  <c r="L258" i="2" s="1"/>
  <c r="O258" i="2" s="1"/>
  <c r="J275" i="2"/>
  <c r="R297" i="2"/>
  <c r="I14" i="2"/>
  <c r="J14" i="2" s="1"/>
  <c r="G44" i="2"/>
  <c r="G74" i="2"/>
  <c r="F98" i="2"/>
  <c r="G98" i="2" s="1"/>
  <c r="G105" i="2"/>
  <c r="G146" i="2"/>
  <c r="G211" i="2"/>
  <c r="I250" i="2"/>
  <c r="I268" i="2"/>
  <c r="L268" i="2" s="1"/>
  <c r="O268" i="2" s="1"/>
  <c r="I289" i="2"/>
  <c r="L289" i="2" s="1"/>
  <c r="J204" i="2"/>
  <c r="I224" i="2"/>
  <c r="J224" i="2" s="1"/>
  <c r="G236" i="2"/>
  <c r="J255" i="2"/>
  <c r="I281" i="2"/>
  <c r="J281" i="2" s="1"/>
  <c r="G8" i="2"/>
  <c r="I15" i="2"/>
  <c r="L15" i="2" s="1"/>
  <c r="O15" i="2" s="1"/>
  <c r="G45" i="2"/>
  <c r="G99" i="2"/>
  <c r="F111" i="2"/>
  <c r="G111" i="2" s="1"/>
  <c r="J147" i="2"/>
  <c r="G290" i="2"/>
  <c r="G76" i="2"/>
  <c r="F148" i="2"/>
  <c r="G148" i="2" s="1"/>
  <c r="J169" i="2"/>
  <c r="I187" i="2"/>
  <c r="L187" i="2" s="1"/>
  <c r="I197" i="2"/>
  <c r="L197" i="2" s="1"/>
  <c r="O197" i="2" s="1"/>
  <c r="F264" i="2"/>
  <c r="G264" i="2" s="1"/>
  <c r="F10" i="2"/>
  <c r="G10" i="2" s="1"/>
  <c r="I67" i="2"/>
  <c r="I261" i="2"/>
  <c r="L261" i="2" s="1"/>
  <c r="O261" i="2" s="1"/>
  <c r="F284" i="2"/>
  <c r="G284" i="2" s="1"/>
  <c r="L283" i="2"/>
  <c r="O283" i="2" s="1"/>
  <c r="R283" i="2" s="1"/>
  <c r="J283" i="2"/>
  <c r="J52" i="2"/>
  <c r="L52" i="2"/>
  <c r="O52" i="2" s="1"/>
  <c r="O244" i="2"/>
  <c r="P244" i="2" s="1"/>
  <c r="M244" i="2"/>
  <c r="O289" i="2"/>
  <c r="M289" i="2"/>
  <c r="L85" i="2"/>
  <c r="M85" i="2" s="1"/>
  <c r="J85" i="2"/>
  <c r="L278" i="2"/>
  <c r="M278" i="2" s="1"/>
  <c r="J278" i="2"/>
  <c r="M286" i="2"/>
  <c r="O286" i="2"/>
  <c r="L294" i="2"/>
  <c r="O294" i="2" s="1"/>
  <c r="R294" i="2" s="1"/>
  <c r="J294" i="2"/>
  <c r="L8" i="2"/>
  <c r="L7" i="2" s="1"/>
  <c r="I7" i="2"/>
  <c r="L115" i="2"/>
  <c r="O115" i="2" s="1"/>
  <c r="J115" i="2"/>
  <c r="L300" i="2"/>
  <c r="O300" i="2" s="1"/>
  <c r="J300" i="2"/>
  <c r="J287" i="2"/>
  <c r="L287" i="2"/>
  <c r="O287" i="2" s="1"/>
  <c r="L274" i="2"/>
  <c r="J274" i="2"/>
  <c r="J55" i="2"/>
  <c r="L55" i="2"/>
  <c r="O55" i="2" s="1"/>
  <c r="L82" i="2"/>
  <c r="M82" i="2" s="1"/>
  <c r="J82" i="2"/>
  <c r="J288" i="2"/>
  <c r="L288" i="2"/>
  <c r="O288" i="2" s="1"/>
  <c r="R288" i="2" s="1"/>
  <c r="G69" i="2"/>
  <c r="G72" i="2"/>
  <c r="G157" i="2"/>
  <c r="G166" i="2"/>
  <c r="J211" i="2"/>
  <c r="G214" i="2"/>
  <c r="I228" i="2"/>
  <c r="L228" i="2" s="1"/>
  <c r="G257" i="2"/>
  <c r="G259" i="2"/>
  <c r="J261" i="2"/>
  <c r="G285" i="2"/>
  <c r="G291" i="2"/>
  <c r="F293" i="2"/>
  <c r="G293" i="2" s="1"/>
  <c r="L69" i="2"/>
  <c r="I80" i="2"/>
  <c r="G82" i="2"/>
  <c r="G85" i="2"/>
  <c r="I104" i="2"/>
  <c r="I106" i="2"/>
  <c r="G109" i="2"/>
  <c r="I149" i="2"/>
  <c r="J149" i="2" s="1"/>
  <c r="L157" i="2"/>
  <c r="O157" i="2" s="1"/>
  <c r="G181" i="2"/>
  <c r="I185" i="2"/>
  <c r="J185" i="2" s="1"/>
  <c r="G242" i="2"/>
  <c r="I285" i="2"/>
  <c r="G11" i="2"/>
  <c r="I21" i="2"/>
  <c r="L21" i="2" s="1"/>
  <c r="O21" i="2" s="1"/>
  <c r="G55" i="2"/>
  <c r="O60" i="2"/>
  <c r="P60" i="2" s="1"/>
  <c r="G64" i="2"/>
  <c r="I109" i="2"/>
  <c r="I118" i="2"/>
  <c r="G133" i="2"/>
  <c r="I195" i="2"/>
  <c r="L195" i="2" s="1"/>
  <c r="G209" i="2"/>
  <c r="G225" i="2"/>
  <c r="G232" i="2"/>
  <c r="G24" i="2"/>
  <c r="G36" i="2"/>
  <c r="G52" i="2"/>
  <c r="G145" i="2"/>
  <c r="G164" i="2"/>
  <c r="G189" i="2"/>
  <c r="I237" i="2"/>
  <c r="J237" i="2" s="1"/>
  <c r="G245" i="2"/>
  <c r="G300" i="2"/>
  <c r="G115" i="2"/>
  <c r="J121" i="2"/>
  <c r="G179" i="2"/>
  <c r="G201" i="2"/>
  <c r="I260" i="2"/>
  <c r="G276" i="2"/>
  <c r="G278" i="2"/>
  <c r="G282" i="2"/>
  <c r="G288" i="2"/>
  <c r="I39" i="2"/>
  <c r="J39" i="2" s="1"/>
  <c r="G140" i="2"/>
  <c r="I158" i="2"/>
  <c r="G223" i="2"/>
  <c r="I83" i="2"/>
  <c r="I86" i="2"/>
  <c r="I134" i="2"/>
  <c r="G71" i="2"/>
  <c r="G119" i="2"/>
  <c r="I122" i="2"/>
  <c r="J122" i="2" s="1"/>
  <c r="J248" i="2"/>
  <c r="G57" i="2"/>
  <c r="L71" i="2"/>
  <c r="O71" i="2" s="1"/>
  <c r="P71" i="2" s="1"/>
  <c r="I79" i="2"/>
  <c r="I101" i="2"/>
  <c r="G103" i="2"/>
  <c r="J119" i="2"/>
  <c r="G159" i="2"/>
  <c r="G221" i="2"/>
  <c r="G283" i="2"/>
  <c r="J286" i="2"/>
  <c r="G287" i="2"/>
  <c r="G17" i="2"/>
  <c r="G32" i="2"/>
  <c r="L159" i="2"/>
  <c r="G177" i="2"/>
  <c r="I205" i="2"/>
  <c r="I16" i="2"/>
  <c r="J17" i="2"/>
  <c r="L17" i="2"/>
  <c r="P54" i="2"/>
  <c r="R54" i="2"/>
  <c r="L18" i="2"/>
  <c r="J18" i="2"/>
  <c r="L20" i="2"/>
  <c r="J20" i="2"/>
  <c r="R36" i="2"/>
  <c r="P36" i="2"/>
  <c r="L10" i="2"/>
  <c r="O11" i="2"/>
  <c r="M11" i="2"/>
  <c r="L40" i="2"/>
  <c r="J40" i="2"/>
  <c r="R21" i="2"/>
  <c r="P21" i="2"/>
  <c r="O33" i="2"/>
  <c r="M33" i="2"/>
  <c r="O12" i="2"/>
  <c r="M12" i="2"/>
  <c r="O24" i="2"/>
  <c r="M24" i="2"/>
  <c r="P45" i="2"/>
  <c r="R45" i="2"/>
  <c r="P57" i="2"/>
  <c r="R57" i="2"/>
  <c r="L26" i="2"/>
  <c r="J26" i="2"/>
  <c r="G30" i="2"/>
  <c r="J31" i="2"/>
  <c r="G40" i="2"/>
  <c r="I41" i="2"/>
  <c r="G46" i="2"/>
  <c r="M54" i="2"/>
  <c r="L61" i="2"/>
  <c r="L64" i="2"/>
  <c r="I70" i="2"/>
  <c r="G70" i="2"/>
  <c r="F108" i="2"/>
  <c r="G108" i="2" s="1"/>
  <c r="I110" i="2"/>
  <c r="G110" i="2"/>
  <c r="L141" i="2"/>
  <c r="J141" i="2"/>
  <c r="J8" i="2"/>
  <c r="J11" i="2"/>
  <c r="L14" i="2"/>
  <c r="F19" i="2"/>
  <c r="G19" i="2" s="1"/>
  <c r="I25" i="2"/>
  <c r="G25" i="2"/>
  <c r="F27" i="2"/>
  <c r="G27" i="2" s="1"/>
  <c r="L30" i="2"/>
  <c r="O31" i="2"/>
  <c r="J46" i="2"/>
  <c r="M57" i="2"/>
  <c r="L81" i="2"/>
  <c r="J81" i="2"/>
  <c r="J136" i="2"/>
  <c r="L136" i="2"/>
  <c r="O146" i="2"/>
  <c r="M146" i="2"/>
  <c r="I68" i="2"/>
  <c r="F66" i="2"/>
  <c r="G66" i="2" s="1"/>
  <c r="F16" i="2"/>
  <c r="G16" i="2" s="1"/>
  <c r="G18" i="2"/>
  <c r="G28" i="2"/>
  <c r="O46" i="2"/>
  <c r="L47" i="2"/>
  <c r="M47" i="2" s="1"/>
  <c r="O48" i="2"/>
  <c r="I53" i="2"/>
  <c r="G53" i="2"/>
  <c r="G60" i="2"/>
  <c r="G63" i="2"/>
  <c r="J75" i="2"/>
  <c r="L75" i="2"/>
  <c r="F13" i="2"/>
  <c r="G13" i="2" s="1"/>
  <c r="F23" i="2"/>
  <c r="I28" i="2"/>
  <c r="I56" i="2"/>
  <c r="G56" i="2"/>
  <c r="J60" i="2"/>
  <c r="J63" i="2"/>
  <c r="G75" i="2"/>
  <c r="L114" i="2"/>
  <c r="J114" i="2"/>
  <c r="F37" i="2"/>
  <c r="G37" i="2" s="1"/>
  <c r="J15" i="2"/>
  <c r="J24" i="2"/>
  <c r="G38" i="2"/>
  <c r="M45" i="2"/>
  <c r="R63" i="2"/>
  <c r="I10" i="2"/>
  <c r="J12" i="2"/>
  <c r="M36" i="2"/>
  <c r="I38" i="2"/>
  <c r="I62" i="2"/>
  <c r="G62" i="2"/>
  <c r="I73" i="2"/>
  <c r="G73" i="2"/>
  <c r="L214" i="2"/>
  <c r="J214" i="2"/>
  <c r="G20" i="2"/>
  <c r="J33" i="2"/>
  <c r="I35" i="2"/>
  <c r="G35" i="2"/>
  <c r="F34" i="2"/>
  <c r="G34" i="2" s="1"/>
  <c r="L44" i="2"/>
  <c r="L67" i="2"/>
  <c r="J67" i="2"/>
  <c r="M52" i="2"/>
  <c r="I131" i="2"/>
  <c r="G131" i="2"/>
  <c r="F130" i="2"/>
  <c r="P49" i="2"/>
  <c r="M49" i="2"/>
  <c r="F50" i="2"/>
  <c r="I51" i="2"/>
  <c r="L58" i="2"/>
  <c r="O65" i="2"/>
  <c r="I94" i="2"/>
  <c r="G94" i="2"/>
  <c r="I77" i="2"/>
  <c r="G77" i="2"/>
  <c r="I87" i="2"/>
  <c r="G87" i="2"/>
  <c r="G33" i="2"/>
  <c r="J36" i="2"/>
  <c r="J45" i="2"/>
  <c r="J54" i="2"/>
  <c r="J57" i="2"/>
  <c r="G65" i="2"/>
  <c r="I89" i="2"/>
  <c r="G89" i="2"/>
  <c r="F88" i="2"/>
  <c r="G88" i="2" s="1"/>
  <c r="I132" i="2"/>
  <c r="G132" i="2"/>
  <c r="L139" i="2"/>
  <c r="J139" i="2"/>
  <c r="I156" i="2"/>
  <c r="F154" i="2"/>
  <c r="G156" i="2"/>
  <c r="O76" i="2"/>
  <c r="M76" i="2"/>
  <c r="I100" i="2"/>
  <c r="G100" i="2"/>
  <c r="L105" i="2"/>
  <c r="J105" i="2"/>
  <c r="L74" i="2"/>
  <c r="I93" i="2"/>
  <c r="G93" i="2"/>
  <c r="F92" i="2"/>
  <c r="I137" i="2"/>
  <c r="G137" i="2"/>
  <c r="J142" i="2"/>
  <c r="L142" i="2"/>
  <c r="I78" i="2"/>
  <c r="G78" i="2"/>
  <c r="I90" i="2"/>
  <c r="G90" i="2"/>
  <c r="I97" i="2"/>
  <c r="G97" i="2"/>
  <c r="I123" i="2"/>
  <c r="G123" i="2"/>
  <c r="L72" i="2"/>
  <c r="I84" i="2"/>
  <c r="G84" i="2"/>
  <c r="I112" i="2"/>
  <c r="G112" i="2"/>
  <c r="I117" i="2"/>
  <c r="G117" i="2"/>
  <c r="O119" i="2"/>
  <c r="M119" i="2"/>
  <c r="L99" i="2"/>
  <c r="I120" i="2"/>
  <c r="G120" i="2"/>
  <c r="I144" i="2"/>
  <c r="L145" i="2"/>
  <c r="J145" i="2"/>
  <c r="O147" i="2"/>
  <c r="M147" i="2"/>
  <c r="J170" i="2"/>
  <c r="G170" i="2"/>
  <c r="L177" i="2"/>
  <c r="J177" i="2"/>
  <c r="I168" i="2"/>
  <c r="G168" i="2"/>
  <c r="G180" i="2"/>
  <c r="I180" i="2"/>
  <c r="I178" i="2" s="1"/>
  <c r="I183" i="2"/>
  <c r="G183" i="2"/>
  <c r="L186" i="2"/>
  <c r="J186" i="2"/>
  <c r="I103" i="2"/>
  <c r="I116" i="2"/>
  <c r="G116" i="2"/>
  <c r="L221" i="2"/>
  <c r="J221" i="2"/>
  <c r="L162" i="2"/>
  <c r="J162" i="2"/>
  <c r="O135" i="2"/>
  <c r="M135" i="2"/>
  <c r="L140" i="2"/>
  <c r="J140" i="2"/>
  <c r="O133" i="2"/>
  <c r="M133" i="2"/>
  <c r="J135" i="2"/>
  <c r="J146" i="2"/>
  <c r="L153" i="2"/>
  <c r="J153" i="2"/>
  <c r="I151" i="2"/>
  <c r="G151" i="2"/>
  <c r="L160" i="2"/>
  <c r="J160" i="2"/>
  <c r="F178" i="2"/>
  <c r="G178" i="2" s="1"/>
  <c r="G188" i="2"/>
  <c r="I188" i="2"/>
  <c r="I246" i="2"/>
  <c r="I243" i="2" s="1"/>
  <c r="J243" i="2" s="1"/>
  <c r="G246" i="2"/>
  <c r="F243" i="2"/>
  <c r="G243" i="2" s="1"/>
  <c r="O121" i="2"/>
  <c r="M121" i="2"/>
  <c r="I138" i="2"/>
  <c r="G138" i="2"/>
  <c r="R171" i="2"/>
  <c r="P171" i="2"/>
  <c r="G182" i="2"/>
  <c r="I182" i="2"/>
  <c r="F202" i="2"/>
  <c r="G202" i="2" s="1"/>
  <c r="I203" i="2"/>
  <c r="G203" i="2"/>
  <c r="F215" i="2"/>
  <c r="G215" i="2" s="1"/>
  <c r="I216" i="2"/>
  <c r="P122" i="2"/>
  <c r="L179" i="2"/>
  <c r="I212" i="2"/>
  <c r="G212" i="2"/>
  <c r="F277" i="2"/>
  <c r="G277" i="2" s="1"/>
  <c r="I279" i="2"/>
  <c r="I277" i="2" s="1"/>
  <c r="G135" i="2"/>
  <c r="G141" i="2"/>
  <c r="G147" i="2"/>
  <c r="L155" i="2"/>
  <c r="I167" i="2"/>
  <c r="G167" i="2"/>
  <c r="J179" i="2"/>
  <c r="J181" i="2"/>
  <c r="G186" i="2"/>
  <c r="J189" i="2"/>
  <c r="I210" i="2"/>
  <c r="G210" i="2"/>
  <c r="R275" i="2"/>
  <c r="P275" i="2"/>
  <c r="G279" i="2"/>
  <c r="O181" i="2"/>
  <c r="O189" i="2"/>
  <c r="G200" i="2"/>
  <c r="I200" i="2"/>
  <c r="V220" i="2"/>
  <c r="S220" i="2"/>
  <c r="M275" i="2"/>
  <c r="I165" i="2"/>
  <c r="G165" i="2"/>
  <c r="L166" i="2"/>
  <c r="J166" i="2"/>
  <c r="X226" i="2"/>
  <c r="Y226" i="2" s="1"/>
  <c r="G162" i="2"/>
  <c r="I163" i="2"/>
  <c r="G163" i="2"/>
  <c r="L164" i="2"/>
  <c r="J164" i="2"/>
  <c r="J133" i="2"/>
  <c r="I161" i="2"/>
  <c r="G161" i="2"/>
  <c r="G222" i="2"/>
  <c r="F218" i="2"/>
  <c r="V226" i="2"/>
  <c r="G136" i="2"/>
  <c r="G142" i="2"/>
  <c r="I152" i="2"/>
  <c r="G152" i="2"/>
  <c r="G153" i="2"/>
  <c r="G160" i="2"/>
  <c r="I174" i="2"/>
  <c r="G174" i="2"/>
  <c r="O184" i="2"/>
  <c r="M184" i="2"/>
  <c r="J209" i="2"/>
  <c r="O211" i="2"/>
  <c r="M211" i="2"/>
  <c r="I222" i="2"/>
  <c r="O232" i="2"/>
  <c r="M232" i="2"/>
  <c r="I173" i="2"/>
  <c r="I175" i="2"/>
  <c r="G175" i="2"/>
  <c r="L209" i="2"/>
  <c r="J171" i="2"/>
  <c r="G173" i="2"/>
  <c r="I190" i="2"/>
  <c r="G190" i="2"/>
  <c r="I206" i="2"/>
  <c r="L236" i="2"/>
  <c r="J236" i="2"/>
  <c r="F193" i="2"/>
  <c r="I194" i="2"/>
  <c r="G194" i="2"/>
  <c r="I198" i="2"/>
  <c r="G198" i="2"/>
  <c r="L201" i="2"/>
  <c r="J201" i="2"/>
  <c r="L253" i="2"/>
  <c r="J253" i="2"/>
  <c r="I217" i="2"/>
  <c r="G217" i="2"/>
  <c r="I196" i="2"/>
  <c r="G196" i="2"/>
  <c r="I256" i="2"/>
  <c r="L272" i="2"/>
  <c r="J272" i="2"/>
  <c r="L295" i="2"/>
  <c r="J295" i="2"/>
  <c r="O225" i="2"/>
  <c r="M225" i="2"/>
  <c r="I230" i="2"/>
  <c r="G230" i="2"/>
  <c r="G231" i="2"/>
  <c r="J262" i="2"/>
  <c r="L262" i="2"/>
  <c r="S213" i="2"/>
  <c r="P213" i="2"/>
  <c r="I191" i="2"/>
  <c r="J195" i="2"/>
  <c r="O204" i="2"/>
  <c r="M204" i="2"/>
  <c r="I219" i="2"/>
  <c r="L223" i="2"/>
  <c r="J223" i="2"/>
  <c r="I241" i="2"/>
  <c r="G241" i="2"/>
  <c r="I249" i="2"/>
  <c r="G249" i="2"/>
  <c r="I292" i="2"/>
  <c r="G292" i="2"/>
  <c r="F247" i="2"/>
  <c r="G247" i="2" s="1"/>
  <c r="O259" i="2"/>
  <c r="M259" i="2"/>
  <c r="R268" i="2"/>
  <c r="P268" i="2"/>
  <c r="L271" i="2"/>
  <c r="J271" i="2"/>
  <c r="P283" i="2"/>
  <c r="I233" i="2"/>
  <c r="I231" i="2" s="1"/>
  <c r="G233" i="2"/>
  <c r="F239" i="2"/>
  <c r="G239" i="2" s="1"/>
  <c r="I240" i="2"/>
  <c r="G240" i="2"/>
  <c r="L245" i="2"/>
  <c r="J245" i="2"/>
  <c r="M265" i="2"/>
  <c r="M268" i="2"/>
  <c r="G271" i="2"/>
  <c r="L276" i="2"/>
  <c r="J276" i="2"/>
  <c r="M296" i="2"/>
  <c r="J296" i="2"/>
  <c r="P267" i="2"/>
  <c r="X298" i="2"/>
  <c r="Y298" i="2" s="1"/>
  <c r="M300" i="2"/>
  <c r="J225" i="2"/>
  <c r="J227" i="2"/>
  <c r="J232" i="2"/>
  <c r="M234" i="2"/>
  <c r="L273" i="2"/>
  <c r="J273" i="2"/>
  <c r="J282" i="2"/>
  <c r="R289" i="2"/>
  <c r="P289" i="2"/>
  <c r="V298" i="2"/>
  <c r="F251" i="2"/>
  <c r="G251" i="2" s="1"/>
  <c r="J258" i="2"/>
  <c r="R261" i="2"/>
  <c r="P261" i="2"/>
  <c r="G273" i="2"/>
  <c r="R280" i="2"/>
  <c r="P280" i="2"/>
  <c r="L282" i="2"/>
  <c r="O291" i="2"/>
  <c r="L250" i="2"/>
  <c r="J250" i="2"/>
  <c r="L270" i="2"/>
  <c r="J270" i="2"/>
  <c r="S234" i="2"/>
  <c r="L242" i="2"/>
  <c r="J242" i="2"/>
  <c r="J244" i="2"/>
  <c r="O257" i="2"/>
  <c r="M257" i="2"/>
  <c r="L266" i="2"/>
  <c r="L290" i="2"/>
  <c r="J290" i="2"/>
  <c r="I293" i="2"/>
  <c r="O248" i="2"/>
  <c r="J257" i="2"/>
  <c r="J259" i="2"/>
  <c r="M261" i="2"/>
  <c r="G270" i="2"/>
  <c r="G272" i="2"/>
  <c r="M283" i="2"/>
  <c r="G244" i="2"/>
  <c r="G262" i="2"/>
  <c r="J291" i="2"/>
  <c r="M157" i="2" l="1"/>
  <c r="X170" i="2"/>
  <c r="Y170" i="2" s="1"/>
  <c r="P265" i="2"/>
  <c r="I264" i="2"/>
  <c r="I263" i="2" s="1"/>
  <c r="L264" i="2"/>
  <c r="M264" i="2" s="1"/>
  <c r="R71" i="2"/>
  <c r="S71" i="2" s="1"/>
  <c r="G144" i="2"/>
  <c r="J187" i="2"/>
  <c r="R244" i="2"/>
  <c r="O85" i="2"/>
  <c r="V122" i="2"/>
  <c r="M267" i="2"/>
  <c r="I208" i="2"/>
  <c r="M71" i="2"/>
  <c r="M15" i="2"/>
  <c r="M258" i="2"/>
  <c r="M197" i="2"/>
  <c r="I148" i="2"/>
  <c r="J148" i="2" s="1"/>
  <c r="J113" i="2"/>
  <c r="L39" i="2"/>
  <c r="O39" i="2" s="1"/>
  <c r="J254" i="2"/>
  <c r="L293" i="2"/>
  <c r="M293" i="2" s="1"/>
  <c r="M55" i="2"/>
  <c r="J231" i="2"/>
  <c r="G218" i="2"/>
  <c r="L237" i="2"/>
  <c r="L235" i="2" s="1"/>
  <c r="M235" i="2" s="1"/>
  <c r="I19" i="2"/>
  <c r="J19" i="2" s="1"/>
  <c r="J289" i="2"/>
  <c r="L29" i="2"/>
  <c r="M29" i="2" s="1"/>
  <c r="M294" i="2"/>
  <c r="J268" i="2"/>
  <c r="P294" i="2"/>
  <c r="M32" i="2"/>
  <c r="J266" i="2"/>
  <c r="L224" i="2"/>
  <c r="J267" i="2"/>
  <c r="O82" i="2"/>
  <c r="G7" i="2"/>
  <c r="M288" i="2"/>
  <c r="L199" i="2"/>
  <c r="P288" i="2"/>
  <c r="M254" i="2"/>
  <c r="M115" i="2"/>
  <c r="I13" i="2"/>
  <c r="J13" i="2" s="1"/>
  <c r="J228" i="2"/>
  <c r="M8" i="2"/>
  <c r="R296" i="2"/>
  <c r="S296" i="2" s="1"/>
  <c r="U297" i="2"/>
  <c r="S297" i="2"/>
  <c r="O8" i="2"/>
  <c r="O7" i="2" s="1"/>
  <c r="J197" i="2"/>
  <c r="O238" i="2"/>
  <c r="M238" i="2"/>
  <c r="U269" i="2"/>
  <c r="S269" i="2"/>
  <c r="I235" i="2"/>
  <c r="J235" i="2" s="1"/>
  <c r="J7" i="2"/>
  <c r="R60" i="2"/>
  <c r="U60" i="2" s="1"/>
  <c r="S169" i="2"/>
  <c r="U169" i="2"/>
  <c r="R255" i="2"/>
  <c r="P255" i="2"/>
  <c r="M227" i="2"/>
  <c r="I252" i="2"/>
  <c r="I251" i="2" s="1"/>
  <c r="J251" i="2" s="1"/>
  <c r="L149" i="2"/>
  <c r="L148" i="2" s="1"/>
  <c r="M148" i="2" s="1"/>
  <c r="O278" i="2"/>
  <c r="M159" i="2"/>
  <c r="O159" i="2"/>
  <c r="L158" i="2"/>
  <c r="J158" i="2"/>
  <c r="O195" i="2"/>
  <c r="M195" i="2"/>
  <c r="L118" i="2"/>
  <c r="J118" i="2"/>
  <c r="M287" i="2"/>
  <c r="M21" i="2"/>
  <c r="J21" i="2"/>
  <c r="L109" i="2"/>
  <c r="J109" i="2"/>
  <c r="L106" i="2"/>
  <c r="J106" i="2"/>
  <c r="J205" i="2"/>
  <c r="L205" i="2"/>
  <c r="J293" i="2"/>
  <c r="L185" i="2"/>
  <c r="O185" i="2" s="1"/>
  <c r="J16" i="2"/>
  <c r="L104" i="2"/>
  <c r="J104" i="2"/>
  <c r="J101" i="2"/>
  <c r="L101" i="2"/>
  <c r="G208" i="2"/>
  <c r="G207" i="2" s="1"/>
  <c r="L260" i="2"/>
  <c r="J260" i="2"/>
  <c r="J83" i="2"/>
  <c r="L83" i="2"/>
  <c r="L79" i="2"/>
  <c r="J79" i="2"/>
  <c r="L134" i="2"/>
  <c r="J134" i="2"/>
  <c r="L80" i="2"/>
  <c r="J80" i="2"/>
  <c r="R286" i="2"/>
  <c r="P286" i="2"/>
  <c r="L86" i="2"/>
  <c r="J86" i="2"/>
  <c r="I284" i="2"/>
  <c r="J284" i="2" s="1"/>
  <c r="L285" i="2"/>
  <c r="J285" i="2"/>
  <c r="O69" i="2"/>
  <c r="M69" i="2"/>
  <c r="M274" i="2"/>
  <c r="O274" i="2"/>
  <c r="P257" i="2"/>
  <c r="R257" i="2"/>
  <c r="P12" i="2"/>
  <c r="R12" i="2"/>
  <c r="J277" i="2"/>
  <c r="U283" i="2"/>
  <c r="S283" i="2"/>
  <c r="L191" i="2"/>
  <c r="J191" i="2"/>
  <c r="R225" i="2"/>
  <c r="P225" i="2"/>
  <c r="S244" i="2"/>
  <c r="U244" i="2"/>
  <c r="M201" i="2"/>
  <c r="O201" i="2"/>
  <c r="P232" i="2"/>
  <c r="R232" i="2"/>
  <c r="L174" i="2"/>
  <c r="J174" i="2"/>
  <c r="L212" i="2"/>
  <c r="J212" i="2"/>
  <c r="R157" i="2"/>
  <c r="P157" i="2"/>
  <c r="L120" i="2"/>
  <c r="J120" i="2"/>
  <c r="L123" i="2"/>
  <c r="J123" i="2"/>
  <c r="L100" i="2"/>
  <c r="J100" i="2"/>
  <c r="M67" i="2"/>
  <c r="O67" i="2"/>
  <c r="R146" i="2"/>
  <c r="P146" i="2"/>
  <c r="M10" i="2"/>
  <c r="R15" i="2"/>
  <c r="P15" i="2"/>
  <c r="O276" i="2"/>
  <c r="M276" i="2"/>
  <c r="R254" i="2"/>
  <c r="P254" i="2"/>
  <c r="L165" i="2"/>
  <c r="J165" i="2"/>
  <c r="M228" i="2"/>
  <c r="O228" i="2"/>
  <c r="O113" i="2"/>
  <c r="M113" i="2"/>
  <c r="O105" i="2"/>
  <c r="M105" i="2"/>
  <c r="U267" i="2"/>
  <c r="S267" i="2"/>
  <c r="R121" i="2"/>
  <c r="P121" i="2"/>
  <c r="I102" i="2"/>
  <c r="J102" i="2" s="1"/>
  <c r="J103" i="2"/>
  <c r="L103" i="2"/>
  <c r="F43" i="2"/>
  <c r="G50" i="2"/>
  <c r="O10" i="2"/>
  <c r="R11" i="2"/>
  <c r="P11" i="2"/>
  <c r="R291" i="2"/>
  <c r="P291" i="2"/>
  <c r="R258" i="2"/>
  <c r="P258" i="2"/>
  <c r="U265" i="2"/>
  <c r="S265" i="2"/>
  <c r="L222" i="2"/>
  <c r="J222" i="2"/>
  <c r="U275" i="2"/>
  <c r="S275" i="2"/>
  <c r="M155" i="2"/>
  <c r="O155" i="2"/>
  <c r="F207" i="2"/>
  <c r="I98" i="2"/>
  <c r="J98" i="2" s="1"/>
  <c r="J93" i="2"/>
  <c r="L93" i="2"/>
  <c r="I92" i="2"/>
  <c r="P46" i="2"/>
  <c r="R46" i="2"/>
  <c r="O136" i="2"/>
  <c r="M136" i="2"/>
  <c r="J70" i="2"/>
  <c r="L70" i="2"/>
  <c r="O26" i="2"/>
  <c r="M26" i="2"/>
  <c r="O273" i="2"/>
  <c r="M273" i="2"/>
  <c r="L233" i="2"/>
  <c r="J233" i="2"/>
  <c r="L241" i="2"/>
  <c r="J241" i="2"/>
  <c r="L256" i="2"/>
  <c r="J256" i="2"/>
  <c r="J190" i="2"/>
  <c r="L190" i="2"/>
  <c r="I215" i="2"/>
  <c r="J215" i="2" s="1"/>
  <c r="L216" i="2"/>
  <c r="J216" i="2"/>
  <c r="O72" i="2"/>
  <c r="M72" i="2"/>
  <c r="L137" i="2"/>
  <c r="J137" i="2"/>
  <c r="L132" i="2"/>
  <c r="J132" i="2"/>
  <c r="I50" i="2"/>
  <c r="L51" i="2"/>
  <c r="J51" i="2"/>
  <c r="U261" i="2"/>
  <c r="S261" i="2"/>
  <c r="L167" i="2"/>
  <c r="J167" i="2"/>
  <c r="L151" i="2"/>
  <c r="J151" i="2"/>
  <c r="O162" i="2"/>
  <c r="M162" i="2"/>
  <c r="I111" i="2"/>
  <c r="J111" i="2" s="1"/>
  <c r="L112" i="2"/>
  <c r="J112" i="2"/>
  <c r="G92" i="2"/>
  <c r="F91" i="2"/>
  <c r="G91" i="2" s="1"/>
  <c r="U71" i="2"/>
  <c r="R55" i="2"/>
  <c r="P55" i="2"/>
  <c r="J10" i="2"/>
  <c r="F9" i="2"/>
  <c r="G9" i="2" s="1"/>
  <c r="R48" i="2"/>
  <c r="P48" i="2"/>
  <c r="O47" i="2"/>
  <c r="P47" i="2" s="1"/>
  <c r="L25" i="2"/>
  <c r="I23" i="2"/>
  <c r="J25" i="2"/>
  <c r="R227" i="2"/>
  <c r="P227" i="2"/>
  <c r="M236" i="2"/>
  <c r="O236" i="2"/>
  <c r="L246" i="2"/>
  <c r="L243" i="2" s="1"/>
  <c r="M243" i="2" s="1"/>
  <c r="J246" i="2"/>
  <c r="O177" i="2"/>
  <c r="M177" i="2"/>
  <c r="M44" i="2"/>
  <c r="O44" i="2"/>
  <c r="M214" i="2"/>
  <c r="O214" i="2"/>
  <c r="L56" i="2"/>
  <c r="J56" i="2"/>
  <c r="L13" i="2"/>
  <c r="O14" i="2"/>
  <c r="M14" i="2"/>
  <c r="O64" i="2"/>
  <c r="M64" i="2"/>
  <c r="R33" i="2"/>
  <c r="P33" i="2"/>
  <c r="U36" i="2"/>
  <c r="S36" i="2"/>
  <c r="O250" i="2"/>
  <c r="M250" i="2"/>
  <c r="L110" i="2"/>
  <c r="J110" i="2"/>
  <c r="I108" i="2"/>
  <c r="J108" i="2" s="1"/>
  <c r="S288" i="2"/>
  <c r="U288" i="2"/>
  <c r="O245" i="2"/>
  <c r="M245" i="2"/>
  <c r="L210" i="2"/>
  <c r="J210" i="2"/>
  <c r="J178" i="2"/>
  <c r="M153" i="2"/>
  <c r="O153" i="2"/>
  <c r="M221" i="2"/>
  <c r="O221" i="2"/>
  <c r="M186" i="2"/>
  <c r="O186" i="2"/>
  <c r="M99" i="2"/>
  <c r="O99" i="2"/>
  <c r="R76" i="2"/>
  <c r="P76" i="2"/>
  <c r="L87" i="2"/>
  <c r="J87" i="2"/>
  <c r="G130" i="2"/>
  <c r="R52" i="2"/>
  <c r="P52" i="2"/>
  <c r="O61" i="2"/>
  <c r="M61" i="2"/>
  <c r="R24" i="2"/>
  <c r="P24" i="2"/>
  <c r="L16" i="2"/>
  <c r="M16" i="2" s="1"/>
  <c r="O17" i="2"/>
  <c r="M17" i="2"/>
  <c r="R32" i="2"/>
  <c r="P32" i="2"/>
  <c r="O242" i="2"/>
  <c r="M242" i="2"/>
  <c r="O271" i="2"/>
  <c r="M271" i="2"/>
  <c r="O224" i="2"/>
  <c r="M224" i="2"/>
  <c r="L217" i="2"/>
  <c r="J217" i="2"/>
  <c r="R211" i="2"/>
  <c r="P211" i="2"/>
  <c r="L161" i="2"/>
  <c r="J161" i="2"/>
  <c r="L200" i="2"/>
  <c r="J200" i="2"/>
  <c r="L188" i="2"/>
  <c r="J188" i="2"/>
  <c r="L281" i="2"/>
  <c r="M281" i="2" s="1"/>
  <c r="O282" i="2"/>
  <c r="M282" i="2"/>
  <c r="L292" i="2"/>
  <c r="J292" i="2"/>
  <c r="L198" i="2"/>
  <c r="J198" i="2"/>
  <c r="M179" i="2"/>
  <c r="O179" i="2"/>
  <c r="I202" i="2"/>
  <c r="J202" i="2" s="1"/>
  <c r="L203" i="2"/>
  <c r="J203" i="2"/>
  <c r="L138" i="2"/>
  <c r="J138" i="2"/>
  <c r="O140" i="2"/>
  <c r="M140" i="2"/>
  <c r="I95" i="2"/>
  <c r="J95" i="2" s="1"/>
  <c r="J97" i="2"/>
  <c r="L97" i="2"/>
  <c r="R82" i="2"/>
  <c r="P82" i="2"/>
  <c r="G154" i="2"/>
  <c r="J89" i="2"/>
  <c r="I88" i="2"/>
  <c r="J88" i="2" s="1"/>
  <c r="L89" i="2"/>
  <c r="J73" i="2"/>
  <c r="L73" i="2"/>
  <c r="M81" i="2"/>
  <c r="O81" i="2"/>
  <c r="U21" i="2"/>
  <c r="S21" i="2"/>
  <c r="I239" i="2"/>
  <c r="J239" i="2" s="1"/>
  <c r="J240" i="2"/>
  <c r="L240" i="2"/>
  <c r="U268" i="2"/>
  <c r="S268" i="2"/>
  <c r="M223" i="2"/>
  <c r="O223" i="2"/>
  <c r="O262" i="2"/>
  <c r="M262" i="2"/>
  <c r="O295" i="2"/>
  <c r="M295" i="2"/>
  <c r="L196" i="2"/>
  <c r="J196" i="2"/>
  <c r="O209" i="2"/>
  <c r="M209" i="2"/>
  <c r="L152" i="2"/>
  <c r="J152" i="2"/>
  <c r="L183" i="2"/>
  <c r="J183" i="2"/>
  <c r="L77" i="2"/>
  <c r="J77" i="2"/>
  <c r="L131" i="2"/>
  <c r="J131" i="2"/>
  <c r="I130" i="2"/>
  <c r="L35" i="2"/>
  <c r="I34" i="2"/>
  <c r="J34" i="2" s="1"/>
  <c r="J35" i="2"/>
  <c r="U63" i="2"/>
  <c r="S63" i="2"/>
  <c r="O75" i="2"/>
  <c r="M75" i="2"/>
  <c r="L53" i="2"/>
  <c r="J53" i="2"/>
  <c r="O290" i="2"/>
  <c r="M290" i="2"/>
  <c r="S280" i="2"/>
  <c r="U280" i="2"/>
  <c r="I218" i="2"/>
  <c r="J218" i="2" s="1"/>
  <c r="L219" i="2"/>
  <c r="J219" i="2"/>
  <c r="L180" i="2"/>
  <c r="J180" i="2"/>
  <c r="R85" i="2"/>
  <c r="P85" i="2"/>
  <c r="L90" i="2"/>
  <c r="J90" i="2"/>
  <c r="O74" i="2"/>
  <c r="M74" i="2"/>
  <c r="L156" i="2"/>
  <c r="J156" i="2"/>
  <c r="I154" i="2"/>
  <c r="J154" i="2" s="1"/>
  <c r="J62" i="2"/>
  <c r="L62" i="2"/>
  <c r="S60" i="2"/>
  <c r="R115" i="2"/>
  <c r="P115" i="2"/>
  <c r="L41" i="2"/>
  <c r="J41" i="2"/>
  <c r="R248" i="2"/>
  <c r="P248" i="2"/>
  <c r="U289" i="2"/>
  <c r="S289" i="2"/>
  <c r="R287" i="2"/>
  <c r="P287" i="2"/>
  <c r="O164" i="2"/>
  <c r="M164" i="2"/>
  <c r="P189" i="2"/>
  <c r="R189" i="2"/>
  <c r="O187" i="2"/>
  <c r="M187" i="2"/>
  <c r="L182" i="2"/>
  <c r="J182" i="2"/>
  <c r="R135" i="2"/>
  <c r="P135" i="2"/>
  <c r="R147" i="2"/>
  <c r="P147" i="2"/>
  <c r="L19" i="2"/>
  <c r="M19" i="2" s="1"/>
  <c r="M20" i="2"/>
  <c r="O20" i="2"/>
  <c r="R300" i="2"/>
  <c r="P300" i="2"/>
  <c r="G193" i="2"/>
  <c r="G192" i="2" s="1"/>
  <c r="L206" i="2"/>
  <c r="J206" i="2"/>
  <c r="J175" i="2"/>
  <c r="L175" i="2"/>
  <c r="R197" i="2"/>
  <c r="P197" i="2"/>
  <c r="P181" i="2"/>
  <c r="R181" i="2"/>
  <c r="L279" i="2"/>
  <c r="J279" i="2"/>
  <c r="R119" i="2"/>
  <c r="P119" i="2"/>
  <c r="O142" i="2"/>
  <c r="M142" i="2"/>
  <c r="L94" i="2"/>
  <c r="J94" i="2"/>
  <c r="L38" i="2"/>
  <c r="J38" i="2"/>
  <c r="I37" i="2"/>
  <c r="J37" i="2" s="1"/>
  <c r="O114" i="2"/>
  <c r="M114" i="2"/>
  <c r="M39" i="2"/>
  <c r="P31" i="2"/>
  <c r="R31" i="2"/>
  <c r="U57" i="2"/>
  <c r="S57" i="2"/>
  <c r="F6" i="2"/>
  <c r="G6" i="2" s="1"/>
  <c r="O266" i="2"/>
  <c r="M266" i="2"/>
  <c r="G263" i="2"/>
  <c r="R278" i="2"/>
  <c r="P278" i="2"/>
  <c r="R259" i="2"/>
  <c r="P259" i="2"/>
  <c r="L249" i="2"/>
  <c r="J249" i="2"/>
  <c r="L252" i="2"/>
  <c r="O253" i="2"/>
  <c r="M253" i="2"/>
  <c r="I193" i="2"/>
  <c r="J193" i="2" s="1"/>
  <c r="L194" i="2"/>
  <c r="J194" i="2"/>
  <c r="J173" i="2"/>
  <c r="L173" i="2"/>
  <c r="I172" i="2"/>
  <c r="L163" i="2"/>
  <c r="J163" i="2"/>
  <c r="O166" i="2"/>
  <c r="M166" i="2"/>
  <c r="R133" i="2"/>
  <c r="P133" i="2"/>
  <c r="J116" i="2"/>
  <c r="L116" i="2"/>
  <c r="O145" i="2"/>
  <c r="M145" i="2"/>
  <c r="L144" i="2"/>
  <c r="L84" i="2"/>
  <c r="J84" i="2"/>
  <c r="J78" i="2"/>
  <c r="L78" i="2"/>
  <c r="O139" i="2"/>
  <c r="M139" i="2"/>
  <c r="R65" i="2"/>
  <c r="P65" i="2"/>
  <c r="L28" i="2"/>
  <c r="J28" i="2"/>
  <c r="I27" i="2"/>
  <c r="J27" i="2" s="1"/>
  <c r="J68" i="2"/>
  <c r="L68" i="2"/>
  <c r="I66" i="2"/>
  <c r="J66" i="2" s="1"/>
  <c r="O30" i="2"/>
  <c r="M30" i="2"/>
  <c r="O141" i="2"/>
  <c r="M141" i="2"/>
  <c r="O18" i="2"/>
  <c r="M18" i="2"/>
  <c r="P8" i="2"/>
  <c r="M270" i="2"/>
  <c r="O270" i="2"/>
  <c r="J264" i="2"/>
  <c r="F263" i="2"/>
  <c r="F229" i="2" s="1"/>
  <c r="G229" i="2" s="1"/>
  <c r="I247" i="2"/>
  <c r="J247" i="2" s="1"/>
  <c r="P204" i="2"/>
  <c r="R204" i="2"/>
  <c r="L230" i="2"/>
  <c r="J230" i="2"/>
  <c r="M272" i="2"/>
  <c r="O272" i="2"/>
  <c r="F192" i="2"/>
  <c r="F172" i="2"/>
  <c r="G172" i="2" s="1"/>
  <c r="R184" i="2"/>
  <c r="P184" i="2"/>
  <c r="U294" i="2"/>
  <c r="S294" i="2"/>
  <c r="O237" i="2"/>
  <c r="S171" i="2"/>
  <c r="U171" i="2"/>
  <c r="M160" i="2"/>
  <c r="O160" i="2"/>
  <c r="L168" i="2"/>
  <c r="J168" i="2"/>
  <c r="I143" i="2"/>
  <c r="J143" i="2" s="1"/>
  <c r="J144" i="2"/>
  <c r="L117" i="2"/>
  <c r="J117" i="2"/>
  <c r="O58" i="2"/>
  <c r="M58" i="2"/>
  <c r="G23" i="2"/>
  <c r="F22" i="2"/>
  <c r="G22" i="2" s="1"/>
  <c r="U45" i="2"/>
  <c r="S45" i="2"/>
  <c r="M40" i="2"/>
  <c r="O40" i="2"/>
  <c r="U54" i="2"/>
  <c r="S54" i="2"/>
  <c r="M7" i="2"/>
  <c r="J252" i="2" l="1"/>
  <c r="M185" i="2"/>
  <c r="R8" i="2"/>
  <c r="M237" i="2"/>
  <c r="O29" i="2"/>
  <c r="P29" i="2" s="1"/>
  <c r="I9" i="2"/>
  <c r="J9" i="2" s="1"/>
  <c r="I6" i="2"/>
  <c r="M13" i="2"/>
  <c r="L98" i="2"/>
  <c r="M98" i="2" s="1"/>
  <c r="L208" i="2"/>
  <c r="M208" i="2" s="1"/>
  <c r="M149" i="2"/>
  <c r="X297" i="2"/>
  <c r="V297" i="2"/>
  <c r="U296" i="2"/>
  <c r="O149" i="2"/>
  <c r="R149" i="2" s="1"/>
  <c r="J208" i="2"/>
  <c r="I207" i="2"/>
  <c r="V269" i="2"/>
  <c r="X269" i="2"/>
  <c r="Y269" i="2" s="1"/>
  <c r="R238" i="2"/>
  <c r="P238" i="2"/>
  <c r="O199" i="2"/>
  <c r="M199" i="2"/>
  <c r="I229" i="2"/>
  <c r="J229" i="2" s="1"/>
  <c r="U255" i="2"/>
  <c r="S255" i="2"/>
  <c r="X169" i="2"/>
  <c r="Y169" i="2" s="1"/>
  <c r="V169" i="2"/>
  <c r="F150" i="2"/>
  <c r="F299" i="2" s="1"/>
  <c r="F301" i="2" s="1"/>
  <c r="G301" i="2" s="1"/>
  <c r="M79" i="2"/>
  <c r="O79" i="2"/>
  <c r="P69" i="2"/>
  <c r="R69" i="2"/>
  <c r="M285" i="2"/>
  <c r="L284" i="2"/>
  <c r="M284" i="2" s="1"/>
  <c r="O285" i="2"/>
  <c r="O83" i="2"/>
  <c r="M83" i="2"/>
  <c r="O205" i="2"/>
  <c r="M205" i="2"/>
  <c r="O118" i="2"/>
  <c r="M118" i="2"/>
  <c r="O86" i="2"/>
  <c r="M86" i="2"/>
  <c r="M260" i="2"/>
  <c r="O260" i="2"/>
  <c r="O106" i="2"/>
  <c r="M106" i="2"/>
  <c r="R195" i="2"/>
  <c r="P195" i="2"/>
  <c r="G150" i="2"/>
  <c r="G299" i="2" s="1"/>
  <c r="U286" i="2"/>
  <c r="S286" i="2"/>
  <c r="O101" i="2"/>
  <c r="M101" i="2"/>
  <c r="L9" i="2"/>
  <c r="M158" i="2"/>
  <c r="O158" i="2"/>
  <c r="P274" i="2"/>
  <c r="R274" i="2"/>
  <c r="M80" i="2"/>
  <c r="O80" i="2"/>
  <c r="O109" i="2"/>
  <c r="M109" i="2"/>
  <c r="R159" i="2"/>
  <c r="P159" i="2"/>
  <c r="O104" i="2"/>
  <c r="M104" i="2"/>
  <c r="O134" i="2"/>
  <c r="M134" i="2"/>
  <c r="U82" i="2"/>
  <c r="S82" i="2"/>
  <c r="O97" i="2"/>
  <c r="M97" i="2"/>
  <c r="L95" i="2"/>
  <c r="M95" i="2" s="1"/>
  <c r="R162" i="2"/>
  <c r="P162" i="2"/>
  <c r="I43" i="2"/>
  <c r="J50" i="2"/>
  <c r="L215" i="2"/>
  <c r="M215" i="2" s="1"/>
  <c r="O216" i="2"/>
  <c r="M216" i="2"/>
  <c r="F42" i="2"/>
  <c r="G42" i="2" s="1"/>
  <c r="G43" i="2"/>
  <c r="O123" i="2"/>
  <c r="M123" i="2"/>
  <c r="M174" i="2"/>
  <c r="O174" i="2"/>
  <c r="O191" i="2"/>
  <c r="M191" i="2"/>
  <c r="P40" i="2"/>
  <c r="R40" i="2"/>
  <c r="R30" i="2"/>
  <c r="P30" i="2"/>
  <c r="U133" i="2"/>
  <c r="S133" i="2"/>
  <c r="R266" i="2"/>
  <c r="P266" i="2"/>
  <c r="O264" i="2"/>
  <c r="O279" i="2"/>
  <c r="M279" i="2"/>
  <c r="L277" i="2"/>
  <c r="U147" i="2"/>
  <c r="S147" i="2"/>
  <c r="R164" i="2"/>
  <c r="P164" i="2"/>
  <c r="O156" i="2"/>
  <c r="M156" i="2"/>
  <c r="O77" i="2"/>
  <c r="M77" i="2"/>
  <c r="X268" i="2"/>
  <c r="Y268" i="2" s="1"/>
  <c r="V268" i="2"/>
  <c r="M200" i="2"/>
  <c r="O200" i="2"/>
  <c r="R242" i="2"/>
  <c r="P242" i="2"/>
  <c r="U52" i="2"/>
  <c r="S52" i="2"/>
  <c r="R186" i="2"/>
  <c r="P186" i="2"/>
  <c r="X36" i="2"/>
  <c r="Y36" i="2" s="1"/>
  <c r="V36" i="2"/>
  <c r="R44" i="2"/>
  <c r="P44" i="2"/>
  <c r="R185" i="2"/>
  <c r="P185" i="2"/>
  <c r="U55" i="2"/>
  <c r="S55" i="2"/>
  <c r="R26" i="2"/>
  <c r="P26" i="2"/>
  <c r="O103" i="2"/>
  <c r="M103" i="2"/>
  <c r="L102" i="2"/>
  <c r="M102" i="2" s="1"/>
  <c r="U232" i="2"/>
  <c r="S232" i="2"/>
  <c r="R58" i="2"/>
  <c r="P58" i="2"/>
  <c r="O194" i="2"/>
  <c r="M194" i="2"/>
  <c r="L193" i="2"/>
  <c r="M193" i="2" s="1"/>
  <c r="O152" i="2"/>
  <c r="M152" i="2"/>
  <c r="R271" i="2"/>
  <c r="P271" i="2"/>
  <c r="R214" i="2"/>
  <c r="P214" i="2"/>
  <c r="X54" i="2"/>
  <c r="Y54" i="2" s="1"/>
  <c r="V54" i="2"/>
  <c r="O38" i="2"/>
  <c r="L37" i="2"/>
  <c r="M37" i="2" s="1"/>
  <c r="M38" i="2"/>
  <c r="P209" i="2"/>
  <c r="R209" i="2"/>
  <c r="R236" i="2"/>
  <c r="P236" i="2"/>
  <c r="O235" i="2"/>
  <c r="P235" i="2" s="1"/>
  <c r="M151" i="2"/>
  <c r="O151" i="2"/>
  <c r="R228" i="2"/>
  <c r="P228" i="2"/>
  <c r="M120" i="2"/>
  <c r="O120" i="2"/>
  <c r="X171" i="2"/>
  <c r="Y171" i="2" s="1"/>
  <c r="V171" i="2"/>
  <c r="R99" i="2"/>
  <c r="P99" i="2"/>
  <c r="O246" i="2"/>
  <c r="M246" i="2"/>
  <c r="L50" i="2"/>
  <c r="M51" i="2"/>
  <c r="O51" i="2"/>
  <c r="R272" i="2"/>
  <c r="P272" i="2"/>
  <c r="P237" i="2"/>
  <c r="R237" i="2"/>
  <c r="R253" i="2"/>
  <c r="O252" i="2"/>
  <c r="P253" i="2"/>
  <c r="U181" i="2"/>
  <c r="S181" i="2"/>
  <c r="O240" i="2"/>
  <c r="L239" i="2"/>
  <c r="M239" i="2" s="1"/>
  <c r="M240" i="2"/>
  <c r="J207" i="2"/>
  <c r="M132" i="2"/>
  <c r="O132" i="2"/>
  <c r="M190" i="2"/>
  <c r="O190" i="2"/>
  <c r="O70" i="2"/>
  <c r="M70" i="2"/>
  <c r="M117" i="2"/>
  <c r="O117" i="2"/>
  <c r="O68" i="2"/>
  <c r="M68" i="2"/>
  <c r="O78" i="2"/>
  <c r="M78" i="2"/>
  <c r="R166" i="2"/>
  <c r="P166" i="2"/>
  <c r="L251" i="2"/>
  <c r="M251" i="2" s="1"/>
  <c r="M252" i="2"/>
  <c r="U135" i="2"/>
  <c r="S135" i="2"/>
  <c r="M41" i="2"/>
  <c r="O41" i="2"/>
  <c r="P74" i="2"/>
  <c r="R74" i="2"/>
  <c r="O73" i="2"/>
  <c r="M73" i="2"/>
  <c r="O161" i="2"/>
  <c r="M161" i="2"/>
  <c r="U32" i="2"/>
  <c r="S32" i="2"/>
  <c r="R221" i="2"/>
  <c r="P221" i="2"/>
  <c r="R245" i="2"/>
  <c r="P245" i="2"/>
  <c r="U33" i="2"/>
  <c r="S33" i="2"/>
  <c r="I22" i="2"/>
  <c r="J23" i="2"/>
  <c r="V71" i="2"/>
  <c r="X71" i="2"/>
  <c r="Y71" i="2" s="1"/>
  <c r="I150" i="2"/>
  <c r="X265" i="2"/>
  <c r="V265" i="2"/>
  <c r="U146" i="2"/>
  <c r="S146" i="2"/>
  <c r="O53" i="2"/>
  <c r="M53" i="2"/>
  <c r="R250" i="2"/>
  <c r="P250" i="2"/>
  <c r="R139" i="2"/>
  <c r="P139" i="2"/>
  <c r="S248" i="2"/>
  <c r="U248" i="2"/>
  <c r="P75" i="2"/>
  <c r="R75" i="2"/>
  <c r="X283" i="2"/>
  <c r="Y283" i="2" s="1"/>
  <c r="V283" i="2"/>
  <c r="X45" i="2"/>
  <c r="Y45" i="2" s="1"/>
  <c r="V45" i="2"/>
  <c r="X294" i="2"/>
  <c r="V294" i="2"/>
  <c r="O230" i="2"/>
  <c r="M230" i="2"/>
  <c r="U8" i="2"/>
  <c r="S8" i="2"/>
  <c r="R7" i="2"/>
  <c r="X57" i="2"/>
  <c r="Y57" i="2" s="1"/>
  <c r="V57" i="2"/>
  <c r="U287" i="2"/>
  <c r="S287" i="2"/>
  <c r="L218" i="2"/>
  <c r="M218" i="2" s="1"/>
  <c r="M219" i="2"/>
  <c r="O219" i="2"/>
  <c r="R140" i="2"/>
  <c r="P140" i="2"/>
  <c r="O198" i="2"/>
  <c r="M198" i="2"/>
  <c r="X288" i="2"/>
  <c r="Y288" i="2" s="1"/>
  <c r="V288" i="2"/>
  <c r="O25" i="2"/>
  <c r="M25" i="2"/>
  <c r="L23" i="2"/>
  <c r="O137" i="2"/>
  <c r="M137" i="2"/>
  <c r="R155" i="2"/>
  <c r="P155" i="2"/>
  <c r="R201" i="2"/>
  <c r="P201" i="2"/>
  <c r="U12" i="2"/>
  <c r="S12" i="2"/>
  <c r="R273" i="2"/>
  <c r="P273" i="2"/>
  <c r="O163" i="2"/>
  <c r="M163" i="2"/>
  <c r="R270" i="2"/>
  <c r="P270" i="2"/>
  <c r="P61" i="2"/>
  <c r="R61" i="2"/>
  <c r="R113" i="2"/>
  <c r="P113" i="2"/>
  <c r="P7" i="2"/>
  <c r="O249" i="2"/>
  <c r="M249" i="2"/>
  <c r="L247" i="2"/>
  <c r="M247" i="2" s="1"/>
  <c r="O16" i="2"/>
  <c r="P16" i="2" s="1"/>
  <c r="R17" i="2"/>
  <c r="P17" i="2"/>
  <c r="M84" i="2"/>
  <c r="O84" i="2"/>
  <c r="M94" i="2"/>
  <c r="O94" i="2"/>
  <c r="O175" i="2"/>
  <c r="M175" i="2"/>
  <c r="X289" i="2"/>
  <c r="Y289" i="2" s="1"/>
  <c r="V289" i="2"/>
  <c r="U115" i="2"/>
  <c r="S115" i="2"/>
  <c r="X280" i="2"/>
  <c r="Y280" i="2" s="1"/>
  <c r="V280" i="2"/>
  <c r="O183" i="2"/>
  <c r="M183" i="2"/>
  <c r="L88" i="2"/>
  <c r="M88" i="2" s="1"/>
  <c r="O89" i="2"/>
  <c r="M89" i="2"/>
  <c r="M138" i="2"/>
  <c r="O138" i="2"/>
  <c r="O292" i="2"/>
  <c r="M292" i="2"/>
  <c r="P72" i="2"/>
  <c r="R72" i="2"/>
  <c r="U46" i="2"/>
  <c r="S46" i="2"/>
  <c r="L154" i="2"/>
  <c r="M154" i="2" s="1"/>
  <c r="R67" i="2"/>
  <c r="P67" i="2"/>
  <c r="X244" i="2"/>
  <c r="V244" i="2"/>
  <c r="U257" i="2"/>
  <c r="S257" i="2"/>
  <c r="P179" i="2"/>
  <c r="R179" i="2"/>
  <c r="M90" i="2"/>
  <c r="O90" i="2"/>
  <c r="M87" i="2"/>
  <c r="O87" i="2"/>
  <c r="O167" i="2"/>
  <c r="M167" i="2"/>
  <c r="R136" i="2"/>
  <c r="P136" i="2"/>
  <c r="U121" i="2"/>
  <c r="S121" i="2"/>
  <c r="O165" i="2"/>
  <c r="M165" i="2"/>
  <c r="U157" i="2"/>
  <c r="S157" i="2"/>
  <c r="M168" i="2"/>
  <c r="O168" i="2"/>
  <c r="S184" i="2"/>
  <c r="U184" i="2"/>
  <c r="R18" i="2"/>
  <c r="P18" i="2"/>
  <c r="M28" i="2"/>
  <c r="L27" i="2"/>
  <c r="M27" i="2" s="1"/>
  <c r="O28" i="2"/>
  <c r="M144" i="2"/>
  <c r="L143" i="2"/>
  <c r="M143" i="2" s="1"/>
  <c r="J172" i="2"/>
  <c r="U259" i="2"/>
  <c r="S259" i="2"/>
  <c r="R39" i="2"/>
  <c r="P39" i="2"/>
  <c r="O182" i="2"/>
  <c r="M182" i="2"/>
  <c r="U85" i="2"/>
  <c r="S85" i="2"/>
  <c r="R295" i="2"/>
  <c r="P295" i="2"/>
  <c r="O293" i="2"/>
  <c r="P293" i="2" s="1"/>
  <c r="X21" i="2"/>
  <c r="Y21" i="2" s="1"/>
  <c r="V21" i="2"/>
  <c r="O217" i="2"/>
  <c r="M217" i="2"/>
  <c r="U76" i="2"/>
  <c r="S76" i="2"/>
  <c r="O13" i="2"/>
  <c r="P13" i="2" s="1"/>
  <c r="R14" i="2"/>
  <c r="P14" i="2"/>
  <c r="R47" i="2"/>
  <c r="S47" i="2" s="1"/>
  <c r="U48" i="2"/>
  <c r="S48" i="2"/>
  <c r="L111" i="2"/>
  <c r="M111" i="2" s="1"/>
  <c r="M112" i="2"/>
  <c r="O112" i="2"/>
  <c r="M241" i="2"/>
  <c r="O241" i="2"/>
  <c r="U291" i="2"/>
  <c r="S291" i="2"/>
  <c r="X267" i="2"/>
  <c r="Y267" i="2" s="1"/>
  <c r="V267" i="2"/>
  <c r="U254" i="2"/>
  <c r="S254" i="2"/>
  <c r="L66" i="2"/>
  <c r="M66" i="2" s="1"/>
  <c r="O148" i="2"/>
  <c r="P148" i="2" s="1"/>
  <c r="P149" i="2"/>
  <c r="U15" i="2"/>
  <c r="S15" i="2"/>
  <c r="U204" i="2"/>
  <c r="S204" i="2"/>
  <c r="U31" i="2"/>
  <c r="S31" i="2"/>
  <c r="U197" i="2"/>
  <c r="S197" i="2"/>
  <c r="V63" i="2"/>
  <c r="X63" i="2"/>
  <c r="Y63" i="2" s="1"/>
  <c r="O196" i="2"/>
  <c r="M196" i="2"/>
  <c r="U211" i="2"/>
  <c r="S211" i="2"/>
  <c r="R153" i="2"/>
  <c r="P153" i="2"/>
  <c r="P64" i="2"/>
  <c r="R64" i="2"/>
  <c r="O256" i="2"/>
  <c r="M256" i="2"/>
  <c r="U258" i="2"/>
  <c r="S258" i="2"/>
  <c r="L6" i="2"/>
  <c r="O173" i="2"/>
  <c r="M173" i="2"/>
  <c r="R142" i="2"/>
  <c r="P142" i="2"/>
  <c r="U300" i="2"/>
  <c r="S300" i="2"/>
  <c r="V60" i="2"/>
  <c r="X60" i="2"/>
  <c r="Y60" i="2" s="1"/>
  <c r="O35" i="2"/>
  <c r="L34" i="2"/>
  <c r="M34" i="2" s="1"/>
  <c r="M35" i="2"/>
  <c r="L202" i="2"/>
  <c r="M202" i="2" s="1"/>
  <c r="O203" i="2"/>
  <c r="M203" i="2"/>
  <c r="O281" i="2"/>
  <c r="P281" i="2" s="1"/>
  <c r="R282" i="2"/>
  <c r="P282" i="2"/>
  <c r="X275" i="2"/>
  <c r="Y275" i="2" s="1"/>
  <c r="V275" i="2"/>
  <c r="R141" i="2"/>
  <c r="P141" i="2"/>
  <c r="O188" i="2"/>
  <c r="M188" i="2"/>
  <c r="M222" i="2"/>
  <c r="O222" i="2"/>
  <c r="R160" i="2"/>
  <c r="P160" i="2"/>
  <c r="U278" i="2"/>
  <c r="S278" i="2"/>
  <c r="M206" i="2"/>
  <c r="O206" i="2"/>
  <c r="R187" i="2"/>
  <c r="P187" i="2"/>
  <c r="O62" i="2"/>
  <c r="M62" i="2"/>
  <c r="R290" i="2"/>
  <c r="P290" i="2"/>
  <c r="R81" i="2"/>
  <c r="P81" i="2"/>
  <c r="P224" i="2"/>
  <c r="R224" i="2"/>
  <c r="O110" i="2"/>
  <c r="M110" i="2"/>
  <c r="L108" i="2"/>
  <c r="M108" i="2" s="1"/>
  <c r="R177" i="2"/>
  <c r="P177" i="2"/>
  <c r="X261" i="2"/>
  <c r="Y261" i="2" s="1"/>
  <c r="V261" i="2"/>
  <c r="O233" i="2"/>
  <c r="M233" i="2"/>
  <c r="L231" i="2"/>
  <c r="M231" i="2" s="1"/>
  <c r="J92" i="2"/>
  <c r="I91" i="2"/>
  <c r="J91" i="2" s="1"/>
  <c r="U11" i="2"/>
  <c r="S11" i="2"/>
  <c r="R10" i="2"/>
  <c r="R105" i="2"/>
  <c r="P105" i="2"/>
  <c r="M131" i="2"/>
  <c r="L130" i="2"/>
  <c r="O131" i="2"/>
  <c r="P145" i="2"/>
  <c r="O144" i="2"/>
  <c r="R145" i="2"/>
  <c r="O19" i="2"/>
  <c r="P19" i="2" s="1"/>
  <c r="R20" i="2"/>
  <c r="P20" i="2"/>
  <c r="O180" i="2"/>
  <c r="M180" i="2"/>
  <c r="J130" i="2"/>
  <c r="R262" i="2"/>
  <c r="P262" i="2"/>
  <c r="U24" i="2"/>
  <c r="S24" i="2"/>
  <c r="O210" i="2"/>
  <c r="M210" i="2"/>
  <c r="J6" i="2"/>
  <c r="R276" i="2"/>
  <c r="P276" i="2"/>
  <c r="J263" i="2"/>
  <c r="U65" i="2"/>
  <c r="S65" i="2"/>
  <c r="O116" i="2"/>
  <c r="M116" i="2"/>
  <c r="P114" i="2"/>
  <c r="R114" i="2"/>
  <c r="U119" i="2"/>
  <c r="S119" i="2"/>
  <c r="I192" i="2"/>
  <c r="J192" i="2" s="1"/>
  <c r="U189" i="2"/>
  <c r="S189" i="2"/>
  <c r="R223" i="2"/>
  <c r="P223" i="2"/>
  <c r="L178" i="2"/>
  <c r="M178" i="2" s="1"/>
  <c r="O56" i="2"/>
  <c r="M56" i="2"/>
  <c r="S227" i="2"/>
  <c r="U227" i="2"/>
  <c r="L92" i="2"/>
  <c r="O93" i="2"/>
  <c r="M93" i="2"/>
  <c r="P10" i="2"/>
  <c r="O100" i="2"/>
  <c r="M100" i="2"/>
  <c r="O212" i="2"/>
  <c r="M212" i="2"/>
  <c r="S225" i="2"/>
  <c r="U225" i="2"/>
  <c r="M9" i="2" l="1"/>
  <c r="R29" i="2"/>
  <c r="U29" i="2" s="1"/>
  <c r="M6" i="2"/>
  <c r="L207" i="2"/>
  <c r="M207" i="2" s="1"/>
  <c r="F107" i="2"/>
  <c r="G107" i="2" s="1"/>
  <c r="G3" i="2" s="1"/>
  <c r="X255" i="2"/>
  <c r="Y255" i="2" s="1"/>
  <c r="V255" i="2"/>
  <c r="V296" i="2"/>
  <c r="P199" i="2"/>
  <c r="R199" i="2"/>
  <c r="X296" i="2"/>
  <c r="Y296" i="2" s="1"/>
  <c r="Y297" i="2"/>
  <c r="J150" i="2"/>
  <c r="O98" i="2"/>
  <c r="P98" i="2" s="1"/>
  <c r="S238" i="2"/>
  <c r="U238" i="2"/>
  <c r="U195" i="2"/>
  <c r="S195" i="2"/>
  <c r="R205" i="2"/>
  <c r="P205" i="2"/>
  <c r="I299" i="2"/>
  <c r="J299" i="2" s="1"/>
  <c r="R158" i="2"/>
  <c r="P158" i="2"/>
  <c r="O284" i="2"/>
  <c r="P284" i="2" s="1"/>
  <c r="R285" i="2"/>
  <c r="P285" i="2"/>
  <c r="R104" i="2"/>
  <c r="P104" i="2"/>
  <c r="R106" i="2"/>
  <c r="P106" i="2"/>
  <c r="P83" i="2"/>
  <c r="R83" i="2"/>
  <c r="R260" i="2"/>
  <c r="P260" i="2"/>
  <c r="S159" i="2"/>
  <c r="U159" i="2"/>
  <c r="U69" i="2"/>
  <c r="S69" i="2"/>
  <c r="R101" i="2"/>
  <c r="P101" i="2"/>
  <c r="O208" i="2"/>
  <c r="P208" i="2" s="1"/>
  <c r="P109" i="2"/>
  <c r="R109" i="2"/>
  <c r="R86" i="2"/>
  <c r="P86" i="2"/>
  <c r="R79" i="2"/>
  <c r="P79" i="2"/>
  <c r="S274" i="2"/>
  <c r="U274" i="2"/>
  <c r="R80" i="2"/>
  <c r="P80" i="2"/>
  <c r="X286" i="2"/>
  <c r="Y286" i="2" s="1"/>
  <c r="V286" i="2"/>
  <c r="R134" i="2"/>
  <c r="P134" i="2"/>
  <c r="L192" i="2"/>
  <c r="M192" i="2" s="1"/>
  <c r="P118" i="2"/>
  <c r="R118" i="2"/>
  <c r="P182" i="2"/>
  <c r="R182" i="2"/>
  <c r="R94" i="2"/>
  <c r="P94" i="2"/>
  <c r="X248" i="2"/>
  <c r="V248" i="2"/>
  <c r="U272" i="2"/>
  <c r="S272" i="2"/>
  <c r="U209" i="2"/>
  <c r="S209" i="2"/>
  <c r="X189" i="2"/>
  <c r="Y189" i="2" s="1"/>
  <c r="V189" i="2"/>
  <c r="R35" i="2"/>
  <c r="P35" i="2"/>
  <c r="O34" i="2"/>
  <c r="P34" i="2" s="1"/>
  <c r="R148" i="2"/>
  <c r="S148" i="2" s="1"/>
  <c r="U149" i="2"/>
  <c r="S149" i="2"/>
  <c r="X184" i="2"/>
  <c r="Y184" i="2" s="1"/>
  <c r="V184" i="2"/>
  <c r="S136" i="2"/>
  <c r="U136" i="2"/>
  <c r="X257" i="2"/>
  <c r="Y257" i="2" s="1"/>
  <c r="V257" i="2"/>
  <c r="R183" i="2"/>
  <c r="P183" i="2"/>
  <c r="R137" i="2"/>
  <c r="P137" i="2"/>
  <c r="U140" i="2"/>
  <c r="S140" i="2"/>
  <c r="Y265" i="2"/>
  <c r="U245" i="2"/>
  <c r="S245" i="2"/>
  <c r="R41" i="2"/>
  <c r="P41" i="2"/>
  <c r="R117" i="2"/>
  <c r="P117" i="2"/>
  <c r="R240" i="2"/>
  <c r="P240" i="2"/>
  <c r="O239" i="2"/>
  <c r="P239" i="2" s="1"/>
  <c r="R51" i="2"/>
  <c r="O50" i="2"/>
  <c r="P51" i="2"/>
  <c r="U214" i="2"/>
  <c r="S214" i="2"/>
  <c r="S30" i="2"/>
  <c r="U30" i="2"/>
  <c r="P196" i="2"/>
  <c r="R196" i="2"/>
  <c r="P93" i="2"/>
  <c r="R93" i="2"/>
  <c r="O92" i="2"/>
  <c r="L91" i="2"/>
  <c r="M91" i="2" s="1"/>
  <c r="M92" i="2"/>
  <c r="U276" i="2"/>
  <c r="S276" i="2"/>
  <c r="P180" i="2"/>
  <c r="R180" i="2"/>
  <c r="X278" i="2"/>
  <c r="V278" i="2"/>
  <c r="X258" i="2"/>
  <c r="Y258" i="2" s="1"/>
  <c r="V258" i="2"/>
  <c r="R112" i="2"/>
  <c r="O111" i="2"/>
  <c r="P111" i="2" s="1"/>
  <c r="P112" i="2"/>
  <c r="P217" i="2"/>
  <c r="R217" i="2"/>
  <c r="U39" i="2"/>
  <c r="S39" i="2"/>
  <c r="P163" i="2"/>
  <c r="R163" i="2"/>
  <c r="M23" i="2"/>
  <c r="L22" i="2"/>
  <c r="R120" i="2"/>
  <c r="P120" i="2"/>
  <c r="S44" i="2"/>
  <c r="U44" i="2"/>
  <c r="P97" i="2"/>
  <c r="R97" i="2"/>
  <c r="O95" i="2"/>
  <c r="P95" i="2" s="1"/>
  <c r="S141" i="2"/>
  <c r="U141" i="2"/>
  <c r="S18" i="2"/>
  <c r="U18" i="2"/>
  <c r="U72" i="2"/>
  <c r="S72" i="2"/>
  <c r="P68" i="2"/>
  <c r="R68" i="2"/>
  <c r="U105" i="2"/>
  <c r="S105" i="2"/>
  <c r="U81" i="2"/>
  <c r="S81" i="2"/>
  <c r="R168" i="2"/>
  <c r="P168" i="2"/>
  <c r="R167" i="2"/>
  <c r="P167" i="2"/>
  <c r="R249" i="2"/>
  <c r="P249" i="2"/>
  <c r="O247" i="2"/>
  <c r="P247" i="2" s="1"/>
  <c r="U221" i="2"/>
  <c r="S221" i="2"/>
  <c r="X181" i="2"/>
  <c r="Y181" i="2" s="1"/>
  <c r="V181" i="2"/>
  <c r="M50" i="2"/>
  <c r="L43" i="2"/>
  <c r="U271" i="2"/>
  <c r="S271" i="2"/>
  <c r="R216" i="2"/>
  <c r="O215" i="2"/>
  <c r="P215" i="2" s="1"/>
  <c r="P216" i="2"/>
  <c r="R241" i="2"/>
  <c r="P241" i="2"/>
  <c r="X232" i="2"/>
  <c r="V232" i="2"/>
  <c r="X225" i="2"/>
  <c r="Y225" i="2" s="1"/>
  <c r="V225" i="2"/>
  <c r="X119" i="2"/>
  <c r="Y119" i="2" s="1"/>
  <c r="V119" i="2"/>
  <c r="S10" i="2"/>
  <c r="R256" i="2"/>
  <c r="P256" i="2"/>
  <c r="X259" i="2"/>
  <c r="Y259" i="2" s="1"/>
  <c r="V259" i="2"/>
  <c r="R87" i="2"/>
  <c r="P87" i="2"/>
  <c r="Y244" i="2"/>
  <c r="U273" i="2"/>
  <c r="S273" i="2"/>
  <c r="R25" i="2"/>
  <c r="P25" i="2"/>
  <c r="O23" i="2"/>
  <c r="R219" i="2"/>
  <c r="P219" i="2"/>
  <c r="O218" i="2"/>
  <c r="P218" i="2" s="1"/>
  <c r="S7" i="2"/>
  <c r="U139" i="2"/>
  <c r="S139" i="2"/>
  <c r="X135" i="2"/>
  <c r="Y135" i="2" s="1"/>
  <c r="V135" i="2"/>
  <c r="P70" i="2"/>
  <c r="R70" i="2"/>
  <c r="M277" i="2"/>
  <c r="L263" i="2"/>
  <c r="M263" i="2" s="1"/>
  <c r="U40" i="2"/>
  <c r="S40" i="2"/>
  <c r="R116" i="2"/>
  <c r="P116" i="2"/>
  <c r="R200" i="2"/>
  <c r="P200" i="2"/>
  <c r="U114" i="2"/>
  <c r="S114" i="2"/>
  <c r="P210" i="2"/>
  <c r="R210" i="2"/>
  <c r="U290" i="2"/>
  <c r="S290" i="2"/>
  <c r="U64" i="2"/>
  <c r="S64" i="2"/>
  <c r="X197" i="2"/>
  <c r="Y197" i="2" s="1"/>
  <c r="V197" i="2"/>
  <c r="R84" i="2"/>
  <c r="P84" i="2"/>
  <c r="X32" i="2"/>
  <c r="Y32" i="2" s="1"/>
  <c r="V32" i="2"/>
  <c r="R190" i="2"/>
  <c r="P190" i="2"/>
  <c r="O251" i="2"/>
  <c r="P251" i="2" s="1"/>
  <c r="P252" i="2"/>
  <c r="R246" i="2"/>
  <c r="R243" i="2" s="1"/>
  <c r="P246" i="2"/>
  <c r="U228" i="2"/>
  <c r="S228" i="2"/>
  <c r="R152" i="2"/>
  <c r="P152" i="2"/>
  <c r="S185" i="2"/>
  <c r="U185" i="2"/>
  <c r="X227" i="2"/>
  <c r="Y227" i="2" s="1"/>
  <c r="V227" i="2"/>
  <c r="R19" i="2"/>
  <c r="S19" i="2" s="1"/>
  <c r="U20" i="2"/>
  <c r="S20" i="2"/>
  <c r="R144" i="2"/>
  <c r="U145" i="2"/>
  <c r="S145" i="2"/>
  <c r="X11" i="2"/>
  <c r="V11" i="2"/>
  <c r="U10" i="2"/>
  <c r="U177" i="2"/>
  <c r="S177" i="2"/>
  <c r="S160" i="2"/>
  <c r="U160" i="2"/>
  <c r="R281" i="2"/>
  <c r="S281" i="2" s="1"/>
  <c r="U282" i="2"/>
  <c r="S282" i="2"/>
  <c r="X300" i="2"/>
  <c r="Y300" i="2" s="1"/>
  <c r="V300" i="2"/>
  <c r="X254" i="2"/>
  <c r="Y254" i="2" s="1"/>
  <c r="V254" i="2"/>
  <c r="V48" i="2"/>
  <c r="U47" i="2"/>
  <c r="X48" i="2"/>
  <c r="V157" i="2"/>
  <c r="X157" i="2"/>
  <c r="Y157" i="2" s="1"/>
  <c r="R90" i="2"/>
  <c r="P90" i="2"/>
  <c r="O66" i="2"/>
  <c r="P66" i="2" s="1"/>
  <c r="R292" i="2"/>
  <c r="P292" i="2"/>
  <c r="X115" i="2"/>
  <c r="Y115" i="2" s="1"/>
  <c r="V115" i="2"/>
  <c r="O6" i="2"/>
  <c r="P6" i="2" s="1"/>
  <c r="X12" i="2"/>
  <c r="Y12" i="2" s="1"/>
  <c r="V12" i="2"/>
  <c r="X8" i="2"/>
  <c r="V8" i="2"/>
  <c r="U7" i="2"/>
  <c r="U250" i="2"/>
  <c r="S250" i="2"/>
  <c r="U253" i="2"/>
  <c r="S253" i="2"/>
  <c r="R252" i="2"/>
  <c r="R103" i="2"/>
  <c r="P103" i="2"/>
  <c r="O102" i="2"/>
  <c r="P102" i="2" s="1"/>
  <c r="R77" i="2"/>
  <c r="P77" i="2"/>
  <c r="R279" i="2"/>
  <c r="P279" i="2"/>
  <c r="O277" i="2"/>
  <c r="P277" i="2" s="1"/>
  <c r="J43" i="2"/>
  <c r="I42" i="2"/>
  <c r="J42" i="2" s="1"/>
  <c r="X82" i="2"/>
  <c r="Y82" i="2" s="1"/>
  <c r="V82" i="2"/>
  <c r="U224" i="2"/>
  <c r="S224" i="2"/>
  <c r="X76" i="2"/>
  <c r="Y76" i="2" s="1"/>
  <c r="V76" i="2"/>
  <c r="U270" i="2"/>
  <c r="S270" i="2"/>
  <c r="X147" i="2"/>
  <c r="Y147" i="2" s="1"/>
  <c r="V147" i="2"/>
  <c r="P212" i="2"/>
  <c r="R212" i="2"/>
  <c r="R56" i="2"/>
  <c r="P56" i="2"/>
  <c r="P144" i="2"/>
  <c r="O143" i="2"/>
  <c r="P143" i="2" s="1"/>
  <c r="R62" i="2"/>
  <c r="P62" i="2"/>
  <c r="R222" i="2"/>
  <c r="P222" i="2"/>
  <c r="V31" i="2"/>
  <c r="X31" i="2"/>
  <c r="Y31" i="2" s="1"/>
  <c r="R138" i="2"/>
  <c r="P138" i="2"/>
  <c r="P161" i="2"/>
  <c r="R161" i="2"/>
  <c r="R132" i="2"/>
  <c r="P132" i="2"/>
  <c r="U99" i="2"/>
  <c r="S99" i="2"/>
  <c r="R151" i="2"/>
  <c r="P151" i="2"/>
  <c r="S186" i="2"/>
  <c r="U186" i="2"/>
  <c r="P264" i="2"/>
  <c r="R191" i="2"/>
  <c r="P191" i="2"/>
  <c r="S153" i="2"/>
  <c r="U153" i="2"/>
  <c r="U201" i="2"/>
  <c r="S201" i="2"/>
  <c r="J22" i="2"/>
  <c r="U166" i="2"/>
  <c r="S166" i="2"/>
  <c r="R38" i="2"/>
  <c r="O37" i="2"/>
  <c r="P37" i="2" s="1"/>
  <c r="P38" i="2"/>
  <c r="U26" i="2"/>
  <c r="S26" i="2"/>
  <c r="R156" i="2"/>
  <c r="P156" i="2"/>
  <c r="R100" i="2"/>
  <c r="R98" i="2" s="1"/>
  <c r="S98" i="2" s="1"/>
  <c r="P100" i="2"/>
  <c r="R131" i="2"/>
  <c r="P131" i="2"/>
  <c r="O130" i="2"/>
  <c r="P110" i="2"/>
  <c r="R110" i="2"/>
  <c r="O108" i="2"/>
  <c r="P108" i="2" s="1"/>
  <c r="U187" i="2"/>
  <c r="S187" i="2"/>
  <c r="R203" i="2"/>
  <c r="O202" i="2"/>
  <c r="P202" i="2" s="1"/>
  <c r="P203" i="2"/>
  <c r="L172" i="2"/>
  <c r="M172" i="2" s="1"/>
  <c r="X204" i="2"/>
  <c r="Y204" i="2" s="1"/>
  <c r="V204" i="2"/>
  <c r="U14" i="2"/>
  <c r="S14" i="2"/>
  <c r="R13" i="2"/>
  <c r="S13" i="2" s="1"/>
  <c r="R165" i="2"/>
  <c r="P165" i="2"/>
  <c r="O178" i="2"/>
  <c r="P178" i="2" s="1"/>
  <c r="U61" i="2"/>
  <c r="S61" i="2"/>
  <c r="O154" i="2"/>
  <c r="P154" i="2" s="1"/>
  <c r="P230" i="2"/>
  <c r="R230" i="2"/>
  <c r="P73" i="2"/>
  <c r="R73" i="2"/>
  <c r="U237" i="2"/>
  <c r="S237" i="2"/>
  <c r="X52" i="2"/>
  <c r="Y52" i="2" s="1"/>
  <c r="V52" i="2"/>
  <c r="U266" i="2"/>
  <c r="S266" i="2"/>
  <c r="R264" i="2"/>
  <c r="X24" i="2"/>
  <c r="V24" i="2"/>
  <c r="S142" i="2"/>
  <c r="U142" i="2"/>
  <c r="U295" i="2"/>
  <c r="S295" i="2"/>
  <c r="R293" i="2"/>
  <c r="S293" i="2" s="1"/>
  <c r="S113" i="2"/>
  <c r="U113" i="2"/>
  <c r="R174" i="2"/>
  <c r="P174" i="2"/>
  <c r="X65" i="2"/>
  <c r="Y65" i="2" s="1"/>
  <c r="V65" i="2"/>
  <c r="P188" i="2"/>
  <c r="R188" i="2"/>
  <c r="V211" i="2"/>
  <c r="X211" i="2"/>
  <c r="Y211" i="2" s="1"/>
  <c r="X85" i="2"/>
  <c r="Y85" i="2" s="1"/>
  <c r="V85" i="2"/>
  <c r="R178" i="2"/>
  <c r="U179" i="2"/>
  <c r="S179" i="2"/>
  <c r="P89" i="2"/>
  <c r="O88" i="2"/>
  <c r="P88" i="2" s="1"/>
  <c r="R89" i="2"/>
  <c r="U75" i="2"/>
  <c r="S75" i="2"/>
  <c r="X146" i="2"/>
  <c r="Y146" i="2" s="1"/>
  <c r="V146" i="2"/>
  <c r="X33" i="2"/>
  <c r="Y33" i="2" s="1"/>
  <c r="V33" i="2"/>
  <c r="F124" i="2"/>
  <c r="F3" i="2"/>
  <c r="R78" i="2"/>
  <c r="P78" i="2"/>
  <c r="U58" i="2"/>
  <c r="S58" i="2"/>
  <c r="X55" i="2"/>
  <c r="Y55" i="2" s="1"/>
  <c r="V55" i="2"/>
  <c r="U164" i="2"/>
  <c r="S164" i="2"/>
  <c r="P28" i="2"/>
  <c r="R28" i="2"/>
  <c r="O27" i="2"/>
  <c r="P27" i="2" s="1"/>
  <c r="S67" i="2"/>
  <c r="U67" i="2"/>
  <c r="X287" i="2"/>
  <c r="Y287" i="2" s="1"/>
  <c r="V287" i="2"/>
  <c r="R53" i="2"/>
  <c r="P53" i="2"/>
  <c r="P194" i="2"/>
  <c r="O193" i="2"/>
  <c r="P193" i="2" s="1"/>
  <c r="R194" i="2"/>
  <c r="U162" i="2"/>
  <c r="S162" i="2"/>
  <c r="U262" i="2"/>
  <c r="S262" i="2"/>
  <c r="M130" i="2"/>
  <c r="O9" i="2"/>
  <c r="P9" i="2" s="1"/>
  <c r="U223" i="2"/>
  <c r="S223" i="2"/>
  <c r="P233" i="2"/>
  <c r="R233" i="2"/>
  <c r="O231" i="2"/>
  <c r="P231" i="2" s="1"/>
  <c r="R206" i="2"/>
  <c r="P206" i="2"/>
  <c r="P173" i="2"/>
  <c r="R173" i="2"/>
  <c r="X15" i="2"/>
  <c r="Y15" i="2" s="1"/>
  <c r="V15" i="2"/>
  <c r="X291" i="2"/>
  <c r="Y291" i="2" s="1"/>
  <c r="V291" i="2"/>
  <c r="X121" i="2"/>
  <c r="Y121" i="2" s="1"/>
  <c r="V121" i="2"/>
  <c r="V46" i="2"/>
  <c r="X46" i="2"/>
  <c r="Y46" i="2" s="1"/>
  <c r="R175" i="2"/>
  <c r="P175" i="2"/>
  <c r="R16" i="2"/>
  <c r="S16" i="2" s="1"/>
  <c r="U17" i="2"/>
  <c r="S17" i="2"/>
  <c r="S155" i="2"/>
  <c r="U155" i="2"/>
  <c r="P198" i="2"/>
  <c r="R198" i="2"/>
  <c r="Y294" i="2"/>
  <c r="O243" i="2"/>
  <c r="P243" i="2" s="1"/>
  <c r="S74" i="2"/>
  <c r="U74" i="2"/>
  <c r="S236" i="2"/>
  <c r="R235" i="2"/>
  <c r="S235" i="2" s="1"/>
  <c r="U236" i="2"/>
  <c r="U242" i="2"/>
  <c r="S242" i="2"/>
  <c r="X133" i="2"/>
  <c r="Y133" i="2" s="1"/>
  <c r="V133" i="2"/>
  <c r="R123" i="2"/>
  <c r="P123" i="2"/>
  <c r="L229" i="2" l="1"/>
  <c r="M229" i="2" s="1"/>
  <c r="S29" i="2"/>
  <c r="I107" i="2"/>
  <c r="I3" i="2" s="1"/>
  <c r="O172" i="2"/>
  <c r="P172" i="2" s="1"/>
  <c r="S178" i="2"/>
  <c r="U199" i="2"/>
  <c r="S199" i="2"/>
  <c r="I301" i="2"/>
  <c r="J301" i="2" s="1"/>
  <c r="X238" i="2"/>
  <c r="Y238" i="2" s="1"/>
  <c r="V238" i="2"/>
  <c r="R66" i="2"/>
  <c r="S66" i="2" s="1"/>
  <c r="U86" i="2"/>
  <c r="S86" i="2"/>
  <c r="S79" i="2"/>
  <c r="U79" i="2"/>
  <c r="R284" i="2"/>
  <c r="S284" i="2" s="1"/>
  <c r="U285" i="2"/>
  <c r="S285" i="2"/>
  <c r="S118" i="2"/>
  <c r="U118" i="2"/>
  <c r="U260" i="2"/>
  <c r="S260" i="2"/>
  <c r="S134" i="2"/>
  <c r="U134" i="2"/>
  <c r="U109" i="2"/>
  <c r="S109" i="2"/>
  <c r="X29" i="2"/>
  <c r="Y29" i="2" s="1"/>
  <c r="V29" i="2"/>
  <c r="R154" i="2"/>
  <c r="S154" i="2" s="1"/>
  <c r="S83" i="2"/>
  <c r="U83" i="2"/>
  <c r="S158" i="2"/>
  <c r="U158" i="2"/>
  <c r="S243" i="2"/>
  <c r="S101" i="2"/>
  <c r="U101" i="2"/>
  <c r="O192" i="2"/>
  <c r="P192" i="2" s="1"/>
  <c r="O263" i="2"/>
  <c r="P263" i="2" s="1"/>
  <c r="S80" i="2"/>
  <c r="U80" i="2"/>
  <c r="S106" i="2"/>
  <c r="U106" i="2"/>
  <c r="U205" i="2"/>
  <c r="S205" i="2"/>
  <c r="V274" i="2"/>
  <c r="X274" i="2"/>
  <c r="Y274" i="2" s="1"/>
  <c r="V69" i="2"/>
  <c r="X69" i="2"/>
  <c r="Y69" i="2" s="1"/>
  <c r="V159" i="2"/>
  <c r="X159" i="2"/>
  <c r="Y159" i="2" s="1"/>
  <c r="S104" i="2"/>
  <c r="U104" i="2"/>
  <c r="X195" i="2"/>
  <c r="Y195" i="2" s="1"/>
  <c r="V195" i="2"/>
  <c r="X179" i="2"/>
  <c r="V179" i="2"/>
  <c r="X64" i="2"/>
  <c r="Y64" i="2" s="1"/>
  <c r="V64" i="2"/>
  <c r="U87" i="2"/>
  <c r="S87" i="2"/>
  <c r="X155" i="2"/>
  <c r="V155" i="2"/>
  <c r="U174" i="2"/>
  <c r="S174" i="2"/>
  <c r="S264" i="2"/>
  <c r="U165" i="2"/>
  <c r="S165" i="2"/>
  <c r="X187" i="2"/>
  <c r="Y187" i="2" s="1"/>
  <c r="V187" i="2"/>
  <c r="X26" i="2"/>
  <c r="Y26" i="2" s="1"/>
  <c r="V26" i="2"/>
  <c r="X201" i="2"/>
  <c r="Y201" i="2" s="1"/>
  <c r="V201" i="2"/>
  <c r="U138" i="2"/>
  <c r="S138" i="2"/>
  <c r="U212" i="2"/>
  <c r="U208" i="2" s="1"/>
  <c r="S212" i="2"/>
  <c r="S103" i="2"/>
  <c r="R102" i="2"/>
  <c r="S102" i="2" s="1"/>
  <c r="U103" i="2"/>
  <c r="X282" i="2"/>
  <c r="V282" i="2"/>
  <c r="U281" i="2"/>
  <c r="R143" i="2"/>
  <c r="S143" i="2" s="1"/>
  <c r="S144" i="2"/>
  <c r="S168" i="2"/>
  <c r="U168" i="2"/>
  <c r="X18" i="2"/>
  <c r="Y18" i="2" s="1"/>
  <c r="V18" i="2"/>
  <c r="Y278" i="2"/>
  <c r="U196" i="2"/>
  <c r="S196" i="2"/>
  <c r="U137" i="2"/>
  <c r="S137" i="2"/>
  <c r="X149" i="2"/>
  <c r="V149" i="2"/>
  <c r="U148" i="2"/>
  <c r="X272" i="2"/>
  <c r="Y272" i="2" s="1"/>
  <c r="V272" i="2"/>
  <c r="S240" i="2"/>
  <c r="R239" i="2"/>
  <c r="S239" i="2" s="1"/>
  <c r="U240" i="2"/>
  <c r="X242" i="2"/>
  <c r="Y242" i="2" s="1"/>
  <c r="V242" i="2"/>
  <c r="U206" i="2"/>
  <c r="S206" i="2"/>
  <c r="X113" i="2"/>
  <c r="Y113" i="2" s="1"/>
  <c r="V113" i="2"/>
  <c r="U230" i="2"/>
  <c r="S230" i="2"/>
  <c r="X153" i="2"/>
  <c r="Y153" i="2" s="1"/>
  <c r="V153" i="2"/>
  <c r="X99" i="2"/>
  <c r="V99" i="2"/>
  <c r="L150" i="2"/>
  <c r="Y48" i="2"/>
  <c r="X47" i="2"/>
  <c r="Y47" i="2" s="1"/>
  <c r="U152" i="2"/>
  <c r="S152" i="2"/>
  <c r="V290" i="2"/>
  <c r="X290" i="2"/>
  <c r="Y290" i="2" s="1"/>
  <c r="U117" i="2"/>
  <c r="S117" i="2"/>
  <c r="V40" i="2"/>
  <c r="X40" i="2"/>
  <c r="Y40" i="2" s="1"/>
  <c r="X262" i="2"/>
  <c r="Y262" i="2" s="1"/>
  <c r="V262" i="2"/>
  <c r="X67" i="2"/>
  <c r="V67" i="2"/>
  <c r="X58" i="2"/>
  <c r="Y58" i="2" s="1"/>
  <c r="V58" i="2"/>
  <c r="V266" i="2"/>
  <c r="X266" i="2"/>
  <c r="U264" i="2"/>
  <c r="U110" i="2"/>
  <c r="S110" i="2"/>
  <c r="R108" i="2"/>
  <c r="S108" i="2" s="1"/>
  <c r="R251" i="2"/>
  <c r="S251" i="2" s="1"/>
  <c r="S252" i="2"/>
  <c r="V47" i="2"/>
  <c r="V160" i="2"/>
  <c r="X160" i="2"/>
  <c r="Y160" i="2" s="1"/>
  <c r="X20" i="2"/>
  <c r="V20" i="2"/>
  <c r="U19" i="2"/>
  <c r="U210" i="2"/>
  <c r="S210" i="2"/>
  <c r="U70" i="2"/>
  <c r="S70" i="2"/>
  <c r="U219" i="2"/>
  <c r="S219" i="2"/>
  <c r="R218" i="2"/>
  <c r="S218" i="2" s="1"/>
  <c r="X221" i="2"/>
  <c r="Y221" i="2" s="1"/>
  <c r="V221" i="2"/>
  <c r="X81" i="2"/>
  <c r="Y81" i="2" s="1"/>
  <c r="V81" i="2"/>
  <c r="X141" i="2"/>
  <c r="Y141" i="2" s="1"/>
  <c r="V141" i="2"/>
  <c r="X44" i="2"/>
  <c r="Y44" i="2" s="1"/>
  <c r="V44" i="2"/>
  <c r="V39" i="2"/>
  <c r="X39" i="2"/>
  <c r="Y39" i="2" s="1"/>
  <c r="V30" i="2"/>
  <c r="X30" i="2"/>
  <c r="Y30" i="2" s="1"/>
  <c r="U183" i="2"/>
  <c r="S183" i="2"/>
  <c r="Y248" i="2"/>
  <c r="S233" i="2"/>
  <c r="U233" i="2"/>
  <c r="R231" i="2"/>
  <c r="S231" i="2" s="1"/>
  <c r="V75" i="2"/>
  <c r="X75" i="2"/>
  <c r="Y75" i="2" s="1"/>
  <c r="X14" i="2"/>
  <c r="V14" i="2"/>
  <c r="U13" i="2"/>
  <c r="U38" i="2"/>
  <c r="S38" i="2"/>
  <c r="R37" i="2"/>
  <c r="S37" i="2" s="1"/>
  <c r="X228" i="2"/>
  <c r="Y228" i="2" s="1"/>
  <c r="V228" i="2"/>
  <c r="O22" i="2"/>
  <c r="P23" i="2"/>
  <c r="U217" i="2"/>
  <c r="S217" i="2"/>
  <c r="U180" i="2"/>
  <c r="S180" i="2"/>
  <c r="U41" i="2"/>
  <c r="S41" i="2"/>
  <c r="U56" i="2"/>
  <c r="S56" i="2"/>
  <c r="V236" i="2"/>
  <c r="U235" i="2"/>
  <c r="X236" i="2"/>
  <c r="X17" i="2"/>
  <c r="V17" i="2"/>
  <c r="U16" i="2"/>
  <c r="X162" i="2"/>
  <c r="Y162" i="2" s="1"/>
  <c r="V162" i="2"/>
  <c r="U78" i="2"/>
  <c r="S78" i="2"/>
  <c r="P130" i="2"/>
  <c r="U191" i="2"/>
  <c r="S191" i="2"/>
  <c r="V253" i="2"/>
  <c r="U252" i="2"/>
  <c r="X253" i="2"/>
  <c r="U256" i="2"/>
  <c r="S256" i="2"/>
  <c r="X105" i="2"/>
  <c r="Y105" i="2" s="1"/>
  <c r="V105" i="2"/>
  <c r="R34" i="2"/>
  <c r="S34" i="2" s="1"/>
  <c r="S35" i="2"/>
  <c r="U35" i="2"/>
  <c r="V74" i="2"/>
  <c r="X74" i="2"/>
  <c r="Y74" i="2" s="1"/>
  <c r="R193" i="2"/>
  <c r="S193" i="2" s="1"/>
  <c r="U194" i="2"/>
  <c r="S194" i="2"/>
  <c r="U28" i="2"/>
  <c r="R27" i="2"/>
  <c r="S27" i="2" s="1"/>
  <c r="S28" i="2"/>
  <c r="X295" i="2"/>
  <c r="V295" i="2"/>
  <c r="U293" i="2"/>
  <c r="X61" i="2"/>
  <c r="Y61" i="2" s="1"/>
  <c r="V61" i="2"/>
  <c r="X166" i="2"/>
  <c r="Y166" i="2" s="1"/>
  <c r="V166" i="2"/>
  <c r="U222" i="2"/>
  <c r="S222" i="2"/>
  <c r="X177" i="2"/>
  <c r="Y177" i="2" s="1"/>
  <c r="V177" i="2"/>
  <c r="U246" i="2"/>
  <c r="U243" i="2" s="1"/>
  <c r="S246" i="2"/>
  <c r="X114" i="2"/>
  <c r="Y114" i="2" s="1"/>
  <c r="V114" i="2"/>
  <c r="U25" i="2"/>
  <c r="S25" i="2"/>
  <c r="R23" i="2"/>
  <c r="U216" i="2"/>
  <c r="S216" i="2"/>
  <c r="R215" i="2"/>
  <c r="S215" i="2" s="1"/>
  <c r="R95" i="2"/>
  <c r="S95" i="2" s="1"/>
  <c r="U97" i="2"/>
  <c r="S97" i="2"/>
  <c r="X214" i="2"/>
  <c r="Y214" i="2" s="1"/>
  <c r="V214" i="2"/>
  <c r="S151" i="2"/>
  <c r="U151" i="2"/>
  <c r="U163" i="2"/>
  <c r="S163" i="2"/>
  <c r="X223" i="2"/>
  <c r="Y223" i="2" s="1"/>
  <c r="V223" i="2"/>
  <c r="U188" i="2"/>
  <c r="S188" i="2"/>
  <c r="X142" i="2"/>
  <c r="Y142" i="2" s="1"/>
  <c r="V142" i="2"/>
  <c r="R130" i="2"/>
  <c r="U131" i="2"/>
  <c r="S131" i="2"/>
  <c r="X270" i="2"/>
  <c r="Y270" i="2" s="1"/>
  <c r="V270" i="2"/>
  <c r="V250" i="2"/>
  <c r="X250" i="2"/>
  <c r="Y250" i="2" s="1"/>
  <c r="S84" i="2"/>
  <c r="U84" i="2"/>
  <c r="Y232" i="2"/>
  <c r="X276" i="2"/>
  <c r="Y276" i="2" s="1"/>
  <c r="V276" i="2"/>
  <c r="X245" i="2"/>
  <c r="V245" i="2"/>
  <c r="X136" i="2"/>
  <c r="Y136" i="2" s="1"/>
  <c r="V136" i="2"/>
  <c r="U94" i="2"/>
  <c r="S94" i="2"/>
  <c r="R88" i="2"/>
  <c r="S88" i="2" s="1"/>
  <c r="U89" i="2"/>
  <c r="S89" i="2"/>
  <c r="V186" i="2"/>
  <c r="X186" i="2"/>
  <c r="Y186" i="2" s="1"/>
  <c r="U132" i="2"/>
  <c r="S132" i="2"/>
  <c r="S62" i="2"/>
  <c r="U62" i="2"/>
  <c r="U279" i="2"/>
  <c r="S279" i="2"/>
  <c r="R277" i="2"/>
  <c r="S277" i="2" s="1"/>
  <c r="U292" i="2"/>
  <c r="S292" i="2"/>
  <c r="V10" i="2"/>
  <c r="X185" i="2"/>
  <c r="Y185" i="2" s="1"/>
  <c r="V185" i="2"/>
  <c r="U200" i="2"/>
  <c r="S200" i="2"/>
  <c r="X273" i="2"/>
  <c r="Y273" i="2" s="1"/>
  <c r="V273" i="2"/>
  <c r="X271" i="2"/>
  <c r="Y271" i="2" s="1"/>
  <c r="V271" i="2"/>
  <c r="U112" i="2"/>
  <c r="S112" i="2"/>
  <c r="R111" i="2"/>
  <c r="S111" i="2" s="1"/>
  <c r="P50" i="2"/>
  <c r="O43" i="2"/>
  <c r="U182" i="2"/>
  <c r="S182" i="2"/>
  <c r="F302" i="2"/>
  <c r="G302" i="2" s="1"/>
  <c r="G124" i="2"/>
  <c r="U123" i="2"/>
  <c r="S123" i="2"/>
  <c r="R172" i="2"/>
  <c r="S172" i="2" s="1"/>
  <c r="S173" i="2"/>
  <c r="U173" i="2"/>
  <c r="U100" i="2"/>
  <c r="S100" i="2"/>
  <c r="U161" i="2"/>
  <c r="S161" i="2"/>
  <c r="V7" i="2"/>
  <c r="X139" i="2"/>
  <c r="Y139" i="2" s="1"/>
  <c r="V139" i="2"/>
  <c r="R9" i="2"/>
  <c r="S9" i="2" s="1"/>
  <c r="L42" i="2"/>
  <c r="M42" i="2" s="1"/>
  <c r="M43" i="2"/>
  <c r="U249" i="2"/>
  <c r="S249" i="2"/>
  <c r="R247" i="2"/>
  <c r="S247" i="2" s="1"/>
  <c r="S68" i="2"/>
  <c r="U68" i="2"/>
  <c r="U120" i="2"/>
  <c r="S120" i="2"/>
  <c r="U51" i="2"/>
  <c r="R50" i="2"/>
  <c r="S51" i="2"/>
  <c r="R208" i="2"/>
  <c r="X224" i="2"/>
  <c r="Y224" i="2" s="1"/>
  <c r="V224" i="2"/>
  <c r="V72" i="2"/>
  <c r="X72" i="2"/>
  <c r="Y72" i="2" s="1"/>
  <c r="U53" i="2"/>
  <c r="S53" i="2"/>
  <c r="V164" i="2"/>
  <c r="X164" i="2"/>
  <c r="Y164" i="2" s="1"/>
  <c r="X237" i="2"/>
  <c r="Y237" i="2" s="1"/>
  <c r="V237" i="2"/>
  <c r="U77" i="2"/>
  <c r="S77" i="2"/>
  <c r="X10" i="2"/>
  <c r="Y11" i="2"/>
  <c r="S190" i="2"/>
  <c r="U190" i="2"/>
  <c r="S116" i="2"/>
  <c r="U116" i="2"/>
  <c r="U241" i="2"/>
  <c r="S241" i="2"/>
  <c r="M22" i="2"/>
  <c r="P92" i="2"/>
  <c r="O91" i="2"/>
  <c r="P91" i="2" s="1"/>
  <c r="U144" i="2"/>
  <c r="X145" i="2"/>
  <c r="V145" i="2"/>
  <c r="U175" i="2"/>
  <c r="S175" i="2"/>
  <c r="U198" i="2"/>
  <c r="S198" i="2"/>
  <c r="Y24" i="2"/>
  <c r="U73" i="2"/>
  <c r="S73" i="2"/>
  <c r="U203" i="2"/>
  <c r="S203" i="2"/>
  <c r="R202" i="2"/>
  <c r="S202" i="2" s="1"/>
  <c r="U156" i="2"/>
  <c r="S156" i="2"/>
  <c r="X7" i="2"/>
  <c r="Y8" i="2"/>
  <c r="U90" i="2"/>
  <c r="S90" i="2"/>
  <c r="R6" i="2"/>
  <c r="S6" i="2" s="1"/>
  <c r="U167" i="2"/>
  <c r="S167" i="2"/>
  <c r="R92" i="2"/>
  <c r="U93" i="2"/>
  <c r="S93" i="2"/>
  <c r="X140" i="2"/>
  <c r="Y140" i="2" s="1"/>
  <c r="V140" i="2"/>
  <c r="X209" i="2"/>
  <c r="V209" i="2"/>
  <c r="O207" i="2"/>
  <c r="P207" i="2" s="1"/>
  <c r="O229" i="2" l="1"/>
  <c r="P229" i="2" s="1"/>
  <c r="U9" i="2"/>
  <c r="O150" i="2"/>
  <c r="P150" i="2" s="1"/>
  <c r="J107" i="2"/>
  <c r="L107" i="2"/>
  <c r="I124" i="2"/>
  <c r="U154" i="2"/>
  <c r="V154" i="2" s="1"/>
  <c r="X199" i="2"/>
  <c r="Y199" i="2" s="1"/>
  <c r="V199" i="2"/>
  <c r="X83" i="2"/>
  <c r="Y83" i="2" s="1"/>
  <c r="V83" i="2"/>
  <c r="U66" i="2"/>
  <c r="V66" i="2" s="1"/>
  <c r="U6" i="2"/>
  <c r="V6" i="2" s="1"/>
  <c r="X158" i="2"/>
  <c r="Y158" i="2" s="1"/>
  <c r="V158" i="2"/>
  <c r="X205" i="2"/>
  <c r="Y205" i="2" s="1"/>
  <c r="V205" i="2"/>
  <c r="X260" i="2"/>
  <c r="Y260" i="2" s="1"/>
  <c r="V260" i="2"/>
  <c r="X106" i="2"/>
  <c r="Y106" i="2" s="1"/>
  <c r="V106" i="2"/>
  <c r="V80" i="2"/>
  <c r="X80" i="2"/>
  <c r="Y80" i="2" s="1"/>
  <c r="X285" i="2"/>
  <c r="V285" i="2"/>
  <c r="U284" i="2"/>
  <c r="X104" i="2"/>
  <c r="Y104" i="2" s="1"/>
  <c r="V104" i="2"/>
  <c r="X79" i="2"/>
  <c r="Y79" i="2" s="1"/>
  <c r="V79" i="2"/>
  <c r="X101" i="2"/>
  <c r="Y101" i="2" s="1"/>
  <c r="V101" i="2"/>
  <c r="V109" i="2"/>
  <c r="X109" i="2"/>
  <c r="Y109" i="2" s="1"/>
  <c r="X118" i="2"/>
  <c r="Y118" i="2" s="1"/>
  <c r="V118" i="2"/>
  <c r="X134" i="2"/>
  <c r="Y134" i="2" s="1"/>
  <c r="V134" i="2"/>
  <c r="X86" i="2"/>
  <c r="Y86" i="2" s="1"/>
  <c r="V86" i="2"/>
  <c r="X90" i="2"/>
  <c r="Y90" i="2" s="1"/>
  <c r="V90" i="2"/>
  <c r="U193" i="2"/>
  <c r="X194" i="2"/>
  <c r="V194" i="2"/>
  <c r="X161" i="2"/>
  <c r="Y161" i="2" s="1"/>
  <c r="V161" i="2"/>
  <c r="V56" i="2"/>
  <c r="X56" i="2"/>
  <c r="Y56" i="2" s="1"/>
  <c r="X233" i="2"/>
  <c r="V233" i="2"/>
  <c r="U231" i="2"/>
  <c r="M150" i="2"/>
  <c r="L299" i="2"/>
  <c r="V9" i="2"/>
  <c r="X103" i="2"/>
  <c r="V103" i="2"/>
  <c r="U102" i="2"/>
  <c r="Y7" i="2"/>
  <c r="X116" i="2"/>
  <c r="Y116" i="2" s="1"/>
  <c r="V116" i="2"/>
  <c r="R207" i="2"/>
  <c r="S207" i="2" s="1"/>
  <c r="S208" i="2"/>
  <c r="V256" i="2"/>
  <c r="X256" i="2"/>
  <c r="Y256" i="2" s="1"/>
  <c r="U218" i="2"/>
  <c r="V219" i="2"/>
  <c r="X219" i="2"/>
  <c r="Y155" i="2"/>
  <c r="X241" i="2"/>
  <c r="Y241" i="2" s="1"/>
  <c r="V241" i="2"/>
  <c r="X175" i="2"/>
  <c r="Y175" i="2" s="1"/>
  <c r="V175" i="2"/>
  <c r="V100" i="2"/>
  <c r="X100" i="2"/>
  <c r="Y100" i="2" s="1"/>
  <c r="X292" i="2"/>
  <c r="Y292" i="2" s="1"/>
  <c r="V292" i="2"/>
  <c r="U88" i="2"/>
  <c r="V89" i="2"/>
  <c r="X89" i="2"/>
  <c r="V188" i="2"/>
  <c r="X188" i="2"/>
  <c r="Y188" i="2" s="1"/>
  <c r="X252" i="2"/>
  <c r="Y253" i="2"/>
  <c r="V117" i="2"/>
  <c r="X117" i="2"/>
  <c r="Y117" i="2" s="1"/>
  <c r="U98" i="2"/>
  <c r="R192" i="2"/>
  <c r="S192" i="2" s="1"/>
  <c r="V148" i="2"/>
  <c r="X190" i="2"/>
  <c r="Y190" i="2" s="1"/>
  <c r="V190" i="2"/>
  <c r="R43" i="2"/>
  <c r="S50" i="2"/>
  <c r="V182" i="2"/>
  <c r="X182" i="2"/>
  <c r="Y182" i="2" s="1"/>
  <c r="I302" i="2"/>
  <c r="J124" i="2"/>
  <c r="U95" i="2"/>
  <c r="V97" i="2"/>
  <c r="X97" i="2"/>
  <c r="X246" i="2"/>
  <c r="Y246" i="2" s="1"/>
  <c r="V246" i="2"/>
  <c r="V293" i="2"/>
  <c r="V16" i="2"/>
  <c r="V41" i="2"/>
  <c r="X41" i="2"/>
  <c r="Y41" i="2" s="1"/>
  <c r="U37" i="2"/>
  <c r="X38" i="2"/>
  <c r="V38" i="2"/>
  <c r="V70" i="2"/>
  <c r="X70" i="2"/>
  <c r="Y70" i="2" s="1"/>
  <c r="V168" i="2"/>
  <c r="X168" i="2"/>
  <c r="Y168" i="2" s="1"/>
  <c r="X212" i="2"/>
  <c r="Y212" i="2" s="1"/>
  <c r="V212" i="2"/>
  <c r="X87" i="2"/>
  <c r="Y87" i="2" s="1"/>
  <c r="V87" i="2"/>
  <c r="V208" i="2"/>
  <c r="Y209" i="2"/>
  <c r="V51" i="2"/>
  <c r="U50" i="2"/>
  <c r="X51" i="2"/>
  <c r="P43" i="2"/>
  <c r="O42" i="2"/>
  <c r="P42" i="2" s="1"/>
  <c r="U251" i="2"/>
  <c r="V252" i="2"/>
  <c r="V13" i="2"/>
  <c r="Y99" i="2"/>
  <c r="V206" i="2"/>
  <c r="X206" i="2"/>
  <c r="Y149" i="2"/>
  <c r="X148" i="2"/>
  <c r="Y148" i="2" s="1"/>
  <c r="X165" i="2"/>
  <c r="Y165" i="2" s="1"/>
  <c r="V165" i="2"/>
  <c r="U92" i="2"/>
  <c r="X93" i="2"/>
  <c r="V93" i="2"/>
  <c r="X144" i="2"/>
  <c r="Y145" i="2"/>
  <c r="V53" i="2"/>
  <c r="X53" i="2"/>
  <c r="Y53" i="2" s="1"/>
  <c r="X173" i="2"/>
  <c r="V173" i="2"/>
  <c r="V279" i="2"/>
  <c r="X279" i="2"/>
  <c r="U277" i="2"/>
  <c r="X94" i="2"/>
  <c r="Y94" i="2" s="1"/>
  <c r="V94" i="2"/>
  <c r="U130" i="2"/>
  <c r="V131" i="2"/>
  <c r="X131" i="2"/>
  <c r="Y17" i="2"/>
  <c r="X16" i="2"/>
  <c r="Y16" i="2" s="1"/>
  <c r="V180" i="2"/>
  <c r="X180" i="2"/>
  <c r="Y180" i="2" s="1"/>
  <c r="X183" i="2"/>
  <c r="Y183" i="2" s="1"/>
  <c r="V183" i="2"/>
  <c r="V210" i="2"/>
  <c r="X210" i="2"/>
  <c r="Y210" i="2" s="1"/>
  <c r="V138" i="2"/>
  <c r="X138" i="2"/>
  <c r="Y138" i="2" s="1"/>
  <c r="Y245" i="2"/>
  <c r="X78" i="2"/>
  <c r="Y78" i="2" s="1"/>
  <c r="V78" i="2"/>
  <c r="X156" i="2"/>
  <c r="Y156" i="2" s="1"/>
  <c r="V156" i="2"/>
  <c r="S92" i="2"/>
  <c r="R91" i="2"/>
  <c r="S91" i="2" s="1"/>
  <c r="V203" i="2"/>
  <c r="U202" i="2"/>
  <c r="X203" i="2"/>
  <c r="V144" i="2"/>
  <c r="U143" i="2"/>
  <c r="Y10" i="2"/>
  <c r="V120" i="2"/>
  <c r="X120" i="2"/>
  <c r="Y120" i="2" s="1"/>
  <c r="X200" i="2"/>
  <c r="Y200" i="2" s="1"/>
  <c r="V200" i="2"/>
  <c r="V62" i="2"/>
  <c r="X62" i="2"/>
  <c r="Y62" i="2" s="1"/>
  <c r="V84" i="2"/>
  <c r="X84" i="2"/>
  <c r="Y84" i="2" s="1"/>
  <c r="S130" i="2"/>
  <c r="Y295" i="2"/>
  <c r="X293" i="2"/>
  <c r="Y293" i="2" s="1"/>
  <c r="U34" i="2"/>
  <c r="X35" i="2"/>
  <c r="V35" i="2"/>
  <c r="V19" i="2"/>
  <c r="Y67" i="2"/>
  <c r="V249" i="2"/>
  <c r="X249" i="2"/>
  <c r="U247" i="2"/>
  <c r="V68" i="2"/>
  <c r="X68" i="2"/>
  <c r="Y68" i="2" s="1"/>
  <c r="X163" i="2"/>
  <c r="Y163" i="2" s="1"/>
  <c r="V163" i="2"/>
  <c r="V216" i="2"/>
  <c r="X216" i="2"/>
  <c r="U215" i="2"/>
  <c r="V191" i="2"/>
  <c r="X191" i="2"/>
  <c r="Y191" i="2" s="1"/>
  <c r="X235" i="2"/>
  <c r="Y235" i="2" s="1"/>
  <c r="Y236" i="2"/>
  <c r="V217" i="2"/>
  <c r="X217" i="2"/>
  <c r="Y217" i="2" s="1"/>
  <c r="Y14" i="2"/>
  <c r="X13" i="2"/>
  <c r="Y13" i="2" s="1"/>
  <c r="X110" i="2"/>
  <c r="V110" i="2"/>
  <c r="U108" i="2"/>
  <c r="X137" i="2"/>
  <c r="Y137" i="2" s="1"/>
  <c r="V137" i="2"/>
  <c r="V281" i="2"/>
  <c r="R263" i="2"/>
  <c r="S263" i="2" s="1"/>
  <c r="X198" i="2"/>
  <c r="Y198" i="2" s="1"/>
  <c r="V198" i="2"/>
  <c r="X167" i="2"/>
  <c r="Y167" i="2" s="1"/>
  <c r="V167" i="2"/>
  <c r="V73" i="2"/>
  <c r="X73" i="2"/>
  <c r="Y73" i="2" s="1"/>
  <c r="X77" i="2"/>
  <c r="Y77" i="2" s="1"/>
  <c r="V77" i="2"/>
  <c r="V112" i="2"/>
  <c r="U111" i="2"/>
  <c r="X112" i="2"/>
  <c r="R150" i="2"/>
  <c r="S150" i="2" s="1"/>
  <c r="S23" i="2"/>
  <c r="R22" i="2"/>
  <c r="V222" i="2"/>
  <c r="X222" i="2"/>
  <c r="Y222" i="2" s="1"/>
  <c r="Y20" i="2"/>
  <c r="X19" i="2"/>
  <c r="Y19" i="2" s="1"/>
  <c r="U263" i="2"/>
  <c r="V264" i="2"/>
  <c r="X240" i="2"/>
  <c r="V240" i="2"/>
  <c r="U239" i="2"/>
  <c r="U178" i="2"/>
  <c r="U172" i="2" s="1"/>
  <c r="U150" i="2" s="1"/>
  <c r="X123" i="2"/>
  <c r="Y123" i="2" s="1"/>
  <c r="V123" i="2"/>
  <c r="V132" i="2"/>
  <c r="X132" i="2"/>
  <c r="Y132" i="2" s="1"/>
  <c r="V243" i="2"/>
  <c r="X151" i="2"/>
  <c r="V151" i="2"/>
  <c r="U27" i="2"/>
  <c r="V28" i="2"/>
  <c r="X28" i="2"/>
  <c r="O299" i="2"/>
  <c r="V235" i="2"/>
  <c r="P22" i="2"/>
  <c r="Y266" i="2"/>
  <c r="X264" i="2"/>
  <c r="X152" i="2"/>
  <c r="Y152" i="2" s="1"/>
  <c r="V152" i="2"/>
  <c r="X230" i="2"/>
  <c r="V230" i="2"/>
  <c r="V196" i="2"/>
  <c r="X196" i="2"/>
  <c r="Y196" i="2" s="1"/>
  <c r="X174" i="2"/>
  <c r="Y174" i="2" s="1"/>
  <c r="V174" i="2"/>
  <c r="M107" i="2"/>
  <c r="L124" i="2"/>
  <c r="L3" i="2"/>
  <c r="X25" i="2"/>
  <c r="V25" i="2"/>
  <c r="U23" i="2"/>
  <c r="Y282" i="2"/>
  <c r="X281" i="2"/>
  <c r="Y281" i="2" s="1"/>
  <c r="Y179" i="2"/>
  <c r="O107" i="2" l="1"/>
  <c r="X178" i="2"/>
  <c r="Y178" i="2" s="1"/>
  <c r="U229" i="2"/>
  <c r="V284" i="2"/>
  <c r="Y285" i="2"/>
  <c r="X284" i="2"/>
  <c r="Y284" i="2" s="1"/>
  <c r="X98" i="2"/>
  <c r="Y98" i="2" s="1"/>
  <c r="O124" i="2"/>
  <c r="P107" i="2"/>
  <c r="O3" i="2"/>
  <c r="V150" i="2"/>
  <c r="X239" i="2"/>
  <c r="Y239" i="2" s="1"/>
  <c r="Y240" i="2"/>
  <c r="V34" i="2"/>
  <c r="V202" i="2"/>
  <c r="V88" i="2"/>
  <c r="Y25" i="2"/>
  <c r="X23" i="2"/>
  <c r="Y110" i="2"/>
  <c r="X108" i="2"/>
  <c r="Y108" i="2" s="1"/>
  <c r="V215" i="2"/>
  <c r="V247" i="2"/>
  <c r="J302" i="2"/>
  <c r="V98" i="2"/>
  <c r="U91" i="2"/>
  <c r="V92" i="2"/>
  <c r="Y112" i="2"/>
  <c r="X111" i="2"/>
  <c r="Y111" i="2" s="1"/>
  <c r="X215" i="2"/>
  <c r="Y215" i="2" s="1"/>
  <c r="Y216" i="2"/>
  <c r="Y249" i="2"/>
  <c r="X247" i="2"/>
  <c r="Y247" i="2" s="1"/>
  <c r="V172" i="2"/>
  <c r="X208" i="2"/>
  <c r="X154" i="2"/>
  <c r="Y154" i="2" s="1"/>
  <c r="M299" i="2"/>
  <c r="L301" i="2"/>
  <c r="M301" i="2" s="1"/>
  <c r="V263" i="2"/>
  <c r="V111" i="2"/>
  <c r="Y131" i="2"/>
  <c r="X130" i="2"/>
  <c r="X172" i="2"/>
  <c r="Y172" i="2" s="1"/>
  <c r="Y173" i="2"/>
  <c r="X193" i="2"/>
  <c r="Y193" i="2" s="1"/>
  <c r="Y194" i="2"/>
  <c r="Y230" i="2"/>
  <c r="P299" i="2"/>
  <c r="O301" i="2"/>
  <c r="U207" i="2"/>
  <c r="X6" i="2"/>
  <c r="Y6" i="2" s="1"/>
  <c r="V231" i="2"/>
  <c r="V193" i="2"/>
  <c r="V108" i="2"/>
  <c r="V95" i="2"/>
  <c r="X27" i="2"/>
  <c r="Y27" i="2" s="1"/>
  <c r="Y28" i="2"/>
  <c r="X9" i="2"/>
  <c r="Y9" i="2" s="1"/>
  <c r="V130" i="2"/>
  <c r="V251" i="2"/>
  <c r="Y219" i="2"/>
  <c r="X218" i="2"/>
  <c r="Y218" i="2" s="1"/>
  <c r="V23" i="2"/>
  <c r="U22" i="2"/>
  <c r="X66" i="2"/>
  <c r="Y66" i="2" s="1"/>
  <c r="S43" i="2"/>
  <c r="R42" i="2"/>
  <c r="S42" i="2" s="1"/>
  <c r="Y252" i="2"/>
  <c r="X251" i="2"/>
  <c r="Y251" i="2" s="1"/>
  <c r="M124" i="2"/>
  <c r="V143" i="2"/>
  <c r="V218" i="2"/>
  <c r="Y233" i="2"/>
  <c r="X231" i="2"/>
  <c r="Y231" i="2" s="1"/>
  <c r="V27" i="2"/>
  <c r="Y144" i="2"/>
  <c r="X143" i="2"/>
  <c r="Y143" i="2" s="1"/>
  <c r="U192" i="2"/>
  <c r="X37" i="2"/>
  <c r="Y37" i="2" s="1"/>
  <c r="Y38" i="2"/>
  <c r="Y97" i="2"/>
  <c r="X95" i="2"/>
  <c r="Y95" i="2" s="1"/>
  <c r="V102" i="2"/>
  <c r="V50" i="2"/>
  <c r="U43" i="2"/>
  <c r="V178" i="2"/>
  <c r="V277" i="2"/>
  <c r="Y206" i="2"/>
  <c r="Y51" i="2"/>
  <c r="X50" i="2"/>
  <c r="V37" i="2"/>
  <c r="R229" i="2"/>
  <c r="S229" i="2" s="1"/>
  <c r="Y264" i="2"/>
  <c r="Y151" i="2"/>
  <c r="V239" i="2"/>
  <c r="S22" i="2"/>
  <c r="Y35" i="2"/>
  <c r="X34" i="2"/>
  <c r="Y34" i="2" s="1"/>
  <c r="X202" i="2"/>
  <c r="Y202" i="2" s="1"/>
  <c r="Y203" i="2"/>
  <c r="X243" i="2"/>
  <c r="Y243" i="2" s="1"/>
  <c r="Y279" i="2"/>
  <c r="X277" i="2"/>
  <c r="Y277" i="2" s="1"/>
  <c r="Y93" i="2"/>
  <c r="X92" i="2"/>
  <c r="Y89" i="2"/>
  <c r="X88" i="2"/>
  <c r="Y88" i="2" s="1"/>
  <c r="X102" i="2"/>
  <c r="Y102" i="2" s="1"/>
  <c r="Y103" i="2"/>
  <c r="U299" i="2" l="1"/>
  <c r="P301" i="2"/>
  <c r="L302" i="2"/>
  <c r="Y130" i="2"/>
  <c r="U301" i="2"/>
  <c r="Y50" i="2"/>
  <c r="X43" i="2"/>
  <c r="V207" i="2"/>
  <c r="R107" i="2"/>
  <c r="V229" i="2"/>
  <c r="R299" i="2"/>
  <c r="X192" i="2"/>
  <c r="Y192" i="2" s="1"/>
  <c r="V22" i="2"/>
  <c r="Y92" i="2"/>
  <c r="X91" i="2"/>
  <c r="Y91" i="2" s="1"/>
  <c r="X150" i="2"/>
  <c r="Y150" i="2" s="1"/>
  <c r="V192" i="2"/>
  <c r="M302" i="2"/>
  <c r="Y23" i="2"/>
  <c r="X22" i="2"/>
  <c r="V91" i="2"/>
  <c r="X263" i="2"/>
  <c r="Y263" i="2" s="1"/>
  <c r="V43" i="2"/>
  <c r="U42" i="2"/>
  <c r="Y208" i="2"/>
  <c r="X207" i="2"/>
  <c r="Y207" i="2" s="1"/>
  <c r="O302" i="2"/>
  <c r="P124" i="2"/>
  <c r="X229" i="2" l="1"/>
  <c r="Y229" i="2" s="1"/>
  <c r="R301" i="2"/>
  <c r="S301" i="2" s="1"/>
  <c r="S299" i="2"/>
  <c r="P302" i="2"/>
  <c r="R124" i="2"/>
  <c r="S107" i="2"/>
  <c r="R3" i="2"/>
  <c r="V42" i="2"/>
  <c r="X42" i="2"/>
  <c r="Y42" i="2" s="1"/>
  <c r="Y43" i="2"/>
  <c r="U107" i="2"/>
  <c r="V299" i="2"/>
  <c r="Y22" i="2"/>
  <c r="X299" i="2" l="1"/>
  <c r="V301" i="2"/>
  <c r="V107" i="2"/>
  <c r="U124" i="2"/>
  <c r="U3" i="2"/>
  <c r="X301" i="2"/>
  <c r="Y301" i="2" s="1"/>
  <c r="Y299" i="2"/>
  <c r="X107" i="2"/>
  <c r="R302" i="2"/>
  <c r="S124" i="2"/>
  <c r="S302" i="2" l="1"/>
  <c r="X124" i="2"/>
  <c r="Y107" i="2"/>
  <c r="X3" i="2"/>
  <c r="U302" i="2"/>
  <c r="V124" i="2"/>
  <c r="V302" i="2" l="1"/>
  <c r="X302" i="2"/>
  <c r="Y124" i="2"/>
  <c r="Y30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E291" authorId="0" shapeId="0" xr:uid="{6C556914-6405-468C-8810-3177FDFF4FCC}">
      <text>
        <r>
          <rPr>
            <b/>
            <sz val="9"/>
            <color indexed="81"/>
            <rFont val="Tahoma"/>
            <family val="2"/>
            <charset val="186"/>
          </rPr>
          <t>Sarmīte Mūze:</t>
        </r>
        <r>
          <rPr>
            <sz val="9"/>
            <color indexed="81"/>
            <rFont val="Tahoma"/>
            <family val="2"/>
            <charset val="186"/>
          </rPr>
          <t xml:space="preserve">
Šis ir jāizņem no 0930 un jāliek 0982 algā.
</t>
        </r>
      </text>
    </comment>
    <comment ref="F291" authorId="0" shapeId="0" xr:uid="{5034FAAB-BB1C-4490-B643-D99E36B7A753}">
      <text>
        <r>
          <rPr>
            <b/>
            <sz val="9"/>
            <color indexed="81"/>
            <rFont val="Tahoma"/>
            <family val="2"/>
            <charset val="186"/>
          </rPr>
          <t>Sarmīte Mūze:</t>
        </r>
        <r>
          <rPr>
            <sz val="9"/>
            <color indexed="81"/>
            <rFont val="Tahoma"/>
            <family val="2"/>
            <charset val="186"/>
          </rPr>
          <t xml:space="preserve">
Šis ir jāizņem no 0930 un jāliek 0982 algā.
</t>
        </r>
      </text>
    </comment>
    <comment ref="I291" authorId="0" shapeId="0" xr:uid="{A14A71E2-AB8B-4AED-B2C3-2E7B9C69E079}">
      <text>
        <r>
          <rPr>
            <b/>
            <sz val="9"/>
            <color indexed="81"/>
            <rFont val="Tahoma"/>
            <family val="2"/>
            <charset val="186"/>
          </rPr>
          <t>Sarmīte Mūze:</t>
        </r>
        <r>
          <rPr>
            <sz val="9"/>
            <color indexed="81"/>
            <rFont val="Tahoma"/>
            <family val="2"/>
            <charset val="186"/>
          </rPr>
          <t xml:space="preserve">
Šis ir jāizņem no 0930 un jāliek 0982 algā.
</t>
        </r>
      </text>
    </comment>
    <comment ref="L291" authorId="0" shapeId="0" xr:uid="{9C20E488-30C2-42E4-8693-005CC88400E4}">
      <text>
        <r>
          <rPr>
            <b/>
            <sz val="9"/>
            <color indexed="81"/>
            <rFont val="Tahoma"/>
            <family val="2"/>
            <charset val="186"/>
          </rPr>
          <t>Sarmīte Mūze:</t>
        </r>
        <r>
          <rPr>
            <sz val="9"/>
            <color indexed="81"/>
            <rFont val="Tahoma"/>
            <family val="2"/>
            <charset val="186"/>
          </rPr>
          <t xml:space="preserve">
Šis ir jāizņem no 0930 un jāliek 0982 algā.
</t>
        </r>
      </text>
    </comment>
    <comment ref="O291" authorId="0" shapeId="0" xr:uid="{A0E43FB9-FC87-4662-AF7A-4EEB0E3B59CE}">
      <text>
        <r>
          <rPr>
            <b/>
            <sz val="9"/>
            <color indexed="81"/>
            <rFont val="Tahoma"/>
            <family val="2"/>
            <charset val="186"/>
          </rPr>
          <t>Sarmīte Mūze:</t>
        </r>
        <r>
          <rPr>
            <sz val="9"/>
            <color indexed="81"/>
            <rFont val="Tahoma"/>
            <family val="2"/>
            <charset val="186"/>
          </rPr>
          <t xml:space="preserve">
Šis ir jāizņem no 0930 un jāliek 0982 algā.
</t>
        </r>
      </text>
    </comment>
    <comment ref="R291" authorId="0" shapeId="0" xr:uid="{65ECD1C0-E388-4F48-A765-B01940FD0674}">
      <text>
        <r>
          <rPr>
            <b/>
            <sz val="9"/>
            <color indexed="81"/>
            <rFont val="Tahoma"/>
            <family val="2"/>
            <charset val="186"/>
          </rPr>
          <t>Sarmīte Mūze:</t>
        </r>
        <r>
          <rPr>
            <sz val="9"/>
            <color indexed="81"/>
            <rFont val="Tahoma"/>
            <family val="2"/>
            <charset val="186"/>
          </rPr>
          <t xml:space="preserve">
Šis ir jāizņem no 0930 un jāliek 0982 algā.
</t>
        </r>
      </text>
    </comment>
    <comment ref="U291" authorId="0" shapeId="0" xr:uid="{5BCD2539-77AF-4837-BC73-2707BFB95D14}">
      <text>
        <r>
          <rPr>
            <b/>
            <sz val="9"/>
            <color indexed="81"/>
            <rFont val="Tahoma"/>
            <family val="2"/>
            <charset val="186"/>
          </rPr>
          <t>Sarmīte Mūze:</t>
        </r>
        <r>
          <rPr>
            <sz val="9"/>
            <color indexed="81"/>
            <rFont val="Tahoma"/>
            <family val="2"/>
            <charset val="186"/>
          </rPr>
          <t xml:space="preserve">
Šis ir jāizņem no 0930 un jāliek 0982 algā.
</t>
        </r>
      </text>
    </comment>
    <comment ref="X291" authorId="0" shapeId="0" xr:uid="{62DF4F5D-6CF7-457F-8ED4-BA360668F0A5}">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B133" authorId="0" shapeId="0" xr:uid="{7BF908D4-D7EB-4240-BDD9-50196BB44E31}">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<sst xmlns="http://schemas.openxmlformats.org/spreadsheetml/2006/main" count="1615" uniqueCount="1186">
  <si>
    <t>Ādažu novada pašvaldības aizņēmumu un citu ilgtermiņa saistību pārskats</t>
  </si>
  <si>
    <t>Aizņēmumu pamatsummu un procentu atmaksa faktiskajiem un plānotajiem aizņēmumiem.</t>
  </si>
  <si>
    <t>Nr.p.k.</t>
  </si>
  <si>
    <t>Nosaukums</t>
  </si>
  <si>
    <t>Aizņēmuma līgums</t>
  </si>
  <si>
    <t>Trančes numurs</t>
  </si>
  <si>
    <t>Līguma noslēgšanas datums</t>
  </si>
  <si>
    <t>Aizņēmuma beigu termiņš</t>
  </si>
  <si>
    <t>Maksājuma veids</t>
  </si>
  <si>
    <t>2031 - 2053</t>
  </si>
  <si>
    <t>Kopsumma 2024 - 2053</t>
  </si>
  <si>
    <t xml:space="preserve">Stabilizācijas aizdevums </t>
  </si>
  <si>
    <t>A2/1/11/107</t>
  </si>
  <si>
    <t>P-50/2011</t>
  </si>
  <si>
    <t>11.04.2011</t>
  </si>
  <si>
    <t>20.04.2036</t>
  </si>
  <si>
    <t>Pamatsumma</t>
  </si>
  <si>
    <t>(1.kārtas 2.posms)</t>
  </si>
  <si>
    <t>Procentu maksa</t>
  </si>
  <si>
    <t>A2/1/11/549</t>
  </si>
  <si>
    <t>P-350/2011</t>
  </si>
  <si>
    <t>22.09.2011</t>
  </si>
  <si>
    <t>22.12.2031</t>
  </si>
  <si>
    <t>(1.kārtas 3.posms)</t>
  </si>
  <si>
    <t>Stabilizācijas aizdevums</t>
  </si>
  <si>
    <t>A2/1/12/328</t>
  </si>
  <si>
    <t>P-219/2012</t>
  </si>
  <si>
    <t>11.07.2012</t>
  </si>
  <si>
    <t>25.03.2032</t>
  </si>
  <si>
    <t>SIA "Ādažu ūdens" (2.kārta 1.posms)</t>
  </si>
  <si>
    <t>A2/1/13/1000</t>
  </si>
  <si>
    <t>P-441/2013</t>
  </si>
  <si>
    <t>26.11.2013</t>
  </si>
  <si>
    <t>27.11.2023</t>
  </si>
  <si>
    <t>(2.kārta 2.posms)</t>
  </si>
  <si>
    <t>Gaujas ielas rekonstrukcija</t>
  </si>
  <si>
    <t>A2/1/17/301</t>
  </si>
  <si>
    <t>P-196/2017</t>
  </si>
  <si>
    <t>19.05.2017</t>
  </si>
  <si>
    <t>20.05.2032</t>
  </si>
  <si>
    <t xml:space="preserve"> (1.-3.kārta)</t>
  </si>
  <si>
    <t>A2/1/17/596</t>
  </si>
  <si>
    <t>P-450/2017</t>
  </si>
  <si>
    <t>21.08.2017</t>
  </si>
  <si>
    <t>20.08.2032</t>
  </si>
  <si>
    <t xml:space="preserve"> (4.kārta)</t>
  </si>
  <si>
    <t xml:space="preserve">Jaunās skolas būvniecība </t>
  </si>
  <si>
    <t>A2/1/18/123</t>
  </si>
  <si>
    <t>P-94/2018</t>
  </si>
  <si>
    <t>03.04.2018</t>
  </si>
  <si>
    <t>22.06.2048</t>
  </si>
  <si>
    <t>(1.-2. kārta)</t>
  </si>
  <si>
    <t xml:space="preserve">ELFLA projekts pievadceļu attīstība </t>
  </si>
  <si>
    <t>A2/1/18/139</t>
  </si>
  <si>
    <t>P-109/2018</t>
  </si>
  <si>
    <t>05.04.2018</t>
  </si>
  <si>
    <t>22.03.2038</t>
  </si>
  <si>
    <t xml:space="preserve">lauksaimniecības uzņēmumiem </t>
  </si>
  <si>
    <t>Ceļu, ielu infrastruktūras programma</t>
  </si>
  <si>
    <t>A2/1/18/251</t>
  </si>
  <si>
    <t>P-205/2018</t>
  </si>
  <si>
    <t>28.05.2018</t>
  </si>
  <si>
    <t>20.05.2038</t>
  </si>
  <si>
    <t>(1.kārta)</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</si>
  <si>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</si>
  <si>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</si>
  <si>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</si>
  <si>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</si>
  <si>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</si>
  <si>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</si>
  <si>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</si>
  <si>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</si>
  <si>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</si>
  <si>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</si>
  <si>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</si>
  <si>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</si>
  <si>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</si>
  <si>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</si>
  <si>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Prioritāro projektu īstenošana:</t>
  </si>
  <si>
    <t>A2/1/18/452</t>
  </si>
  <si>
    <t>P-374/2018</t>
  </si>
  <si>
    <t>12.07.2018</t>
  </si>
  <si>
    <t>20.06.2028</t>
  </si>
  <si>
    <t xml:space="preserve"> bērnu rotaļu laukumi Carnikavas novadā</t>
  </si>
  <si>
    <t>Izglītības iestāžu investīciju projekts -</t>
  </si>
  <si>
    <t>A2/1/18/529</t>
  </si>
  <si>
    <t>P-435/2018</t>
  </si>
  <si>
    <t>03.08.2018</t>
  </si>
  <si>
    <t>20.07.2048</t>
  </si>
  <si>
    <t xml:space="preserve"> Piejūras PII būvniecība</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</si>
  <si>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</si>
  <si>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</si>
  <si>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</si>
  <si>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</si>
  <si>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</si>
  <si>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</si>
  <si>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</si>
  <si>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</si>
  <si>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</si>
  <si>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 xml:space="preserve">Ceļu, ielu infrastruktūras programma </t>
  </si>
  <si>
    <t>A2/1/18/643</t>
  </si>
  <si>
    <t>P-537/2018</t>
  </si>
  <si>
    <t>12.09.2018</t>
  </si>
  <si>
    <t>(3.kārta)</t>
  </si>
  <si>
    <t>Attekas ielas rekonstrukcija</t>
  </si>
  <si>
    <t>A2/1/18/644</t>
  </si>
  <si>
    <t>P-538/2018</t>
  </si>
  <si>
    <t>20.09.2033</t>
  </si>
  <si>
    <t>Muižas ielas rekonstrukcijai</t>
  </si>
  <si>
    <t>A2/1/18/711</t>
  </si>
  <si>
    <t>P-580/2018</t>
  </si>
  <si>
    <t>10.10.2018</t>
  </si>
  <si>
    <t>20.09.2028</t>
  </si>
  <si>
    <t>A2/1/18/777</t>
  </si>
  <si>
    <t>P-643/2018</t>
  </si>
  <si>
    <t>12.11.2018</t>
  </si>
  <si>
    <t>20.10.2038</t>
  </si>
  <si>
    <t>( 4.kārta)</t>
  </si>
  <si>
    <t xml:space="preserve">Prioritārais projekts Dambja būvniecība </t>
  </si>
  <si>
    <t>A2/1/18/818</t>
  </si>
  <si>
    <t>P-666/2018</t>
  </si>
  <si>
    <t>21.11.2018</t>
  </si>
  <si>
    <t>22.11.2038</t>
  </si>
  <si>
    <t xml:space="preserve">Valteru ielā </t>
  </si>
  <si>
    <t xml:space="preserve">Pārjaunojuma līgums </t>
  </si>
  <si>
    <t>A2/1/19/50</t>
  </si>
  <si>
    <t>PP-5/2019</t>
  </si>
  <si>
    <t>05.03.2019</t>
  </si>
  <si>
    <t>20.09.2035</t>
  </si>
  <si>
    <t>visiem līgumiem līdz 2015.gadam</t>
  </si>
  <si>
    <t>ELFLA Eimuru - Mangaļu poldera</t>
  </si>
  <si>
    <t>A2/1/19/57</t>
  </si>
  <si>
    <t>P-31/2019</t>
  </si>
  <si>
    <t>06.03.2019</t>
  </si>
  <si>
    <t>20.02.2029</t>
  </si>
  <si>
    <t xml:space="preserve"> meliorācijas grāvju atjaunošana Carnikavas novadā</t>
  </si>
  <si>
    <t xml:space="preserve">ERAF projekta SAM 3.3.1. Uzņēmējdarbības </t>
  </si>
  <si>
    <t>A2/1/19/225</t>
  </si>
  <si>
    <t>P-150/2019</t>
  </si>
  <si>
    <t>13.06.2019</t>
  </si>
  <si>
    <t>20.05.2049</t>
  </si>
  <si>
    <t>attīstībai nepieciešamās infrastruktūras Carnikavas novada Garciemā" īstenošanai</t>
  </si>
  <si>
    <t>SAM 4.2.2. ĀPII remontdarbi</t>
  </si>
  <si>
    <t>A2/1/19/370</t>
  </si>
  <si>
    <t>P-236/2019</t>
  </si>
  <si>
    <t>09.10.2019</t>
  </si>
  <si>
    <t>20.09.2034</t>
  </si>
  <si>
    <t>SAM 5.5.1. Kultūras objektu būvniecība</t>
  </si>
  <si>
    <t>A2/1/19/460</t>
  </si>
  <si>
    <t>P-292/2019</t>
  </si>
  <si>
    <t>11.12.2019</t>
  </si>
  <si>
    <t>21.11.2039</t>
  </si>
  <si>
    <t>Jaunās skolas būvniecība (3. kārta)</t>
  </si>
  <si>
    <t>A2/1/20/158</t>
  </si>
  <si>
    <t>P-119/2020</t>
  </si>
  <si>
    <t>29.04.2020</t>
  </si>
  <si>
    <t>20.04.2048</t>
  </si>
  <si>
    <t>Ataru ceļa rekonstrukcija</t>
  </si>
  <si>
    <t>A2/1/20/411</t>
  </si>
  <si>
    <t>P-177/2020</t>
  </si>
  <si>
    <t>08.07.2020</t>
  </si>
  <si>
    <t>20.06.2035</t>
  </si>
  <si>
    <t>KF projekts "Ūdenssaimniecības</t>
  </si>
  <si>
    <t>A2/1/20/675</t>
  </si>
  <si>
    <t>P-339/2020</t>
  </si>
  <si>
    <t>01.10.2020</t>
  </si>
  <si>
    <t>20.09.2050</t>
  </si>
  <si>
    <t xml:space="preserve"> pakalpojumu attīstība Carnikavā III kārta"</t>
  </si>
  <si>
    <t xml:space="preserve">Carnikavas novada pašvaldības transporta </t>
  </si>
  <si>
    <t>A2/1/20/676</t>
  </si>
  <si>
    <t>P-338/2020</t>
  </si>
  <si>
    <t>20.09.2040</t>
  </si>
  <si>
    <t>infrstruktūras attīstība</t>
  </si>
  <si>
    <t>Priežu ielas rekonstrukcija</t>
  </si>
  <si>
    <t>A2/1/20/746</t>
  </si>
  <si>
    <t>P-392/2020</t>
  </si>
  <si>
    <t>14.10.2020</t>
  </si>
  <si>
    <t>22.09.2025</t>
  </si>
  <si>
    <t xml:space="preserve"> Bukultu ielas rekonstrukcija</t>
  </si>
  <si>
    <t>A2/1/20/745</t>
  </si>
  <si>
    <t>P-393/2020</t>
  </si>
  <si>
    <t>ERAF "Carnikavas pamatskolas pārbūve"</t>
  </si>
  <si>
    <t>A2/1/21/10</t>
  </si>
  <si>
    <t>P-4/2021</t>
  </si>
  <si>
    <t>26.01.2021</t>
  </si>
  <si>
    <t>20.01.2051</t>
  </si>
  <si>
    <t>LAD  projekts koka laipu taka uz jūru</t>
  </si>
  <si>
    <t>A2/1/21/11</t>
  </si>
  <si>
    <t>P-3/2021</t>
  </si>
  <si>
    <t>20.01.2031</t>
  </si>
  <si>
    <t>Prioritārais projekts -</t>
  </si>
  <si>
    <t>A2/1/21/41</t>
  </si>
  <si>
    <t>P-10/2021</t>
  </si>
  <si>
    <t>24.02.2021</t>
  </si>
  <si>
    <t>20.02.2051</t>
  </si>
  <si>
    <t>PII Piejūra" būvniecība"</t>
  </si>
  <si>
    <t>Budžeta un finanšu vadībai</t>
  </si>
  <si>
    <t>A2/1/21/96</t>
  </si>
  <si>
    <t>P-43/2021</t>
  </si>
  <si>
    <t>25.03.2021</t>
  </si>
  <si>
    <t>20.03.2024</t>
  </si>
  <si>
    <t xml:space="preserve"> (Aprīkojums PII Piejūra)</t>
  </si>
  <si>
    <t>PII Piejūra būvniecības pabeigšana</t>
  </si>
  <si>
    <t>A2/1/21/120</t>
  </si>
  <si>
    <t>P-69/2021</t>
  </si>
  <si>
    <t>08.04.2021</t>
  </si>
  <si>
    <t>20.03.2051</t>
  </si>
  <si>
    <t xml:space="preserve">Investīciju projektu īstenošanai </t>
  </si>
  <si>
    <t>A2/1/21/139</t>
  </si>
  <si>
    <t>PP-14/2021</t>
  </si>
  <si>
    <t>26.04.2021</t>
  </si>
  <si>
    <t>21.06.2038</t>
  </si>
  <si>
    <t>(saistību pārjaunojums)</t>
  </si>
  <si>
    <t>22.04.2024</t>
  </si>
  <si>
    <t>Stacijas ielas pārbūve</t>
  </si>
  <si>
    <t>A2/1/21/169</t>
  </si>
  <si>
    <t>P-89/2021</t>
  </si>
  <si>
    <t>30.04.2021</t>
  </si>
  <si>
    <t>20.04.2051</t>
  </si>
  <si>
    <t>Lielās ielas pārbūve</t>
  </si>
  <si>
    <t>A2/1/21/232</t>
  </si>
  <si>
    <t>P-163/2021</t>
  </si>
  <si>
    <t>27.05.2021</t>
  </si>
  <si>
    <t>20.05.2041</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</si>
  <si>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</si>
  <si>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</si>
  <si>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</si>
  <si>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</si>
  <si>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</si>
  <si>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</si>
  <si>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</si>
  <si>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</si>
  <si>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</si>
  <si>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</si>
  <si>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</si>
  <si>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</si>
  <si>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</si>
  <si>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</si>
  <si>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</si>
  <si>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</si>
  <si>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</si>
  <si>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</si>
  <si>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</si>
  <si>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</si>
  <si>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</si>
  <si>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</si>
  <si>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</si>
  <si>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</si>
  <si>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</si>
  <si>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</si>
  <si>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</si>
  <si>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</si>
  <si>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 xml:space="preserve">Laivu ielas (no Cēlāju ciema līdz jūrai Carnikavā) </t>
  </si>
  <si>
    <t>A2/1/22/15</t>
  </si>
  <si>
    <t>P-7/2022</t>
  </si>
  <si>
    <t>02.02.2022</t>
  </si>
  <si>
    <t>20.01.2037</t>
  </si>
  <si>
    <t>un tai piegulošā auto stāvlaukuma projektēšana un būvniecība</t>
  </si>
  <si>
    <t xml:space="preserve">SAM 5.1.1. Pretplūdu pasākumi </t>
  </si>
  <si>
    <t>A2/1/22/123</t>
  </si>
  <si>
    <t>P-70/2022</t>
  </si>
  <si>
    <t>31.05.2022</t>
  </si>
  <si>
    <t>20.05.2037</t>
  </si>
  <si>
    <t>Ādažu centra polderī</t>
  </si>
  <si>
    <t>Gaujas ielas gājēju celiņa izbūve</t>
  </si>
  <si>
    <t>A2/1/22/165</t>
  </si>
  <si>
    <t>P-112/2022</t>
  </si>
  <si>
    <t>04.07.2022</t>
  </si>
  <si>
    <t>21.06.2027</t>
  </si>
  <si>
    <t xml:space="preserve">Skolas ielas projektēšana izbūve - </t>
  </si>
  <si>
    <t>A2/1/22/239</t>
  </si>
  <si>
    <t>P-160/2022</t>
  </si>
  <si>
    <t>20.07.2022</t>
  </si>
  <si>
    <t>20.07.2027</t>
  </si>
  <si>
    <t>3.kārta</t>
  </si>
  <si>
    <t xml:space="preserve">Skolas siltināšana </t>
  </si>
  <si>
    <t>A2/1/22/250</t>
  </si>
  <si>
    <t>P-164/2022</t>
  </si>
  <si>
    <t>03.08.2022</t>
  </si>
  <si>
    <t>20.07.2032</t>
  </si>
  <si>
    <t>un stadiona rekonstrukcija</t>
  </si>
  <si>
    <t>Aizvēju ielas Garciemā,</t>
  </si>
  <si>
    <t>A2/1/22/265</t>
  </si>
  <si>
    <t>P-175/2022</t>
  </si>
  <si>
    <t>08.08.2022</t>
  </si>
  <si>
    <t>20.07.2029</t>
  </si>
  <si>
    <t xml:space="preserve"> dubultā virsmas apstrāde (2.daļa)</t>
  </si>
  <si>
    <t xml:space="preserve">Carnikavas stadiona rekonstrukcija </t>
  </si>
  <si>
    <t>A2/1/22/536</t>
  </si>
  <si>
    <t>P-363/2022</t>
  </si>
  <si>
    <t>29.11.2022</t>
  </si>
  <si>
    <t>20.11.2037</t>
  </si>
  <si>
    <t>(Prioritārais)</t>
  </si>
  <si>
    <t>A2/1/22/538</t>
  </si>
  <si>
    <t>P-361/2022</t>
  </si>
  <si>
    <t>22.11.2032</t>
  </si>
  <si>
    <t>(Covid19)</t>
  </si>
  <si>
    <t xml:space="preserve">ERAF projekta (Nr.5.1.1.0/17/I/009) </t>
  </si>
  <si>
    <t>A2/1/22/582</t>
  </si>
  <si>
    <t>P-389/2022</t>
  </si>
  <si>
    <t>23.12.2022</t>
  </si>
  <si>
    <t>21.12.2037</t>
  </si>
  <si>
    <t>“Novērst plūdu un krasta erozijas risku apdraudējumu Ādažu novadā, 1. daļa” īstenošanai</t>
  </si>
  <si>
    <t xml:space="preserve">Apgaismojuma izbūve uz Salas </t>
  </si>
  <si>
    <t>A2/1/23/103</t>
  </si>
  <si>
    <t>P-57/2023</t>
  </si>
  <si>
    <t>09.05.2023</t>
  </si>
  <si>
    <t>aizsargdamja D-2 posmā, Carnikavas pagastā</t>
  </si>
  <si>
    <t>Carnikavas stadiona rekonstrukcija</t>
  </si>
  <si>
    <t>A2/1/23/156</t>
  </si>
  <si>
    <t>P-104/2023</t>
  </si>
  <si>
    <t>26.06.2023</t>
  </si>
  <si>
    <t xml:space="preserve"> (Prioritārais 2023.g.)</t>
  </si>
  <si>
    <t xml:space="preserve"> "Auto stāvlaukuma Lilastē paplašināšana,</t>
  </si>
  <si>
    <t>A2/1/23/245</t>
  </si>
  <si>
    <t>P-181/2023</t>
  </si>
  <si>
    <t>02.08.2023</t>
  </si>
  <si>
    <t>20.07.2026</t>
  </si>
  <si>
    <t xml:space="preserve"> atpūtas vietu, labiekārtojuma, labierīcību, kempinga iespēju projektēšana un izbūve"</t>
  </si>
  <si>
    <t xml:space="preserve">Ķiršu ielas III kārta </t>
  </si>
  <si>
    <t>A2/1/23/290</t>
  </si>
  <si>
    <t>P-222/2023</t>
  </si>
  <si>
    <t>20.07.2033</t>
  </si>
  <si>
    <t>no Saules ielas līdz Attekas ielai 0.17km</t>
  </si>
  <si>
    <t xml:space="preserve">Ādažu vidusskolas ēkas B korpusa </t>
  </si>
  <si>
    <t>A2/1/23/429</t>
  </si>
  <si>
    <t>P-344/2023</t>
  </si>
  <si>
    <t>un savienojuma daļas starp korpusiem (C un B) fasādes atjaunošana</t>
  </si>
  <si>
    <t xml:space="preserve">Ādažu vidusskolas ēkas A korpusa </t>
  </si>
  <si>
    <t>A2/1/24/230</t>
  </si>
  <si>
    <t>P-217/2024</t>
  </si>
  <si>
    <t>un centrālās daļas fasādes atjaunošana.</t>
  </si>
  <si>
    <t xml:space="preserve"> ”Mobilitātes punkta infrastruktūras izveidošana </t>
  </si>
  <si>
    <t>Plānots</t>
  </si>
  <si>
    <t>Rīgas metropoles areālā – “Carnikava””</t>
  </si>
  <si>
    <t>Maģistrālā  veloceļa izbūve Rīga-Carnikava</t>
  </si>
  <si>
    <t>EKII projekts</t>
  </si>
  <si>
    <t>PII Podnieki UN Krastupes iela</t>
  </si>
  <si>
    <t>Aizņēmumi kopā:</t>
  </si>
  <si>
    <t>Citas ilgtermiņa saistības.</t>
  </si>
  <si>
    <t>Saistību mērķis</t>
  </si>
  <si>
    <t>Līguma Nr.</t>
  </si>
  <si>
    <t>Trānčes Nr.</t>
  </si>
  <si>
    <t>Galvojums SIA "Ādažu ūdens"</t>
  </si>
  <si>
    <t>Līzings - jauna automašīna Volvo V60</t>
  </si>
  <si>
    <t>(Operatīvais līzings)</t>
  </si>
  <si>
    <t>Līzings - frontālais iekrāvējs</t>
  </si>
  <si>
    <t>Līzings - mikroautobuss</t>
  </si>
  <si>
    <t>Līzings - skolēnu autobuss</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</si>
  <si>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</si>
  <si>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</si>
  <si>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</si>
  <si>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</si>
  <si>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</si>
  <si>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</si>
  <si>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</si>
  <si>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Ādažu pašvaldības apvienotais budžets</t>
  </si>
  <si>
    <t>KA</t>
  </si>
  <si>
    <t>2024. gads</t>
  </si>
  <si>
    <t>CKS</t>
  </si>
  <si>
    <t xml:space="preserve">Ieņēmumu daļa </t>
  </si>
  <si>
    <t xml:space="preserve">N.p.k. </t>
  </si>
  <si>
    <t>Sadaļa</t>
  </si>
  <si>
    <t>2024. gada budžets</t>
  </si>
  <si>
    <t>25.01.2024. grozījumi</t>
  </si>
  <si>
    <t>Izmaiņa 25.01.2024. - 28.12.2023.</t>
  </si>
  <si>
    <t xml:space="preserve">Komentāri </t>
  </si>
  <si>
    <t>28.03.2024. grozījumi</t>
  </si>
  <si>
    <t>Izmaiņa 28.03.2024. -25.01.2024.</t>
  </si>
  <si>
    <t>25.04.2024. grozījumi</t>
  </si>
  <si>
    <t>Izmaiņa 25.04.2024. -28.03.2024.</t>
  </si>
  <si>
    <t>27.06.2024. grozījumi</t>
  </si>
  <si>
    <t>Izmaiņa 27.06.2024. -25.04.2024.</t>
  </si>
  <si>
    <t>29.08.2024. grozījumi</t>
  </si>
  <si>
    <t>Izmaiņa 29.08.2024. -27.06.2024.</t>
  </si>
  <si>
    <t>24.10.2024. grozījumi</t>
  </si>
  <si>
    <t>Izmaiņa 24.10.2024. -29.08.2024.</t>
  </si>
  <si>
    <t>Izmaiņa 28.11.2024. -24.10.2024.</t>
  </si>
  <si>
    <t>1., 2., 3., 4., 5.1.</t>
  </si>
  <si>
    <t>Nodokļu ieņēmumi</t>
  </si>
  <si>
    <t>1.1.1.0.</t>
  </si>
  <si>
    <t>1.</t>
  </si>
  <si>
    <t>Iedzīvotāju ienākuma nodoklis</t>
  </si>
  <si>
    <t>PB</t>
  </si>
  <si>
    <t>01.1.1.2.</t>
  </si>
  <si>
    <t>1.1.</t>
  </si>
  <si>
    <t>pārskata gada</t>
  </si>
  <si>
    <t>Uz 06.03. IIN izpilde lielāka par plānoto šajā periodā.</t>
  </si>
  <si>
    <t>Balstoties uz prognozēm, ka IIN gada griezumā varētu būt lielāks kā sākotnēji plānots. Saskaņā ar lēmumu par finanšu un ekonomisko aprēķinu jaunās skolas būvniecībai tiks novirzīts šim mērķim.</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</si>
  <si>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</si>
  <si>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</si>
  <si>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</si>
  <si>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</si>
  <si>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</si>
  <si>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</si>
  <si>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</si>
  <si>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</si>
  <si>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</si>
  <si>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</si>
  <si>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</si>
  <si>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</si>
  <si>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</si>
  <si>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</si>
  <si>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</si>
  <si>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</si>
  <si>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</si>
  <si>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</si>
  <si>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</si>
  <si>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</si>
  <si>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</si>
  <si>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</si>
  <si>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</si>
  <si>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</si>
  <si>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</si>
  <si>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</si>
  <si>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</si>
  <si>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</si>
  <si>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</si>
  <si>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</si>
  <si>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</si>
  <si>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</si>
  <si>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</si>
  <si>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</si>
  <si>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</si>
  <si>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</si>
  <si>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</si>
  <si>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</si>
  <si>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</si>
  <si>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</si>
  <si>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</si>
  <si>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</si>
  <si>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</si>
  <si>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</si>
  <si>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</si>
  <si>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</si>
  <si>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</si>
  <si>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</si>
  <si>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</si>
  <si>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</si>
  <si>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</si>
  <si>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</si>
  <si>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</si>
  <si>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</si>
  <si>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</si>
  <si>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</si>
  <si>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</si>
  <si>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</si>
  <si>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</si>
  <si>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 xml:space="preserve">Saskaņā ar 28.03.2024. lēmumu Nr. 119, ieņēmumu palielinājums pārcelts arī uz izdevumu sadaļu GS rīkošanai. (EUR 21'000 (EUR 7'000 tirdzniecības nodevas; EUR 9'000 ieņēmumi par telpu nomu; 5'000 pārējie ieņēmumi)). </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</si>
  <si>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</si>
  <si>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</si>
  <si>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</si>
  <si>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</si>
  <si>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</si>
  <si>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</si>
  <si>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</si>
  <si>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</si>
  <si>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</si>
  <si>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</si>
  <si>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</si>
  <si>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</si>
  <si>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</si>
  <si>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</si>
  <si>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Palielinājums, balstoties uz faktisko izpildi.</t>
  </si>
  <si>
    <t>Plāna palielinājums, balstoties uz faktisko izpildi.</t>
  </si>
  <si>
    <t>10.1.5.0.</t>
  </si>
  <si>
    <t>7.2.</t>
  </si>
  <si>
    <t>Naudas sodi, ko uzliek par pārkāpumiem ceļu satiksmē</t>
  </si>
  <si>
    <t>12.0.0.0.</t>
  </si>
  <si>
    <t>8.</t>
  </si>
  <si>
    <t>Pārējie nenodokļu ieņēmumi</t>
  </si>
  <si>
    <t>12.3.9.9.; 8.3.9.0.; 8.6.1.2.</t>
  </si>
  <si>
    <t>8.1.</t>
  </si>
  <si>
    <t>citi nenodokļu ieņēmumi</t>
  </si>
  <si>
    <t>Konta atlikuma nakts depozīta ieņēmumi.</t>
  </si>
  <si>
    <t>Procentu ieņēmumi no nakts depozīta (šobrīd + EUR 9'309 pret plānoto).</t>
  </si>
  <si>
    <t>Procentu ieņēmumi no nakts depozīta. (Saskaņā ar 30.05.2024. lēmumu Nr. 185 novirzīts projektam pastaigu celiņa izbūve gar Gaujas-Baltezera kanālu)</t>
  </si>
  <si>
    <t>1) Procentu ieņēmumi no nakts depozīta (šobrīd + EUR 26'000 pret plānoto).
2) Iedzīvotāju līdzfinansējums Mežmalas ielas atjaunošanai EUR 31'000. (0645)</t>
  </si>
  <si>
    <t xml:space="preserve">Procentu ieņēmumi no nakts depozīta (šobrīd + EUR 10'000 pret plānoto).
Plāna palielinājums, balstoties uz faktisko izpildi.
</t>
  </si>
  <si>
    <t>12.3.9.5.</t>
  </si>
  <si>
    <t>8.2.</t>
  </si>
  <si>
    <t>līgumsodi un procentu maksājumi par saistību neizpildi</t>
  </si>
  <si>
    <t>8.3.</t>
  </si>
  <si>
    <t>ieņēmumi no zvejas tiesību nomas</t>
  </si>
  <si>
    <t>13.1.0.0.</t>
  </si>
  <si>
    <t>9.</t>
  </si>
  <si>
    <t>Ieņēmumi no pašvaldības īpašuma pārdošana</t>
  </si>
  <si>
    <t>Saņemta nauda no izsolēm. Kopsummā izpilde par EUR 23'095 lielāka kā gada plāns.</t>
  </si>
  <si>
    <t>10.</t>
  </si>
  <si>
    <t>Valsts budžeta transferti un projektu finansējums</t>
  </si>
  <si>
    <t>10.1.</t>
  </si>
  <si>
    <t>Valsts budžeta transferti</t>
  </si>
  <si>
    <t>mērķdotācija</t>
  </si>
  <si>
    <t>18.6.2.3.</t>
  </si>
  <si>
    <t>10.1.1.</t>
  </si>
  <si>
    <t>dotācija mākslas skolas algām</t>
  </si>
  <si>
    <t>Precizēta MD</t>
  </si>
  <si>
    <t>Precizēts mērķdotācijas apjoms sept.-dec.</t>
  </si>
  <si>
    <t>18.6.2.4.</t>
  </si>
  <si>
    <t>10.1.2.</t>
  </si>
  <si>
    <t>dotācija sporta skolai</t>
  </si>
  <si>
    <t xml:space="preserve">Precizēta MD </t>
  </si>
  <si>
    <t>Precizēts mērķdotācijas apjoms</t>
  </si>
  <si>
    <t>18.6.2.10.; 18.6.2.11</t>
  </si>
  <si>
    <t>10.1.3.</t>
  </si>
  <si>
    <t>dotācija skolēnu ēdināšanai</t>
  </si>
  <si>
    <t>Precizēti MD apjomi, balstoties uz skolēnu skaitu un lēmumu par brīvpusdienām ne tikai 1.-4.kl. Ieņēmumos un izdevumos EUR 53'000 ĀVS; EUR 28'000 CVS; EUR 15'000 ĀBVS</t>
  </si>
  <si>
    <t>18.6.2.5.</t>
  </si>
  <si>
    <t>10.1.4.</t>
  </si>
  <si>
    <t>dotācija mācību līdzekļiem</t>
  </si>
  <si>
    <t>MD mācību līdzekļiem 2024.gadam (sadalās starp izgl. iestādēm)</t>
  </si>
  <si>
    <t xml:space="preserve">  10.1.4.1.</t>
  </si>
  <si>
    <t>t.sk.: - dotācija mācību grāmatām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</si>
  <si>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</si>
  <si>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</si>
  <si>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</si>
  <si>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</si>
  <si>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</si>
  <si>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</si>
  <si>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</si>
  <si>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</si>
  <si>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</si>
  <si>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</si>
  <si>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</si>
  <si>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</si>
  <si>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</si>
  <si>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</si>
  <si>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</si>
  <si>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</si>
  <si>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Precizēts mērķdotācijas apjoms amatierkolektīvu vadītājiem</t>
  </si>
  <si>
    <t>18.6.3.1.</t>
  </si>
  <si>
    <t>10.1.7.</t>
  </si>
  <si>
    <t>Projekts "Skolas soma" Ādaži</t>
  </si>
  <si>
    <t>Jauns līgums 2024.gadam.</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</si>
  <si>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</si>
  <si>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</si>
  <si>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</si>
  <si>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</si>
  <si>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</si>
  <si>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</si>
  <si>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</si>
  <si>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</si>
  <si>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</si>
  <si>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</si>
  <si>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</si>
  <si>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Precizēta dotācija +59'292, papildus dotācija par pārņemtajiem ceļiem EUR 1'248</t>
  </si>
  <si>
    <t>Precizēta dotācija par papildus pārņemtajiem ceļiem EUR 3966</t>
  </si>
  <si>
    <t>Valsts finansējums projektu konkursā "Atbalsts jaunatnes politikas īstenošanai vietējā līmenī" Projekts "Mobilais darbs ar jaunatni Ādažu novadā"</t>
  </si>
  <si>
    <t>10.1.12.</t>
  </si>
  <si>
    <t>Dotācijas Ukrainas pilsoņu atbalstam</t>
  </si>
  <si>
    <t>Plāna palielinājums, balstoties uz faktisko izpildi. Korekcija ieņēmumu un izdevumu sadaļā.</t>
  </si>
  <si>
    <t>10.1.13.</t>
  </si>
  <si>
    <t>Dotācijas "Energoresursu atbalsts"</t>
  </si>
  <si>
    <t>18.6.2.6.1.</t>
  </si>
  <si>
    <t>10.1.14.</t>
  </si>
  <si>
    <t>Dotācija nodarbinātības pasākumiem</t>
  </si>
  <si>
    <t>0630; 0930</t>
  </si>
  <si>
    <t>18.6.2.9.;</t>
  </si>
  <si>
    <t>10.1.15.</t>
  </si>
  <si>
    <t>pārējās dotācijas</t>
  </si>
  <si>
    <t>Valsts finansējums parakstu vākšanai tautas nobalsošanas ierosināšanai par apturēto likumu “Grozījumi Notariāta likumā”</t>
  </si>
  <si>
    <t>CVK finansējums Eiropas parlamenta vēlēšanu nodrošināšanai</t>
  </si>
  <si>
    <t>EUR 1'198 dalība projektā "Kontakts" izglītības iestāžu pārvalžu atbalstam. (izdevumos pie izglītības nodaļas)</t>
  </si>
  <si>
    <t>10.2.</t>
  </si>
  <si>
    <t>ES struktūrfondu līdzekļi un aktivitāšu līdzfinansējumi</t>
  </si>
  <si>
    <t>0634</t>
  </si>
  <si>
    <t>18.6.3.6.</t>
  </si>
  <si>
    <t>10.2.1.</t>
  </si>
  <si>
    <t>Plūdu risku projekts</t>
  </si>
  <si>
    <t>Precizēta projekta NP</t>
  </si>
  <si>
    <t>10.2.2.</t>
  </si>
  <si>
    <t>Pastaigu taka gar Baltezera kanālu</t>
  </si>
  <si>
    <t>18.6.3.4</t>
  </si>
  <si>
    <t>10.2.3.</t>
  </si>
  <si>
    <t>LAD, Jūras Zeme projekts, Mākslu skolas ārtelpas projekts Garā iela 20, Carnikavā</t>
  </si>
  <si>
    <t>10.2.4.</t>
  </si>
  <si>
    <t>Publiskās ārtelpas izveide Gaujas ielā 31 Ādažos</t>
  </si>
  <si>
    <t>Precizēta naudas plūsma</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</si>
  <si>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</si>
  <si>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</si>
  <si>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</si>
  <si>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</si>
  <si>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</si>
  <si>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</si>
  <si>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</si>
  <si>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</si>
  <si>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</si>
  <si>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0630</t>
  </si>
  <si>
    <t>10.2.9.</t>
  </si>
  <si>
    <t>Dalība atveseļošanas un noturības mehānisma pasākumā “Atbalsta pasākumi cilvēkiem ar invaliditāti mājokļu vides pieejamības nodrošināšanai”</t>
  </si>
  <si>
    <t>Saskaņā ar projekta nosacījumiem, tiks ieskaitīts avanss EUR 18'299</t>
  </si>
  <si>
    <t xml:space="preserve">18.6.3.13. </t>
  </si>
  <si>
    <t>10.2.10.</t>
  </si>
  <si>
    <t>SAM 9.2.4.2. projekts "Pasākumi vietējās sabiedrības veselības veicināšanai Ādažu novadā"</t>
  </si>
  <si>
    <t xml:space="preserve">18.6.3.14.  </t>
  </si>
  <si>
    <t>10.2.11.</t>
  </si>
  <si>
    <t>VISA projekts "Atbalsts izglītojamo individuālo kompetenču attīstībai"</t>
  </si>
  <si>
    <t>10.2.12.</t>
  </si>
  <si>
    <t>SAM 9311 Deinstitucionalizācija - Dienas centrs - specializētās darbnīcas</t>
  </si>
  <si>
    <t>10.2.13.</t>
  </si>
  <si>
    <t>Dienas centrs - pakalpojumi (Ā)</t>
  </si>
  <si>
    <t>10.2.14.</t>
  </si>
  <si>
    <t>ESF projekts Atbalsts priekšlaicīgas mācību pārtraukšanas samazināšanai ©</t>
  </si>
  <si>
    <t>18.6.3.20.</t>
  </si>
  <si>
    <t>10.2.15.</t>
  </si>
  <si>
    <t>SAM 5.5.1. Kultūras objektu būvniecība ©</t>
  </si>
  <si>
    <t>10.2.16.</t>
  </si>
  <si>
    <t>ERASMUS + projekti</t>
  </si>
  <si>
    <t>Precizēta projektu naudas plūsma, balstoties uz noslēgtajiem līgumiem - izdevumos zem Carnikavas vidusskolas</t>
  </si>
  <si>
    <t>10.2.17.</t>
  </si>
  <si>
    <t xml:space="preserve"> ”Mobilitātes punkta infrastruktūras izveidošana Rīgas metropoles areālā – “Carnikava””</t>
  </si>
  <si>
    <t>10.2.18.</t>
  </si>
  <si>
    <t>10.2.19.</t>
  </si>
  <si>
    <t>Ģimenes ārsta prakses izveide_Garā iela 20 (ERAF, SAM 9.3.2. 4.kārta)</t>
  </si>
  <si>
    <t>0633.6</t>
  </si>
  <si>
    <t>10.2.20.</t>
  </si>
  <si>
    <t>Pēc lēmuma precizēta naudas plūsma.</t>
  </si>
  <si>
    <t>18.6.4.0.</t>
  </si>
  <si>
    <t>10.3.</t>
  </si>
  <si>
    <t>IIN budžeta dotācija</t>
  </si>
  <si>
    <t>11.</t>
  </si>
  <si>
    <t>Pašvaldību budžeta transferti</t>
  </si>
  <si>
    <t>19.2.1.0.</t>
  </si>
  <si>
    <t>11.1.</t>
  </si>
  <si>
    <t>no citām pašvaldībām izglītības funkciju nodrošināšanai</t>
  </si>
  <si>
    <t>Balstoties uz precizētajiem aprēķiniem.</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</si>
  <si>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</si>
  <si>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</si>
  <si>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</si>
  <si>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</si>
  <si>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</si>
  <si>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</si>
  <si>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</si>
  <si>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</si>
  <si>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</si>
  <si>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</si>
  <si>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</si>
  <si>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</si>
  <si>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</si>
  <si>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</si>
  <si>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</si>
  <si>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</si>
  <si>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</si>
  <si>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</si>
  <si>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</si>
  <si>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</si>
  <si>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</si>
  <si>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</si>
  <si>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</si>
  <si>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</si>
  <si>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</si>
  <si>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</si>
  <si>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</si>
  <si>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 xml:space="preserve">1) Balstoties uz faktisko izpildi, prognoze, ka līdz gada beigām būs lielāki ieņēmumi kā plānots (Sporta daļa)
2) Saskaņā ar 28.03.2024. lēmumu Nr. 119, ieņēmumu palielinājums pārcelts arī uz izdevumu sadaļu GS rīkošanai. (EUR 21'000 (EUR 7'000 tirdzniecības nodevas; EUR 9'000 ieņēmumi par telpu nomu; 5'000 pārējie ieņēmumi)). </t>
  </si>
  <si>
    <t>Balstoties uz faktisko izpildi un precizētajiem aprēķiniem.</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</si>
  <si>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</si>
  <si>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</si>
  <si>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</si>
  <si>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</si>
  <si>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</si>
  <si>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</si>
  <si>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</si>
  <si>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</si>
  <si>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</si>
  <si>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</si>
  <si>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</si>
  <si>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</si>
  <si>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</si>
  <si>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</si>
  <si>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Ieņēmumi par pārdotajām biļetēm uz pasākumu “Carnikavas vidusskolas 50 gadu salidojums" (novirzīta pasākuma izdevumu segšanai)</t>
  </si>
  <si>
    <t>21.3.9.4.</t>
  </si>
  <si>
    <t>12.4.3.</t>
  </si>
  <si>
    <t>ieņēmumi no dzīvokļu un komunālajiem pakalpojumiem ©</t>
  </si>
  <si>
    <t>KA nepalielina izdevumus, bet samazina plānotos ieņēmumus</t>
  </si>
  <si>
    <t>Atlikta saimnieciskās darbības nodalīšana no CKS EUR 680'342 (ieņēmumu un izdevumu sadaļā)</t>
  </si>
  <si>
    <t>21.3.9.9.; CKS</t>
  </si>
  <si>
    <t>12.5.</t>
  </si>
  <si>
    <t>pārējie ieņēmumi/stāvvietu ieņēmumi</t>
  </si>
  <si>
    <t>Finansējums Piekrastes apsaimniekošanai ieskaitīts 2023.gada beigās (stāv KA)</t>
  </si>
  <si>
    <t>Ieņēmumu pārpilde par maksas stāvvietām (CKS)</t>
  </si>
  <si>
    <t>KOPĀ IEŅĒMUMI:</t>
  </si>
  <si>
    <t>13.</t>
  </si>
  <si>
    <t>Naudas līdzekļu atlikums gada sākumā</t>
  </si>
  <si>
    <t>13.1.</t>
  </si>
  <si>
    <t>Naudas atlikums iezīmētiem mērķiem</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</si>
  <si>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</si>
  <si>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13.2.</t>
  </si>
  <si>
    <t>Naudas atlikums pašvaldības līdzekļi</t>
  </si>
  <si>
    <t xml:space="preserve">14. </t>
  </si>
  <si>
    <t>Valsts Kases kredīti</t>
  </si>
  <si>
    <t>14.1.</t>
  </si>
  <si>
    <t>14.2.</t>
  </si>
  <si>
    <t>0630; 0903</t>
  </si>
  <si>
    <t>Jaunas pirmsskolas izglītības iestādes Podniekos</t>
  </si>
  <si>
    <t>Līgums ar CFLA nav noslēgts, līdz ar to zināms, ka projektēšana pilnā apmērā jāmaksā no pašvaldības.</t>
  </si>
  <si>
    <t>F40321210</t>
  </si>
  <si>
    <t>SAM 5.1.1. Pretplūdu pasākumi Ādažu centra polderī, Ādažu novadā</t>
  </si>
  <si>
    <t>Precizēta aizņēmumu summa pēc līguma summas pārcelšanas no 2023.gada</t>
  </si>
  <si>
    <t>14.5.</t>
  </si>
  <si>
    <t>14.6.</t>
  </si>
  <si>
    <t>0954</t>
  </si>
  <si>
    <t>14.3.</t>
  </si>
  <si>
    <t>Ādažu vidusskolas ēkas B korpusa un savienojuma daļas starp korpusiem (C un B) fasādes atjaunošana</t>
  </si>
  <si>
    <t>Decembra rēķins izrakstīts 30.12., samaksa pārceļas uz 2024.gadu, pārcelts 2023.gada aizņēmuma neizņemtais atlikums.</t>
  </si>
  <si>
    <t>14.4.</t>
  </si>
  <si>
    <t>Ādažu vidusskolas ēkas A korpusa, savienojuma daļas starp korpusiem (A un B), kā arī, vidusskolas centrālās daļas, tai skaitā torņa fasādes atjaunošana.</t>
  </si>
  <si>
    <t>14.10.</t>
  </si>
  <si>
    <t>Katlu mājas pārbūve Carnikavā, Tulpju iela 5</t>
  </si>
  <si>
    <t>14.11.</t>
  </si>
  <si>
    <t>Ķiršu ielas III kārta no Saules ielas līdz Attekas ielai 0.17km</t>
  </si>
  <si>
    <t>14.12.</t>
  </si>
  <si>
    <t>Draudzības iela posmā no Saules ielai līdz Podnieku ielai ar ietvi 0.35km</t>
  </si>
  <si>
    <t>PAVISAM KOPĀ IEŅĒMUMI:</t>
  </si>
  <si>
    <t xml:space="preserve">Izdevumu daļa </t>
  </si>
  <si>
    <t>Izmaiņa 23.03.2023. - 26.01.2023.</t>
  </si>
  <si>
    <t>Komentāri</t>
  </si>
  <si>
    <t>Izmaiņa 27.03.2024. -25.01.2024.</t>
  </si>
  <si>
    <t>Vispārējie valdības dienesti</t>
  </si>
  <si>
    <t>0110</t>
  </si>
  <si>
    <t>pārvalde</t>
  </si>
  <si>
    <r>
      <rPr>
        <b/>
        <u/>
        <sz val="11"/>
        <rFont val="Times New Roman"/>
        <family val="1"/>
        <charset val="186"/>
      </rPr>
      <t>Iekš. groz.:</t>
    </r>
    <r>
      <rPr>
        <sz val="11"/>
        <rFont val="Times New Roman"/>
        <family val="1"/>
        <charset val="186"/>
      </rPr>
      <t xml:space="preserve"> EUR 12'100 no plānotā LPS biedra naudai EKK 2239 uz EKK 2232 iekšējā audita pakalpojuma apmaksai.</t>
    </r>
  </si>
  <si>
    <t>No atalgojuma ekonomijas sadaļā "deputāti" EUR 28'260 uz pārvaldi - domes un komiteju sēžu zāles aprīkojumam.</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</si>
  <si>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</si>
  <si>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</si>
  <si>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</si>
  <si>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</si>
  <si>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</si>
  <si>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</si>
  <si>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</si>
  <si>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</si>
  <si>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</si>
  <si>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</si>
  <si>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</si>
  <si>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</si>
  <si>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</si>
  <si>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</si>
  <si>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</si>
  <si>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</si>
  <si>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</si>
  <si>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EUR 50'687 aizņēmumu % maksājumu plānotās kopsummas samazinājums uz projekta Pastaigu taka gar Baltezera kanālu budžetu (30.05.2024. ĀND lēmums # 185)</t>
  </si>
  <si>
    <t>Balstoties uz faktisko izpildi veidojas ekonomija, kas tiks novirzīts katlu mājas remontam.</t>
  </si>
  <si>
    <t>1.8.</t>
  </si>
  <si>
    <t>Iemaksas PFIF</t>
  </si>
  <si>
    <t>Uz 06.03. IIN izpilde lielāka par plānoto šajā periodā, līdz ar to arī palielinās iemaksas izlīdzināšanas fondā.</t>
  </si>
  <si>
    <t>0170</t>
  </si>
  <si>
    <t>1.9.</t>
  </si>
  <si>
    <t>Informācijas tehnoloģiju nodaļa, vispārējas nozīmes dienestu darbība un pakalpojumi - datortīkla uzturēšana ©</t>
  </si>
  <si>
    <t>Ekonomija uz neaizpildītajām vakancēm</t>
  </si>
  <si>
    <t>Pārējie vispārēja rakstura transferti</t>
  </si>
  <si>
    <t>0610</t>
  </si>
  <si>
    <t>Izdevumi neparedzētiem gadījumiem</t>
  </si>
  <si>
    <t>0340</t>
  </si>
  <si>
    <t>Sabiedriskā kārtība un drošība</t>
  </si>
  <si>
    <t>Uzkopšanas gada maksa ielikta CKS, bet janvāra maksājums vēl jāveic caur policijas budžetu</t>
  </si>
  <si>
    <t>EUR 13'315 no dotācijas ceļu uzturēšanai uz Pašvaldības policiju ātruma kontroles mērierīces iegādei.</t>
  </si>
  <si>
    <t>EUR 102 uzturēšana, ko veic CKS</t>
  </si>
  <si>
    <t>Papildus līdzekļi klaiņojošo dzīvnieku veterinājajai aprūpei.</t>
  </si>
  <si>
    <t>Ekonomiskā darbība</t>
  </si>
  <si>
    <t>0490</t>
  </si>
  <si>
    <t>Sabiedriskās attiecības, laikraksts</t>
  </si>
  <si>
    <t>4.1.1.</t>
  </si>
  <si>
    <t>Sabiedrisko attiecību nodaļa</t>
  </si>
  <si>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</si>
  <si>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EUR 660 no finansējuma publiskajām apspriešanām, reklāmām uz sadaļu"Ādažu vēstis" izplatīšanas izmaksu pieaugumam.</t>
  </si>
  <si>
    <t>4.1.2.</t>
  </si>
  <si>
    <t>Ādažu vēstis</t>
  </si>
  <si>
    <t>0420</t>
  </si>
  <si>
    <t>Autoceļu fonds</t>
  </si>
  <si>
    <t>KA EUR 1'093, precizēta dotācija +59'292, papildus dotācija par pārņemtajiem ceļiem EUR 1'248</t>
  </si>
  <si>
    <t>Vides aizsardzība</t>
  </si>
  <si>
    <t>0510</t>
  </si>
  <si>
    <t>Dabas resursu nodokļa izlietojums</t>
  </si>
  <si>
    <t>Pašvaldības teritoriju un mājokļu apsaimniekošana</t>
  </si>
  <si>
    <t>0620</t>
  </si>
  <si>
    <t>Būvvalde</t>
  </si>
  <si>
    <t>0660</t>
  </si>
  <si>
    <t>6.3.</t>
  </si>
  <si>
    <t>Teritorijas plānošanas nodaļa</t>
  </si>
  <si>
    <r>
      <rPr>
        <b/>
        <sz val="11"/>
        <rFont val="Times New Roman"/>
        <family val="1"/>
        <charset val="186"/>
      </rPr>
      <t>Iekš. groz.:</t>
    </r>
    <r>
      <rPr>
        <sz val="11"/>
        <rFont val="Times New Roman"/>
        <family val="1"/>
        <charset val="186"/>
      </rPr>
      <t xml:space="preserve"> EKK korekcija 1) “Ādažu novada ainavu plāns, tematiskais plānojums” - Tas ir ilgtspējas dokuments kas ir jau pabeigts. Tāpēc šim mērķim 2024.gadā plānotie EUR 38’526 jāpārceļ no EKK 2239 uz EKK ir 5110 “Attīstības pasākumi un programmas”.
2)  “Ādažu novada transporta attīstības plans” - Tas ir ilgtspējas dokuments līdz 2037.gadam, kas norādīts iepirkuma tehniskajā specifikācijā. Tāpēc šim mērķim 2024.gadā plānotie EUR 40’600 jāpārceļ no EKK 2239 uz EKK ir 5140 “Nemateriālo ieguldījumu izveidošana”.</t>
    </r>
  </si>
  <si>
    <t>6.4.</t>
  </si>
  <si>
    <t>Attīstības un projektu nodaļa</t>
  </si>
  <si>
    <t>6.4.1.</t>
  </si>
  <si>
    <t>nodaļa</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</si>
  <si>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</si>
  <si>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1) - EUR 7'349 ekonomija uz neaizpildītajām vakancēm;
2) No mobilitātes punkta projekta EUR 5'000 uzņēmējdarbības konkuram izmaksu iegumu analīzes veikšanai un EUR 26'640 tehniskā projekta izstrādāšanai.</t>
  </si>
  <si>
    <t>1) EUR 5'801 no Attīstības nodaļas (ekonomija uz vakancēm) uz projektu Mākslu skolas ārtelpas labiekārtošana. (30.05.2024. ĀND lēmums # 223)
2) EUR 44'284 - ANM pasākuma "Atbalsta pasākumi cilvēkiem ar invaliditāti mājokļu vides pieejamības nodrošināšanai" projekts - Pārcelts uz jaunu struktūru 1018; 
3) Noslēdzies iepirkums uzņēmējdarbības konkursa tehniskā projekta izstrādāšanai par summu EUR 23'293 (aprīļa grozījumos šim mērķim tika pārcelti EUR 26'640 no mobilitātes punkta projekta). Starpība EUR 3'347 atgriezts mobilitātes projektam.</t>
  </si>
  <si>
    <t>1) EUR 44'284 - ANM pasākuma "Atbalsta pasākumi cilvēkiem ar invaliditāti mājokļu vides pieejamības nodrošināšanai" projekts - jūnijā pārcelts uz jaunu struktūru 1018 - jāceļ no izceltā projekta nevis attīst. daļas;
2)  EUR 85'085 - Krastupes ielas projekts - Pārcelts uz atsevišķu struktūru 0631.2; 
3) EUR 120'000 - Jaunais plūdu projekts - Pārcelts uz atsevišķu struktūru 0634.1;
4) EUR 19'840 Saskaņā ar lēmumu par finanšu un ekonomisko aprēķinu jaunās skolas būvniecībai;
5) EUR 8'000 Blusu kroga tehniskajai apsekošanai. (EUR 5'000 no AP nodaļas talgojuma ekonomijas, EUR 1'500 no Novadpētniecības centra un EUR 1'500 no tūrisma sadaļas).</t>
  </si>
  <si>
    <t>0630.1</t>
  </si>
  <si>
    <t>6.4.2.</t>
  </si>
  <si>
    <t>Projekts "Sabiedrība ar dvēseli"</t>
  </si>
  <si>
    <t>6.4.3.</t>
  </si>
  <si>
    <t>Iedzīvotāju iniciatīvas un konkursi.</t>
  </si>
  <si>
    <t>0632.5</t>
  </si>
  <si>
    <t>6.4.4.</t>
  </si>
  <si>
    <t>TEP “Atjaunojamo energoresursu izmantošana Ādažu novadā” (EUCF)</t>
  </si>
  <si>
    <t>0633.1</t>
  </si>
  <si>
    <t>6.4.5.</t>
  </si>
  <si>
    <t>”Mobilitātes punkta infrastruktūras izveidošana Rīgas metropoles areālā – “Carnikava””</t>
  </si>
  <si>
    <t>Pēc naudas plūsmas 2024.gadā mazāks finansējuma apjoms. No mobilitātes punkta proejekta EUR 5'000 uzņēmējdarbības konkuram izmaksu iegumu analīzes veikšanai un EUR 26'640 tehniskā projekta izstrādāšanai.</t>
  </si>
  <si>
    <t>Noslēdzies iepirkums uzņēmējdarbības konkursa tehniskā projekta izstrādāšanai par summu EUR 23'293 (aprīļa grozījumos šim mērķim tika pārcelti EUR 26'640 no mobilitātes punkta projekta). Starpība EUR 3'347 atgriezts mobilitātes projektam.</t>
  </si>
  <si>
    <t>0633.2</t>
  </si>
  <si>
    <t>6.4.6.</t>
  </si>
  <si>
    <t>0631.1</t>
  </si>
  <si>
    <t>6.4.7.</t>
  </si>
  <si>
    <t>EUR 22'000 no ieņēmumu palielinājuma (KA % ieņēmumu palielinājums). (30.05.2024. ĀND lēmums # 185)
EUR 50'687 no aizņēmumu % maksājumu plānotās kopsummas.</t>
  </si>
  <si>
    <t>0961</t>
  </si>
  <si>
    <t>6.4.8.</t>
  </si>
  <si>
    <t>EUR 5'801 no Attīstības nodaļas (ekonomija uz vakancēm) uz projektu Mākslu skolas ārtelpas labiekārtošana (30.05.2024. ĀND lēmums # 223)</t>
  </si>
  <si>
    <t>0631.3</t>
  </si>
  <si>
    <t>6.4.9.</t>
  </si>
  <si>
    <t>Precizēts CFLA avansa apjoms.</t>
  </si>
  <si>
    <t>6.4.10.</t>
  </si>
  <si>
    <t>6.4.11.</t>
  </si>
  <si>
    <t>6.4.12.</t>
  </si>
  <si>
    <t>6.4.13.</t>
  </si>
  <si>
    <t>6.4.14.</t>
  </si>
  <si>
    <t>ANM pasākuma "Atbalsta pasākumi cilvēkiem ar invaliditāti mājokļu vides pieejamības nodrošināšanai" projekts</t>
  </si>
  <si>
    <t xml:space="preserve">EUR 44'284 - ANM pasākuma "Atbalsta pasākumi cilvēkiem ar invaliditāti mājokļu vides pieejamības nodrošināšanai" projekts - jūnijā pārcelts uz jaunu struktūru 1018 - jāceļ no izceltā projekta nevis attīst. daļas. 
</t>
  </si>
  <si>
    <t>0631.2</t>
  </si>
  <si>
    <t>6.4.15.</t>
  </si>
  <si>
    <t>Krastupes ielas projekts</t>
  </si>
  <si>
    <t xml:space="preserve">EUR 85'085 - Krastupes ielas projekts - Pārcelts uz atsevišķu struktūru 0631.2; 
</t>
  </si>
  <si>
    <t>6.4.16.</t>
  </si>
  <si>
    <t>Pārrobežu EST-LAT projekts "Militārais mantojums ©</t>
  </si>
  <si>
    <t>0633.5</t>
  </si>
  <si>
    <t>6.5.</t>
  </si>
  <si>
    <t>Objektu un teritorijas apsaimniekošana un uzturēšana</t>
  </si>
  <si>
    <t>0670</t>
  </si>
  <si>
    <t>6.5.1.</t>
  </si>
  <si>
    <t xml:space="preserve">Nekustamā īpašumas nodaļa </t>
  </si>
  <si>
    <t>EUR 2400 uzlādes stacijām piedāvāto nekustamo īpašumu novētēšanai (25.07.2024. domes lēmums)</t>
  </si>
  <si>
    <t>0648</t>
  </si>
  <si>
    <t>6.5.2.</t>
  </si>
  <si>
    <t>Vecštāles ceļa rekonstrukcija</t>
  </si>
  <si>
    <t>6.5.3.</t>
  </si>
  <si>
    <t>precizēts KA, VK aizņēmuma summa un atlikušais ienākošais ERAF finansējums</t>
  </si>
  <si>
    <t>0634.1</t>
  </si>
  <si>
    <t>6.5.4.</t>
  </si>
  <si>
    <t>Jaunais plūdu projekts - 2.1.3.2. "Nacionālas nozīmes plūdu un krasta erozijas pasākumi" 1.daļa</t>
  </si>
  <si>
    <t xml:space="preserve">EUR 120'000 - Jaunais plūdu projekts - Pārcelts uz atsevišķu struktūru 0634.1; 
</t>
  </si>
  <si>
    <t>CKS_apsaimniek</t>
  </si>
  <si>
    <t>6.5.5.</t>
  </si>
  <si>
    <t>Pašvaldības aģentūra "Carnikavas Komunālserviss"</t>
  </si>
  <si>
    <t>KA nepalielina izdevumus, bet samazina plānotos ieņēmumsu</t>
  </si>
  <si>
    <t>6.5.6.</t>
  </si>
  <si>
    <t>P/A "Carnikavas komunālserviss" teritorijas un īpašumu apsaimniekošana</t>
  </si>
  <si>
    <t>6.5.6.1</t>
  </si>
  <si>
    <t>Dotācija CKS teritorijas uzturēšanai</t>
  </si>
  <si>
    <t>1) KA - EUR 13'000 drošības nauda CKS (jāatmaksā).
2) Uzkopšanas gada maksa ielikta CKS, bet janvāra maksājums vēl jāveic caur policijas budžetu. (EUR 645).
3) Noslēdzies iepirkums remontam Garā iela 20 ārsta prakse. Summa par EUR 1'835 lielāka.</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</si>
  <si>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</si>
  <si>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 EUR 9'076 Ekonomija uz neaizpildītajām vakancēm;
2) + EUR 3'500 atbalstīts zemsv. aktivit. - VW LT 46 hidromanipulatora kapitālais remonts;
3) + EUR 11'000 atbalstīts zemsv. aktivit. - (Mākslu skolas starpsienu izbūve)</t>
  </si>
  <si>
    <r>
      <t>1) EUR 276 Ādažu bibliotēkas uzturēšana, ko veic CKS;
2) EUR 62 Carnikavas bibliotēkas uzturēšana, ko veic CKS;
3) EUR 102 Policijas uzturēšana, ko veic CKS;
4) EUR 28 Kadiķis uzturēšana, ko veic CKS;
5) EUR 165 t/n Ozolaine uzturēšana, ko veic CKS.
6) Stadiona labiekārtošanas darbi veikti caur CKS, pārcelts EUR 6'629 uz CKS teritorijas labiekārtošanas sadaļu.
7)</t>
    </r>
    <r>
      <rPr>
        <u/>
        <sz val="11"/>
        <rFont val="Times New Roman"/>
        <family val="1"/>
        <charset val="186"/>
      </rPr>
      <t xml:space="preserve"> Iekš. groz.:</t>
    </r>
    <r>
      <rPr>
        <sz val="11"/>
        <rFont val="Times New Roman"/>
        <family val="1"/>
        <charset val="186"/>
      </rPr>
      <t xml:space="preserve"> EUR 10'000 no atalgojuma pārcelt siltummezgla rekonstrukcijai Stacijas ielā 5 un 7.
8) </t>
    </r>
    <r>
      <rPr>
        <u/>
        <sz val="11"/>
        <rFont val="Times New Roman"/>
        <family val="1"/>
        <charset val="186"/>
      </rPr>
      <t>Iekš. groz.:</t>
    </r>
    <r>
      <rPr>
        <sz val="11"/>
        <rFont val="Times New Roman"/>
        <family val="1"/>
        <charset val="186"/>
      </rPr>
      <t xml:space="preserve"> EUR 7'865 no ietaupījumu no elektroenerģijas patēriņa samazinājuma novirzīt caurtekas renovācijai Viršu ielā</t>
    </r>
  </si>
  <si>
    <t>1. Kļavu ielas divkāršās virsmas apstrādes veikšanai (08.08.2024. protokollēmums):
1.1. EUR 6'508 no plānotajiem līdzekļiem elektroenerģijas iegādei;
1.2. EUR 328 no gājēju pārejas Siguļos izmaksām.
2. EUR 4'600 no tāmēšanas darbiem paredzētā finansējuma uz PII "Mežavēji" ēkas un telpu remontdarbiem.
3. No Attekas ielas projektēšanas EUR 10'757 Ķiršu ielas III kārtas projekta nobeigumam.
4. EUR 2'978 no Garās ielas 20 remontiem paredzētajiem līdzekļiem uz PII "Strautiņš" terases balsta sienu remontdarbiem.
5. EUR 40'000 katlu mājas remontam (no aizņēmuma % samazinājuma).
6. No Attekas ielas projektēšanas EUR 19'000 Gāzes katla remontam.
7. Tā kā Gaujas 16 netiek vēl pieslēgta centrālai apkurei, tad atlikušie EUR 6'000 uz apkures apmaksu, ko maksā dome nevis CKS.</t>
  </si>
  <si>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 EUR 7'164 no gāzes katla nomaiņai (Rīgas ielā 12, Carnikavā) plānotajiem līdzekļiem iespējams novirzīt minerālmateriālu iegādei.
4)  EUR 12'386 no gāzes katla nomaiņai (Rīgas ielā 12, Carnikavā) plānotajiem līdzekļiem iespējams novirzīt ziemas uzturēšanas pakalpojumiem
5) Saskaņā ar 11.09. Ārkārtas domes sēdes protokolu EUR 20'000 pārvirzīt no Attekas ielas apgaismes stabu izbūvei plānotajiem līdzekļiem pārcelt pašvaldības NĪ apdrošināšanai.
6) EUR 7'954pārcelti no teritorijas apsaimniekošanas uz PII Strautiņš EUR 4'364 un uz sākumskolu EUR 3'590 logu mazgāšanai;
7) EUR 3'872 samaksāts no Domes par elektrotīklu apsaimniekošanu, plānots pie CKS =&gt; 0645 no EKK 7230 uz EKK 2244
8) EUR 18’064 samaksāts no Domes par apdrošināšanu (līgums ar Domi), plānots pie CKS =&gt; 0645 no EKK 7230 uz EKK 2247</t>
  </si>
  <si>
    <t>EUR 5'808 no teritorijas uzturēšnas elektrības ekonomijas Dzirnupes tilta būvekspertīzei.</t>
  </si>
  <si>
    <t>6.5.6.2.</t>
  </si>
  <si>
    <t>Dotācija CKS ceļu uzturēšanai</t>
  </si>
  <si>
    <r>
      <t xml:space="preserve">1. </t>
    </r>
    <r>
      <rPr>
        <b/>
        <i/>
        <u/>
        <sz val="11"/>
        <rFont val="Times New Roman"/>
        <family val="1"/>
        <charset val="186"/>
      </rPr>
      <t>Iekš. groz.:</t>
    </r>
    <r>
      <rPr>
        <i/>
        <sz val="11"/>
        <rFont val="Times New Roman"/>
        <family val="1"/>
        <charset val="186"/>
      </rPr>
      <t xml:space="preserve"> EUR 8'466 no 0649/2244 (tiltu uzturēšana) uz 0649/2246 nogāzes izskalojuma remonts Baltezerā. (08.08.2024. protokollēmums)
2. Kļavu ielas divkāršās virsmas apstrādes veikšanai (08.08.2024. protokollēmums):
2.1. EUR 7'000 no pašizgāzēja pakalpojumu apmaksai paredzētajiem līdzekļiem;
2.2. EUR 3'130 no lietus kanalizācijas uzturēšanas izmaksām;
2.3. EUR 18'034 no tiltu uzturēšanai plānotajām izmaksām.</t>
    </r>
  </si>
  <si>
    <t>1) Ieņēmumu pārpilde par maksas stāvvietām (CKS) minerālmateriālu iegādei ceļu uzturāšanai (CKS).
2) EUR 12'386 no gāzes katla nomaiņai (Rīgas ielā 12, Carnikavā) plānotajiem līdzekļiem (0645) iespējams novirzīt ziemas uzturēšanas pakalpojumiem (0649)
2)  EUR 7'164 no gāzes katla nomaiņai (Rīgas ielā 12, Carnikavā) plānotajiem līdzekļiem (0645) iespējams novirzīt minerālmateriālu iegādei (0649).</t>
  </si>
  <si>
    <t>6.5.6.3.</t>
  </si>
  <si>
    <t>Teritorijas uzturēšana (Dome)</t>
  </si>
  <si>
    <t>1) Energoefektivitātes pasākumu daudzdzīvokļu mājām un pagalmu labiekārtošanai - līdzfinansējums papildus EUR 13'000.
2) Tā kā Gaujas 16 netiek vēl pieslēgta centrālai apkurei, tad atlikušie EUR 6'000 uz apkures apmaksu, ko maksā dome nevis CKS.</t>
  </si>
  <si>
    <r>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t>
    </r>
    <r>
      <rPr>
        <b/>
        <u/>
        <sz val="11"/>
        <rFont val="Times New Roman"/>
        <family val="1"/>
        <charset val="186"/>
      </rPr>
      <t xml:space="preserve"> I</t>
    </r>
    <r>
      <rPr>
        <b/>
        <i/>
        <u/>
        <sz val="11"/>
        <rFont val="Times New Roman"/>
        <family val="1"/>
        <charset val="186"/>
      </rPr>
      <t>ekš. groz.:</t>
    </r>
    <r>
      <rPr>
        <i/>
        <sz val="11"/>
        <rFont val="Times New Roman"/>
        <family val="1"/>
        <charset val="186"/>
      </rPr>
      <t xml:space="preserve"> Priekšsēdētāja auto Volvo V70 beidzies līzinga periods, izpirkšanas summa EUR 11'200 - EUR 11'200 no EKK 2321 uz EKK 5231</t>
    </r>
    <r>
      <rPr>
        <sz val="11"/>
        <rFont val="Times New Roman"/>
        <family val="1"/>
        <charset val="186"/>
      </rPr>
      <t>;
4) EUR 3'872 samaksāts no Domes par elektrotīklu apsaimniekošanu, plānots pie CKS =&gt; 0645 no EKK 7230 uz EKK 2244;
5) EUR 18’064 samaksāts no Domes par apdrošināšanu (līgums ar Domi), plānots pie CKS =&gt; 0645 no EKK 7230 uz EKK 2247</t>
    </r>
  </si>
  <si>
    <t>6.5.7.</t>
  </si>
  <si>
    <t>Tirgus laukuma lietus kanalizācijas izbūve Ādažos</t>
  </si>
  <si>
    <t>6.5.8.</t>
  </si>
  <si>
    <t>Viršu ielas/atzars uz Sproģu ielu asfaltbetona seguma atjaunošana posmā no Dzērveņu ielas līdz Serģu iela (980 m)</t>
  </si>
  <si>
    <t>Viršu ielas prognozētās palielinātās izmaksas</t>
  </si>
  <si>
    <t>6.5.9.</t>
  </si>
  <si>
    <t>Liepu alejas rekonstrukcija</t>
  </si>
  <si>
    <t>6.5.10.</t>
  </si>
  <si>
    <t>Dzirnupes ielas tilta projekts, Carnikava</t>
  </si>
  <si>
    <t>6.5.11.</t>
  </si>
  <si>
    <t>EUR 15'000 no plānotajiem līdzekļiem Draudzības ielas rekonstrukcijai uz Kļavu ielas divkāršās virsmas apstrādes veikšanu. (08.08.2024. protokollēmums)</t>
  </si>
  <si>
    <t>6.5.12.</t>
  </si>
  <si>
    <t>Attekas ielas turpinājums 0,5 km - projektēšana</t>
  </si>
  <si>
    <t>1. No Attekas ielas projektēšanas EUR 10'757 Ķiršu ielas III kārtas projekta nobeigumam.
2. No Attekas ielas projektēšanas EUR 10'022 Mežmalas ielas atjaunošanai pašvaldības līdzfinansējums.
3. No Attekas ielas projektēšanas EUR 19'000 Gāzes katla remontam.</t>
  </si>
  <si>
    <t xml:space="preserve">Apgaismes stabi Attekas ielas savienojumā no Ķiršu līdz Draudzības ielai. </t>
  </si>
  <si>
    <t>Saskaņā ar 11.09. Ārkārtas domes sēdes protokolu EUR 20'000 pārvirzīt no Attekas ielas apgaismes stabu izbūvei plānotajiem līdzekļiem pārcelt pašvaldības NĪ apdrošināšanai.</t>
  </si>
  <si>
    <t>6.5.13.</t>
  </si>
  <si>
    <r>
      <rPr>
        <b/>
        <u/>
        <sz val="11"/>
        <rFont val="Times New Roman"/>
        <family val="1"/>
        <charset val="186"/>
      </rPr>
      <t>EKK grozījumi:</t>
    </r>
    <r>
      <rPr>
        <sz val="11"/>
        <rFont val="Times New Roman"/>
        <family val="1"/>
        <charset val="186"/>
      </rPr>
      <t xml:space="preserve"> EUR 546'771 no EKK 5250 uz EKK 7230 gaismekļu nomaiņa novadā EKII projekts, līgums noslēgts ar CKS</t>
    </r>
  </si>
  <si>
    <t>6.5.14.</t>
  </si>
  <si>
    <t>Kļavu ielā divkārtas virsmas apstrāde 0.35km</t>
  </si>
  <si>
    <t>Atbalstīts zemsvītras projekts</t>
  </si>
  <si>
    <t>Kļavu ielas divkāršās virsmas apstrādes veikšanai (08.08.2024. protokollēmums):
1) EUR 6'508 no plānotajiem līdzekļiem elektroenerģijas iegādei;
2) EUR 15'000 no plānotajiem līdzekļiem Draudzības ielas rekonstrukcijai;
3) EUR 328 no gājēju pārejas Siguļos izmaksām;
4) EUR 7'000 no pašizgāzēja pakalpojumu apmaksai paredzētajiem līdzekļiem;
5) EUR 3'130 no lietuskanalizācijas uzturēšanas izmaksām;
6) EUR 18'034 no tiltu uzturēšanai plānotajām izmaksām.</t>
  </si>
  <si>
    <t>0633.4</t>
  </si>
  <si>
    <t>6.5.15.</t>
  </si>
  <si>
    <t>Mežmalas ielas seguma vienkāršotā atjaunošana, 0.22km, Alderi</t>
  </si>
  <si>
    <t>1) Iedzīvotāju līdzfinansējums Mežmalas ielas atjaunošanai EUR 31'000.
2) No Attekas ielas projektēšanas EUR 10'022 Mežmalas ielas atjaunošanai pašvaldības līdzfinansējums.</t>
  </si>
  <si>
    <t>Atpūta, kultūra un reliģija</t>
  </si>
  <si>
    <t>Kultūra</t>
  </si>
  <si>
    <t>0841.1</t>
  </si>
  <si>
    <t>7.1.1.</t>
  </si>
  <si>
    <t xml:space="preserve">Ādažu kultūras centrs </t>
  </si>
  <si>
    <t>0841.2</t>
  </si>
  <si>
    <t>7.1.2.</t>
  </si>
  <si>
    <t>Tautas nams "Ozolaine" ©</t>
  </si>
  <si>
    <t>+ EUR 8'500 atbalstīts zemsv. aktivit. - Lielās zāles grīdas seguma remonts</t>
  </si>
  <si>
    <t>EUR 165 t/n Ozolaine uzturēšana, ko veic CKS</t>
  </si>
  <si>
    <t>0841.3</t>
  </si>
  <si>
    <t>7.1.3.</t>
  </si>
  <si>
    <t>Muzejs un Carnikavas novadpētniecības centrs</t>
  </si>
  <si>
    <t>EUR 8'000 Blusu kroga tehniskajai apsekošanai. (EUR 5'000 no AP nodaļas talgojuma ekonomijas, EUR 1'500 no Novadpētniecības centra un EUR 1'500 no tūrisma sadaļas).</t>
  </si>
  <si>
    <t>08412</t>
  </si>
  <si>
    <t>7.1.4.</t>
  </si>
  <si>
    <t>Tūrisms</t>
  </si>
  <si>
    <t>0844.1</t>
  </si>
  <si>
    <t>7.3.</t>
  </si>
  <si>
    <t>SAM 5.5.1. Kultūras objektu būvniecība (maksājumi projekta partneriem) ©</t>
  </si>
  <si>
    <t>AND trūkstošais finansējums uz, ko jāatmaksā citām pašv.</t>
  </si>
  <si>
    <t>0844.2</t>
  </si>
  <si>
    <t>7.4.</t>
  </si>
  <si>
    <t>ES projekts Eiropa pilsoņiem (diskriminētām personām) ©</t>
  </si>
  <si>
    <t>0830</t>
  </si>
  <si>
    <t>7.5.</t>
  </si>
  <si>
    <t xml:space="preserve">Ādažu bibliotēka </t>
  </si>
  <si>
    <t>EUR 276 Ādažu bibliotēkas uzturēšana, ko veic CKS</t>
  </si>
  <si>
    <t>0831</t>
  </si>
  <si>
    <t>7.6.</t>
  </si>
  <si>
    <t xml:space="preserve">Carnikavas bibliotēka </t>
  </si>
  <si>
    <t>EUR 62 Carnikavas bibliotēkas uzturēšana, ko veic CKS</t>
  </si>
  <si>
    <t>7.8.</t>
  </si>
  <si>
    <t>Sporta daļa</t>
  </si>
  <si>
    <t>7.8.1.</t>
  </si>
  <si>
    <t>-  sporta funkcijas nodrošināšana</t>
  </si>
  <si>
    <t>Atalgojums, kas pāriet uz CKS</t>
  </si>
  <si>
    <t>EUR 43'878 Sporta centra uzturēšana, ko veic CKS</t>
  </si>
  <si>
    <t>Latvijas Jaunatnes Olimpiāde Valmierā - NENOTIKS</t>
  </si>
  <si>
    <r>
      <t>1) Automātiskās laistīšanas sistēmas ierīkošana Ādažu stadionā sadarbībā ar Latvijas futbola federāciju. EUR 6'370 no ieņēmumu palielinājuma par pakalpojumiem un</t>
    </r>
    <r>
      <rPr>
        <b/>
        <u/>
        <sz val="11"/>
        <rFont val="Times New Roman"/>
        <family val="1"/>
        <charset val="186"/>
      </rPr>
      <t xml:space="preserve"> iekš. groz.:</t>
    </r>
    <r>
      <rPr>
        <sz val="11"/>
        <rFont val="Times New Roman"/>
        <family val="1"/>
        <charset val="186"/>
      </rPr>
      <t xml:space="preserve"> EUR 4'752 no ekonomijas algu fondā; EUR 8'061 no plānotā āra trenažieriem.
2) EUR 926 Sporta centra uzturēšana, ko veic CKS</t>
    </r>
  </si>
  <si>
    <t>7.8.2.</t>
  </si>
  <si>
    <t>- uzturēšanas izmaksas (CKS)</t>
  </si>
  <si>
    <t>EUR 926 Sporta centra uzturēšana, ko veic CKS</t>
  </si>
  <si>
    <t>0880</t>
  </si>
  <si>
    <t>7.9.</t>
  </si>
  <si>
    <t>Evaņģēliski luteriskās draudzes</t>
  </si>
  <si>
    <t>0843</t>
  </si>
  <si>
    <t>7.10.</t>
  </si>
  <si>
    <t>Multihalle</t>
  </si>
  <si>
    <t>Sociālā aizsardzība</t>
  </si>
  <si>
    <t>Sociālais dienests</t>
  </si>
  <si>
    <t>8.1.1.</t>
  </si>
  <si>
    <t xml:space="preserve">Sociālās funkcijas nodrošināšana </t>
  </si>
  <si>
    <t>EUR 1'186 Soc. dienesta uzturēšana, ko veic CKS</t>
  </si>
  <si>
    <t>8.1.2.</t>
  </si>
  <si>
    <t>Pabalsti</t>
  </si>
  <si>
    <r>
      <rPr>
        <b/>
        <u/>
        <sz val="11"/>
        <rFont val="Times New Roman"/>
        <family val="1"/>
        <charset val="186"/>
      </rPr>
      <t>Iekš. groz.:</t>
    </r>
    <r>
      <rPr>
        <sz val="11"/>
        <rFont val="Times New Roman"/>
        <family val="1"/>
        <charset val="186"/>
      </rPr>
      <t xml:space="preserve"> EKK korekcija EUR 30'000 no EKK 6411 "Samaksa par aprūpi mājās"uz EKK 6419 "Samaksa par pārējiem sociālajiem pakalpojumiem saskaņā ar pašvaldību saistošajiem noteikumiem"</t>
    </r>
  </si>
  <si>
    <t>Saskaņā ar protokollēmumu "Par finanšu līdzekļu pārcelšanu 5. – 6. klašu skolēnu brīvpusdienu nodrošināšanai" no soc.dienesta EKK 6423 uz Ādažu sākumskolu 0981/2363  EUR 35'046, uz Carnikavas vidusskolu 0982/2363 EUR 3'822.</t>
  </si>
  <si>
    <t>8.1.3.</t>
  </si>
  <si>
    <t>Mērķdotācija</t>
  </si>
  <si>
    <t>8.1.5.</t>
  </si>
  <si>
    <t>Asistentu pakalpojumi</t>
  </si>
  <si>
    <t>8.1.6.</t>
  </si>
  <si>
    <t>Uzturēšanas izdevumi (CKS)</t>
  </si>
  <si>
    <t>8.1.7.</t>
  </si>
  <si>
    <t>Sociālā centra "Kadiķis" uzturēšana</t>
  </si>
  <si>
    <t>EUR 28 Kadiķis uzturēšana, ko veic CKS</t>
  </si>
  <si>
    <t>Stipendiāti / bezdarbnieki</t>
  </si>
  <si>
    <t>8.2.1.</t>
  </si>
  <si>
    <t>Domes finansējums</t>
  </si>
  <si>
    <t>8.2.2.</t>
  </si>
  <si>
    <t>NVA finansējums</t>
  </si>
  <si>
    <t>SAM 9311 Deinstitucionalizācija - Dienas centrs</t>
  </si>
  <si>
    <t>1014.3</t>
  </si>
  <si>
    <t>8.3.1.</t>
  </si>
  <si>
    <t>DI centra uzturēšanas izdevumi</t>
  </si>
  <si>
    <t>EUR 3'745 DI centra uzturēšana, ko veic CKS</t>
  </si>
  <si>
    <t>8.3.2.</t>
  </si>
  <si>
    <t>DI centra uzturēšanas izdevumi (CKS)</t>
  </si>
  <si>
    <t>8.3.3.</t>
  </si>
  <si>
    <t>DI projekts- specializētās darbnīcas</t>
  </si>
  <si>
    <t>DI projekta KA</t>
  </si>
  <si>
    <t>1014.1</t>
  </si>
  <si>
    <t>8.3.4.</t>
  </si>
  <si>
    <t>DI centra pakalpojumi (projekts)</t>
  </si>
  <si>
    <t>8.4.</t>
  </si>
  <si>
    <t>Bāriņtiesa</t>
  </si>
  <si>
    <t>8.5.</t>
  </si>
  <si>
    <t>8.6.</t>
  </si>
  <si>
    <t>8.7.</t>
  </si>
  <si>
    <t>EUR 44'284 - ANM pasākuma "Atbalsta pasākumi cilvēkiem ar invaliditāti mājokļu vides pieejamības nodrošināšanai" projekts - Pārcelts uz jaunu struktūru 1018</t>
  </si>
  <si>
    <t>1013.1</t>
  </si>
  <si>
    <t>8.8.</t>
  </si>
  <si>
    <t>SAM 9.2.4.2. projekts "Pasākumi vietējās sabiedrības veselības veicināšanai Ādažu novada pašvaldības Ādažu pagastā"</t>
  </si>
  <si>
    <t>1013.2</t>
  </si>
  <si>
    <t>8.9.</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</si>
  <si>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</si>
  <si>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</si>
  <si>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</si>
  <si>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</si>
  <si>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</si>
  <si>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</si>
  <si>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</si>
  <si>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</si>
  <si>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</si>
  <si>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</si>
  <si>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Mērķdotācijas KA</t>
  </si>
  <si>
    <t>MD 2024.gadam māc. līdz.iegāde</t>
  </si>
  <si>
    <t>0910</t>
  </si>
  <si>
    <t>9.2.2.</t>
  </si>
  <si>
    <t>pārējās izmaksas</t>
  </si>
  <si>
    <t>Atalgojums, kas pāriet uz CKS un algas korekcija, precizējot MD</t>
  </si>
  <si>
    <t>EUR 145'959 ĀPII uzturēšana, ko veic CKS</t>
  </si>
  <si>
    <t>EUR 7'811 ĀPII uzturēšana, ko veic CKS</t>
  </si>
  <si>
    <r>
      <t xml:space="preserve">1) EUR 10'721 atjaunošanas darbu garantijas remontu summas pārsniegums EUR 10'721 no CKS sadaļā paredzētās remontu rezerves un PII ēkas vērtības palielinājumu EKK 5240.
2) EUR 2'109 no 0910/EKK 1119 uz EKKK 7230 ēku dežurantu nakts stundu apmaksa uz CKS
3) EUR 7'954pārcelti no teritorijas apsaimniekošanas uz </t>
    </r>
    <r>
      <rPr>
        <b/>
        <sz val="11"/>
        <rFont val="Times New Roman"/>
        <family val="1"/>
        <charset val="186"/>
      </rPr>
      <t>PII Strautiņš EUR 4'364</t>
    </r>
    <r>
      <rPr>
        <sz val="11"/>
        <rFont val="Times New Roman"/>
        <family val="1"/>
        <charset val="186"/>
      </rPr>
      <t xml:space="preserve"> un uz sākumskolu EUR 3'590 logu mazgāšanai</t>
    </r>
  </si>
  <si>
    <t>9.2.3.</t>
  </si>
  <si>
    <t>uzturēšanas izmaksas (CKS)</t>
  </si>
  <si>
    <t>Strautiņš terases sienu remontam EUR 2'978 no Garās ielas 20 remontiem paredzētajiem līdzekļiem uz PII "Strautiņš" terases balsta sienu remontdarbiem un EUR 11'222 (iekš. groz.) no plānotā piekļuves sisitēmas automatizācijas izmaksām.</t>
  </si>
  <si>
    <t>9.3.</t>
  </si>
  <si>
    <t>Kadagas PII</t>
  </si>
  <si>
    <t>0921</t>
  </si>
  <si>
    <t>9.3.1.</t>
  </si>
  <si>
    <t>0920</t>
  </si>
  <si>
    <t>9.3.2.</t>
  </si>
  <si>
    <t>EUR 64'977 KPII uzturēšana, ko veic CKS</t>
  </si>
  <si>
    <t>EUR 7'000 no PII domes sadaļas uz PII CKS sadaļu, jo bērnu laukumiņa elementu uzstādīšanu veiks CKS.</t>
  </si>
  <si>
    <t>9.3.3.</t>
  </si>
  <si>
    <t>EUR 4'600 no tāmēšanas darbiem paredzētā finansējuma uz PII "Mežavēji" ēkas un telpu remontdarbiem.</t>
  </si>
  <si>
    <t>9.4.</t>
  </si>
  <si>
    <t>Pirmsskolas izglītības iestāde "Riekstiņš"</t>
  </si>
  <si>
    <t>09011</t>
  </si>
  <si>
    <t>9.4.1.</t>
  </si>
  <si>
    <t>MD mācību līdzekļiem 2024.gadam</t>
  </si>
  <si>
    <t>0901; 650_0901</t>
  </si>
  <si>
    <t>9.4.2.</t>
  </si>
  <si>
    <t>Grīdas kopšanas ierīces iegādi un Nosūces uzstādīšanu realizēs CKS</t>
  </si>
  <si>
    <t>EUR 3'150 no Ādažu vidusskolas PII uz PII Riekstiņš izglītojamo skaita palielinājumam. Saskaņā ar 30.05.2024. lēmumu Nr. 216 "Par izglītojamo skaita palielināšanu PII "Riekstiņš"</t>
  </si>
  <si>
    <t>Papildus EUR 2'300 no Ādažu vidusskolas PII uz PII Riekstiņš izglītojamo skaita palielinājumam. Saskaņā ar 25.07. grozījumiem 30.05.2024. lēmumu Nr. 216 "Par izglītojamo skaita palielināšanu PII "Riekstiņš". Amatu pārcelšanai EUR 9'536 no Ādažu PII uz PII Riekstiņš</t>
  </si>
  <si>
    <t>9.4.3.</t>
  </si>
  <si>
    <t>0902; 650_0902</t>
  </si>
  <si>
    <t>9.5.</t>
  </si>
  <si>
    <t>Pirmsskolas izglītības iestādes "Piejūra"</t>
  </si>
  <si>
    <t>09021</t>
  </si>
  <si>
    <t>9.5.1.</t>
  </si>
  <si>
    <t>9.5.2.</t>
  </si>
  <si>
    <t>9.5.3.</t>
  </si>
  <si>
    <t>9.6.</t>
  </si>
  <si>
    <t>Privātās izglītības iestādes</t>
  </si>
  <si>
    <t>0970</t>
  </si>
  <si>
    <t>9.6.1.</t>
  </si>
  <si>
    <t>ĀBVS</t>
  </si>
  <si>
    <t>Prezizēta MD un Mērķdotācijas KA</t>
  </si>
  <si>
    <t>Koriģēts interešu izgl. finansējuma sadalījums EUR 49'310 no privātajiem īstenotājiem uz pašvald. Iestādēm un ĀBVS. (uz ĀVS EUR 22'060; uz CPS EUR 18425; uz ĀBVS EUR 8'825)</t>
  </si>
  <si>
    <t>Precizēti MD apjomi, balstoties uz skolēnu skaitu. Ieņēmumos un izdevumos EUR 15'000 ĀBVS. Palielinoties MD, palielinās arī pašvaldības līdzfinansējuma daļa.</t>
  </si>
  <si>
    <t>0940.2</t>
  </si>
  <si>
    <t>9.6.2.</t>
  </si>
  <si>
    <t xml:space="preserve">Pārējās privātās PII </t>
  </si>
  <si>
    <t>0940.3</t>
  </si>
  <si>
    <t>9.6.3.</t>
  </si>
  <si>
    <t>Pārējās privātās vidējās izglītības iestādes</t>
  </si>
  <si>
    <t>9.7.</t>
  </si>
  <si>
    <t>Carnikavas vidusskola</t>
  </si>
  <si>
    <t>09821</t>
  </si>
  <si>
    <t>9.7.1.</t>
  </si>
  <si>
    <t>9.7.1.1.</t>
  </si>
  <si>
    <t>MD pedagogiem, māc. grāmatām</t>
  </si>
  <si>
    <t>9.7.1.2.</t>
  </si>
  <si>
    <t>MD interešu izglītība</t>
  </si>
  <si>
    <t>9.7.1.3.</t>
  </si>
  <si>
    <t>MD mācību līdzekļiem</t>
  </si>
  <si>
    <t>9.7.2.</t>
  </si>
  <si>
    <t>ēdināšana (mērķdotācija)</t>
  </si>
  <si>
    <t>Precizēti MD apjomi, balstoties uz skolēnu skaitu un lēmumu par brīvpusdienām ne tikai 1.-4.kl. Ieņēmumos un izdevumos EUR 28'000 CVS</t>
  </si>
  <si>
    <t>0982; 0650_0982</t>
  </si>
  <si>
    <t>9.7.3.</t>
  </si>
  <si>
    <t>Precizēts sadalījums starp pašvaldību un MD</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</si>
  <si>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</si>
  <si>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 xml:space="preserve">Tika konstatēta kļūda budžeta tāmes pievienotajā atalgojumu aprēķina tabulā, tāpēc pēc noslēdzošās 2024. gada mērķdotācijas pedagogu darba samaksai uzzināšanas (09.-12.2024.) var konstatēt, ka nav iespējams pārcelt darbiniekus uz valsts finansējumu, tādā veidā samazinot pašvaldības finansējumu. Tāpat tagad  var konstatēt nepieciešamo finansējumu.   </t>
  </si>
  <si>
    <t>1) Ieņēmumi par pārdotajām biļetēm uz pasākumu “Carnikavas vidusskolas 50 gadu salidojums" (novirzīta pasākuma izdevumu segšanai).
2) Saskaņā ar protokollēmumu "Par finanšu līdzekļu pārcelšanu 5. – 6. klašu skolēnu brīvpusdienu nodrošināšanai" no soc.dienesta EKK 6423 uz Carnikavas vidusskolu 0982/2363 EUR 3'822.</t>
  </si>
  <si>
    <t>9.7.4.</t>
  </si>
  <si>
    <t>09822</t>
  </si>
  <si>
    <t>9.7.5.</t>
  </si>
  <si>
    <t>projekts "Skolas soma"</t>
  </si>
  <si>
    <t>09825</t>
  </si>
  <si>
    <t>9.7.6.</t>
  </si>
  <si>
    <t>projekti Erasmus+; NordPlus</t>
  </si>
  <si>
    <t>EUR 27'100 Erasmus, NordPlus finansējums attiecināms uz Carnikavas pamatskolu nevis Ādažu vidusskolu</t>
  </si>
  <si>
    <t>0982</t>
  </si>
  <si>
    <t>9.7.7.</t>
  </si>
  <si>
    <t>mācību vides labiekārtošana</t>
  </si>
  <si>
    <t>09823</t>
  </si>
  <si>
    <t>9.8.</t>
  </si>
  <si>
    <t>KA (VK aizņēmums) un uz 2024.gadu pārceļamā summa, jo būvnieks navarēja pabeigt projektu, saskaņā ar līguma termiņiem</t>
  </si>
  <si>
    <t>Stadiona labiekārtošanas darbi veikti caur CKS, pārcelts EUR 6'629 uz CKS teritorijas labiekārtošanas sadaļu.</t>
  </si>
  <si>
    <t>9.9.</t>
  </si>
  <si>
    <t>Ādažu vidusskola</t>
  </si>
  <si>
    <t>9.9.1.</t>
  </si>
  <si>
    <t>9.9.1.1.</t>
  </si>
  <si>
    <t>MD pedagogiem</t>
  </si>
  <si>
    <t>9.9.1.2.</t>
  </si>
  <si>
    <t>9.9.1.3.</t>
  </si>
  <si>
    <t>0950</t>
  </si>
  <si>
    <t>9.9.2.</t>
  </si>
  <si>
    <t>Atalgojums, kas pāriet uz CKS; atalgojuma korekcija, dalot likmes MD</t>
  </si>
  <si>
    <t>EUR 146'203 ĀVS uzturēšana, ko veic CKS</t>
  </si>
  <si>
    <t>+ EUR 21'000 atbalstīts zemsv. aktivit. - 3 uzlādes skapju iegāde; 16 datoru iegāde obligātā mācību procesa nodrošināšanai</t>
  </si>
  <si>
    <t>EUR 6'000 ĀVS uzturēšana, ko veic CKS</t>
  </si>
  <si>
    <t>EUR 5'600 tualešu remontam uz CKS uzturēšanas izmaksu pozīciju</t>
  </si>
  <si>
    <t>1) EUR 12'000 Ādažu vidusskolas ēkas C korpusa otrā stāva tualešu pārbūve (bērnudārza pārbūve). Realizēs CKS - pārcelts no EKK 5250 uz EKK 7230.
2) EUR 8'708 no 0950/EKK 1119 uz EKKK 7230 ēku dežurantu nakts stundu apmaksa uz CKS</t>
  </si>
  <si>
    <t>EUR 110'000 no Ādažu sākumskolas uz Ādažu vidusskolu - pedagogu atalgojums, kas bija plānots pie sākumskolas, bet tarifikācijā nav nodalīts.</t>
  </si>
  <si>
    <t>9.9.3.</t>
  </si>
  <si>
    <t>1) EUR 10'919 no CKS teritorijas kopšanas nodaļas uz CKS AVS uzturēšanas nodaļu.
2) EUR 146'203 ĀVS uzturēšana, ko veic CKS</t>
  </si>
  <si>
    <t>1) EUR 12'000 Ādažu vidusskolas ēkas C korpusa otrā stāva tualešu pārbūve (bērnudārza pārbūve). Realizēs CKS - pārcelts no EKK 5250 uz EKK 7230.
2) EUR 2'300 paskaidrojuma raksts siltināšanai (līgums ar CKS) no EKK 5250 uz EKK 7230.
3) EUR 8'708 no 0950/EKK 1119 uz EKKK 7230 ēku dežurantu nakts stundu apmaksa uz CKS</t>
  </si>
  <si>
    <t>0957</t>
  </si>
  <si>
    <t>9.9.4.</t>
  </si>
  <si>
    <t>projekts Erasmus+</t>
  </si>
  <si>
    <t>0951</t>
  </si>
  <si>
    <t>9.9.5.</t>
  </si>
  <si>
    <t>9.9.6.</t>
  </si>
  <si>
    <t>Decembra rēķins izrakstīts 30.12., samaksa pārceļas uz 2024.gadu</t>
  </si>
  <si>
    <t>9.9.7.</t>
  </si>
  <si>
    <t>2) EUR 2'300 paskaidrojuma raksts siltināšanai (līgums ar CKS) no EKK 5250 uz EKK 7230.</t>
  </si>
  <si>
    <t>0981</t>
  </si>
  <si>
    <t>9.9.8.</t>
  </si>
  <si>
    <t>sākumskolas uzturēšanas izmaksas</t>
  </si>
  <si>
    <t>Atalgojums, kas pāriet uz CKS; atalgojuma korekcija, dalot likes MD</t>
  </si>
  <si>
    <t>EUR 58'159 ĀVS sākumskolas uzturēšana, ko veic CKS</t>
  </si>
  <si>
    <t>EUR 9'168 no 0981/EKK 1119 uz EKKK 7230 ēku dežurantu nakts stundu apmaksa uz CKS</t>
  </si>
  <si>
    <t>1) Saskaņā ar protokollēmumu "Par finanšu līdzekļu pārcelšanu 5. – 6. klašu skolēnu brīvpusdienu nodrošināšanai" no soc.dienesta EKK 6423 uz Ādažu sākumskolu 0981/2363  EUR 35'046.
2) EUR 110'000 no Ādažu sākumskolas uz Ādažu vidusskolu - pedagogu atalgojums, kas bija plānots pie sākumskolas, bet tarifikācijā nav nodalīts.</t>
  </si>
  <si>
    <t>9.9.9.</t>
  </si>
  <si>
    <t>sākumskolas uzturēšanas izmaksas (CKS)</t>
  </si>
  <si>
    <t>1) EUR 19'453 no CKS teritorijas kopšanas nodaļas uz CKS AVS sākumskolas uzturēšanas nodaļu.
2) EUR 58'159 ĀVS sākumskolas uzturēšana, ko veic CKS</t>
  </si>
  <si>
    <r>
      <t xml:space="preserve">1) EUR 7'954 pārcelti no teritorijas apsaimniekošanas uz PII Strautiņš EUR 4'364 un uz </t>
    </r>
    <r>
      <rPr>
        <b/>
        <sz val="11"/>
        <rFont val="Times New Roman"/>
        <family val="1"/>
        <charset val="186"/>
      </rPr>
      <t>sākumskolu EUR 3'590</t>
    </r>
    <r>
      <rPr>
        <sz val="11"/>
        <rFont val="Times New Roman"/>
        <family val="1"/>
        <charset val="186"/>
      </rPr>
      <t xml:space="preserve"> logu mazgāšanai
2) EUR 9'168 no 0981/EKK 1119 uz EKKK 7230 ēku dežurantu nakts stundu apmaksa uz CKS</t>
    </r>
  </si>
  <si>
    <t>9.9.10.</t>
  </si>
  <si>
    <t>sākumskolas ēdināšana (mērķdotācija)</t>
  </si>
  <si>
    <t>Precizēti MD apjomi, balstoties uz skolēnu skaitu un lēmumu par brīvpusdienām ne tikai 1.-4.kl. Ieņēmumos un izdevumos EUR 53'000 ĀVS</t>
  </si>
  <si>
    <t>9.9.11.</t>
  </si>
  <si>
    <t xml:space="preserve">PII </t>
  </si>
  <si>
    <t>0952.1</t>
  </si>
  <si>
    <t>9.9.11.1.</t>
  </si>
  <si>
    <t>- pedagogu algas, māc. līdzekļi (mērķdotācija)</t>
  </si>
  <si>
    <t>0952</t>
  </si>
  <si>
    <t>9.9.11.2.</t>
  </si>
  <si>
    <t>-  uzturēšana</t>
  </si>
  <si>
    <t>9.9.11.3.</t>
  </si>
  <si>
    <t>1) EUR 6'705 no CKS teritorijas kopšanas nodaļas uz CKS AVS PII uzturēšanas nodaļu.
2) EUR 6'000 ĀVS uzturēšana, ko veic CKS</t>
  </si>
  <si>
    <t>9.10.</t>
  </si>
  <si>
    <t>Ādažu novada  Mākslu skola</t>
  </si>
  <si>
    <t>9.10.1.</t>
  </si>
  <si>
    <t>pedagogu algas (mērķdotācija)</t>
  </si>
  <si>
    <t>KA, precizēta MD</t>
  </si>
  <si>
    <t>9.10.2.</t>
  </si>
  <si>
    <t>Atalgojuma pieaugums pēc MD apstiprināšanas un algu tarifikācijas</t>
  </si>
  <si>
    <t>+ EUR 4'000 atbalstīts zemsv. aktivit. - (EUR 11'000 sienu un durvju aiļu izbūve ar durvju uzst. Garā 20 (pie CKS), EUR 4'000 mēbeļu un aprīkojuma iegāde</t>
  </si>
  <si>
    <t>9.11.</t>
  </si>
  <si>
    <t>Sporta skola</t>
  </si>
  <si>
    <t>Precizēta MD un pašvaldības finansējums atalgojumam</t>
  </si>
  <si>
    <t>09651</t>
  </si>
  <si>
    <t>9.11.1.</t>
  </si>
  <si>
    <t>0965</t>
  </si>
  <si>
    <t>9.11.2.</t>
  </si>
  <si>
    <t>Pašvaldības finansējums</t>
  </si>
  <si>
    <t>0930</t>
  </si>
  <si>
    <t>9.12.</t>
  </si>
  <si>
    <t>Izglītības un jaunatnes nodaļa</t>
  </si>
  <si>
    <t>9.13.</t>
  </si>
  <si>
    <t>Līdzfinansējums skolēnu dalībai konkursos</t>
  </si>
  <si>
    <t>0931</t>
  </si>
  <si>
    <t>9.14.</t>
  </si>
  <si>
    <t xml:space="preserve">ESF projekts Atbalsts priekšlaicīgas mācību pārtraukšanas samazināšanai © </t>
  </si>
  <si>
    <t>0932</t>
  </si>
  <si>
    <t>9.15.</t>
  </si>
  <si>
    <t>ESF projekts Karjeras atbalsts vispārējās un profesionālās izglītības iestādēs ©</t>
  </si>
  <si>
    <t>0933</t>
  </si>
  <si>
    <t>9.16.</t>
  </si>
  <si>
    <t>Valsts finansējums projektu konkursā "Atbalsts jaunatnes politikas īstenošanai vietējā līmenī"  projekts "Mobilais darbs ar jaunatni Ādažu novadā"</t>
  </si>
  <si>
    <t>0903</t>
  </si>
  <si>
    <t>9.17.</t>
  </si>
  <si>
    <t>Jaunas pirmsskolas izglītības iestādes Podniekos būvniecība</t>
  </si>
  <si>
    <t>9.18.</t>
  </si>
  <si>
    <t>0956</t>
  </si>
  <si>
    <t>9.18.1.</t>
  </si>
  <si>
    <t>Ādaži</t>
  </si>
  <si>
    <t>09824</t>
  </si>
  <si>
    <t>9.18.2.</t>
  </si>
  <si>
    <t>Carnikava</t>
  </si>
  <si>
    <t>10</t>
  </si>
  <si>
    <t>Ieguldījumi uzņēmumu pamatkapitālā</t>
  </si>
  <si>
    <t>SIA "Ādažu ūdens"</t>
  </si>
  <si>
    <t>SIA "Garkalnes ūdens"</t>
  </si>
  <si>
    <t>KOPĀ IZDEVUMI:</t>
  </si>
  <si>
    <t>Kredītu pamatsummas atmaksa</t>
  </si>
  <si>
    <t>EUR 37'335 Atskaitīts LAD finansējums Salas dambim (jāatgriež kredīts)
EUR 133'640 Atskaitīts LAD finansējums Lilastes stāvlaukumam (jāatgriež kredīts) + 67, lai nosegtu 2024. visu pamatsummu</t>
  </si>
  <si>
    <t>PAVISAM KOPĀ IZDEVUMI:</t>
  </si>
  <si>
    <t>-</t>
  </si>
  <si>
    <t>Naudas līdzekļu atlikums uz gada beigām</t>
  </si>
  <si>
    <t>28.11.2024. grozījumi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</si>
</sst>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_-;\-* #,##0.000_-;_-* &quot;-&quot;??_-;_-@_-"/>
    <numFmt numFmtId="167" formatCode="0.0%"/>
  </numFmts>
  <fonts count="47" x14ac:knownFonts="1">
    <font>
      <sz val="11"/>
      <color indexed="8"/>
      <name val="Calibri"/>
      <family val="2"/>
      <charset val="186"/>
    </font>
    <font>
      <sz val="11"/>
      <color theme="1"/>
      <name val="Calibri"/>
      <family val="2"/>
      <charset val="186"/>
      <scheme val="minor"/>
    </font>
    <font>
      <sz val="11"/>
      <color rgb="FFFF0000"/>
      <name val="Calibri"/>
      <family val="2"/>
      <charset val="186"/>
      <scheme val="minor"/>
    </font>
    <font>
      <sz val="11"/>
      <color indexed="8"/>
      <name val="Calibri"/>
      <family val="2"/>
      <charset val="186"/>
    </font>
    <font>
      <sz val="11"/>
      <color indexed="8"/>
      <name val="Calibri"/>
      <family val="2"/>
      <charset val="186"/>
      <scheme val="minor"/>
    </font>
    <font>
      <b/>
      <sz val="14"/>
      <color theme="1"/>
      <name val="Calibri"/>
      <family val="2"/>
      <charset val="186"/>
      <scheme val="minor"/>
    </font>
    <font>
      <sz val="11"/>
      <name val="Calibri"/>
      <family val="2"/>
      <charset val="186"/>
      <scheme val="minor"/>
    </font>
    <font>
      <b/>
      <sz val="11"/>
      <color rgb="FFFF0000"/>
      <name val="Calibri"/>
      <family val="2"/>
      <charset val="186"/>
      <scheme val="minor"/>
    </font>
    <font>
      <sz val="10"/>
      <name val="Arial"/>
      <family val="2"/>
      <charset val="186"/>
    </font>
    <font>
      <b/>
      <sz val="12"/>
      <name val="Calibri"/>
      <family val="2"/>
      <charset val="186"/>
      <scheme val="minor"/>
    </font>
    <font>
      <b/>
      <sz val="10"/>
      <name val="Calibri"/>
      <family val="2"/>
      <charset val="186"/>
      <scheme val="minor"/>
    </font>
    <font>
      <b/>
      <sz val="11"/>
      <name val="Calibri"/>
      <family val="2"/>
      <charset val="186"/>
      <scheme val="minor"/>
    </font>
    <font>
      <b/>
      <sz val="11"/>
      <color indexed="8"/>
      <name val="Calibri"/>
      <family val="2"/>
      <charset val="186"/>
      <scheme val="minor"/>
    </font>
    <font>
      <b/>
      <sz val="10"/>
      <color indexed="8"/>
      <name val="Calibri"/>
      <family val="2"/>
      <charset val="186"/>
      <scheme val="minor"/>
    </font>
    <font>
      <sz val="10"/>
      <name val="Calibri"/>
      <family val="2"/>
      <charset val="186"/>
      <scheme val="minor"/>
    </font>
    <font>
      <sz val="10"/>
      <color indexed="8"/>
      <name val="Calibri"/>
      <family val="2"/>
      <charset val="186"/>
      <scheme val="minor"/>
    </font>
    <font>
      <b/>
      <sz val="11"/>
      <color theme="4"/>
      <name val="Calibri"/>
      <family val="2"/>
      <charset val="186"/>
      <scheme val="minor"/>
    </font>
    <font>
      <b/>
      <sz val="10"/>
      <color theme="4"/>
      <name val="Calibri"/>
      <family val="2"/>
      <charset val="186"/>
      <scheme val="minor"/>
    </font>
    <font>
      <sz val="10"/>
      <color theme="4"/>
      <name val="Calibri"/>
      <family val="2"/>
      <charset val="186"/>
      <scheme val="minor"/>
    </font>
    <font>
      <sz val="11"/>
      <color theme="4"/>
      <name val="Calibri"/>
      <family val="2"/>
      <charset val="186"/>
      <scheme val="minor"/>
    </font>
    <font>
      <sz val="9"/>
      <name val="Calibri"/>
      <family val="2"/>
      <charset val="186"/>
      <scheme val="minor"/>
    </font>
    <font>
      <sz val="10"/>
      <color rgb="FFFF0000"/>
      <name val="Calibri"/>
      <family val="2"/>
      <charset val="186"/>
      <scheme val="minor"/>
    </font>
    <font>
      <b/>
      <i/>
      <sz val="10"/>
      <color rgb="FFFF0000"/>
      <name val="Calibri"/>
      <family val="2"/>
      <charset val="186"/>
      <scheme val="minor"/>
    </font>
    <font>
      <b/>
      <sz val="9"/>
      <color indexed="81"/>
      <name val="Tahoma"/>
      <family val="2"/>
      <charset val="186"/>
    </font>
    <font>
      <sz val="9"/>
      <color indexed="81"/>
      <name val="Tahoma"/>
      <family val="2"/>
      <charset val="186"/>
    </font>
    <font>
      <sz val="11"/>
      <name val="Times New Roman"/>
      <family val="1"/>
      <charset val="186"/>
    </font>
    <font>
      <b/>
      <sz val="20"/>
      <color indexed="8"/>
      <name val="Times New Roman"/>
      <family val="1"/>
      <charset val="186"/>
    </font>
    <font>
      <b/>
      <sz val="20"/>
      <name val="Times New Roman"/>
      <family val="1"/>
      <charset val="186"/>
    </font>
    <font>
      <sz val="11"/>
      <color rgb="FFFF0000"/>
      <name val="Times New Roman"/>
      <family val="1"/>
      <charset val="186"/>
    </font>
    <font>
      <sz val="9"/>
      <color theme="1"/>
      <name val="Arial"/>
      <family val="2"/>
      <charset val="186"/>
    </font>
    <font>
      <b/>
      <sz val="16"/>
      <color theme="1"/>
      <name val="Times New Roman"/>
      <family val="1"/>
      <charset val="186"/>
    </font>
    <font>
      <b/>
      <sz val="11"/>
      <name val="Times New Roman"/>
      <family val="1"/>
      <charset val="186"/>
    </font>
    <font>
      <b/>
      <sz val="11"/>
      <color rgb="FFFF0000"/>
      <name val="Times New Roman"/>
      <family val="1"/>
      <charset val="186"/>
    </font>
    <font>
      <u/>
      <sz val="9"/>
      <color theme="10"/>
      <name val="Arial"/>
      <family val="2"/>
      <charset val="186"/>
    </font>
    <font>
      <sz val="11"/>
      <color indexed="8"/>
      <name val="Times New Roman"/>
      <family val="1"/>
      <charset val="186"/>
    </font>
    <font>
      <sz val="10"/>
      <name val="Times New Roman"/>
      <family val="1"/>
      <charset val="186"/>
    </font>
    <font>
      <sz val="10"/>
      <color rgb="FFFF0000"/>
      <name val="Times New Roman"/>
      <family val="1"/>
      <charset val="186"/>
    </font>
    <font>
      <b/>
      <u/>
      <sz val="11"/>
      <name val="Times New Roman"/>
      <family val="1"/>
      <charset val="186"/>
    </font>
    <font>
      <sz val="11"/>
      <color theme="3"/>
      <name val="Times New Roman"/>
      <family val="1"/>
      <charset val="186"/>
    </font>
    <font>
      <b/>
      <sz val="11"/>
      <color theme="3"/>
      <name val="Times New Roman"/>
      <family val="1"/>
      <charset val="186"/>
    </font>
    <font>
      <sz val="11"/>
      <color indexed="10"/>
      <name val="Times New Roman"/>
      <family val="1"/>
      <charset val="186"/>
    </font>
    <font>
      <u/>
      <sz val="11"/>
      <name val="Times New Roman"/>
      <family val="1"/>
      <charset val="186"/>
    </font>
    <font>
      <i/>
      <sz val="11"/>
      <name val="Times New Roman"/>
      <family val="1"/>
      <charset val="186"/>
    </font>
    <font>
      <i/>
      <sz val="11"/>
      <color rgb="FFFF0000"/>
      <name val="Times New Roman"/>
      <family val="1"/>
      <charset val="186"/>
    </font>
    <font>
      <b/>
      <i/>
      <u/>
      <sz val="11"/>
      <name val="Times New Roman"/>
      <family val="1"/>
      <charset val="186"/>
    </font>
    <font>
      <i/>
      <sz val="11"/>
      <color indexed="8"/>
      <name val="Times New Roman"/>
      <family val="1"/>
      <charset val="186"/>
    </font>
    <font>
      <b/>
      <sz val="11"/>
      <name val="Times New Roman"/>
      <family val="1"/>
    </font>
  </fonts>
  <fills count="22">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theme="4" tint="0.79998168889431442"/>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5">
    <xf numFmtId="0" fontId="0" fillId="0" borderId="0"/>
    <xf numFmtId="43" fontId="8" fillId="0" borderId="0" applyFill="0" applyBorder="0" applyAlignment="0" applyProtection="0"/>
    <xf numFmtId="9" fontId="3" fillId="0" borderId="0" applyFont="0" applyFill="0" applyBorder="0" applyAlignment="0" applyProtection="0"/>
    <xf numFmtId="0" fontId="1" fillId="0" borderId="0"/>
    <xf numFmtId="0" fontId="8" fillId="0" borderId="0"/>
    <xf numFmtId="0" fontId="1" fillId="0" borderId="0"/>
    <xf numFmtId="0" fontId="1" fillId="0" borderId="0"/>
    <xf numFmtId="43" fontId="29"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43" fontId="3" fillId="0" borderId="0" applyFont="0" applyFill="0" applyBorder="0" applyAlignment="0" applyProtection="0"/>
    <xf numFmtId="0" fontId="33" fillId="0" borderId="0" applyNumberFormat="0" applyFill="0" applyBorder="0" applyAlignment="0" applyProtection="0"/>
    <xf numFmtId="0" fontId="8" fillId="0" borderId="0"/>
    <xf numFmtId="9" fontId="3" fillId="0" borderId="0" applyFont="0" applyFill="0" applyBorder="0" applyAlignment="0" applyProtection="0"/>
    <xf numFmtId="0" fontId="29" fillId="0" borderId="0"/>
  </cellStyleXfs>
  <cellXfs count="363">
    <xf numFmtId="0" fontId="0" fillId="0" borderId="0" xfId="0"/>
    <xf numFmtId="0" fontId="4" fillId="0" borderId="0" xfId="0" applyFont="1"/>
    <xf numFmtId="0" fontId="5" fillId="0" borderId="0" xfId="3" applyFont="1"/>
    <xf numFmtId="0" fontId="6" fillId="0" borderId="0" xfId="0" applyFont="1"/>
    <xf numFmtId="0" fontId="7" fillId="0" borderId="0" xfId="0" applyFont="1" applyAlignment="1">
      <alignment horizontal="center"/>
    </xf>
    <xf numFmtId="0" fontId="2" fillId="0" borderId="0" xfId="0" applyFont="1"/>
    <xf numFmtId="164" fontId="4" fillId="0" borderId="0" xfId="0" applyNumberFormat="1" applyFont="1"/>
    <xf numFmtId="0" fontId="9" fillId="0" borderId="0" xfId="4" applyFont="1"/>
    <xf numFmtId="164" fontId="7" fillId="0" borderId="0" xfId="0" applyNumberFormat="1" applyFont="1" applyAlignment="1">
      <alignment horizontal="center"/>
    </xf>
    <xf numFmtId="0" fontId="4" fillId="0" borderId="0" xfId="0" applyFont="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0" fontId="11" fillId="3" borderId="1" xfId="0" applyFont="1" applyFill="1" applyBorder="1" applyAlignment="1">
      <alignment horizontal="center" vertical="center" wrapText="1"/>
    </xf>
    <xf numFmtId="0" fontId="12" fillId="0" borderId="0" xfId="0" applyFont="1"/>
    <xf numFmtId="0" fontId="13" fillId="0" borderId="4" xfId="0" applyFont="1" applyBorder="1"/>
    <xf numFmtId="0" fontId="13" fillId="0" borderId="3" xfId="0" applyFont="1" applyBorder="1"/>
    <xf numFmtId="0" fontId="14" fillId="0" borderId="3" xfId="0" applyFont="1" applyBorder="1"/>
    <xf numFmtId="0" fontId="15" fillId="0" borderId="3" xfId="0" applyFont="1" applyBorder="1"/>
    <xf numFmtId="165" fontId="10" fillId="0" borderId="3" xfId="1" applyNumberFormat="1" applyFont="1" applyBorder="1"/>
    <xf numFmtId="164" fontId="10" fillId="0" borderId="5" xfId="1" applyNumberFormat="1" applyFont="1" applyBorder="1"/>
    <xf numFmtId="164" fontId="10" fillId="0" borderId="4" xfId="1" applyNumberFormat="1" applyFont="1" applyBorder="1"/>
    <xf numFmtId="164" fontId="10" fillId="4" borderId="5" xfId="1" applyNumberFormat="1" applyFont="1" applyFill="1" applyBorder="1"/>
    <xf numFmtId="164" fontId="12" fillId="0" borderId="0" xfId="0" applyNumberFormat="1" applyFont="1"/>
    <xf numFmtId="0" fontId="15" fillId="0" borderId="7" xfId="0" applyFont="1" applyBorder="1"/>
    <xf numFmtId="0" fontId="13" fillId="0" borderId="6" xfId="0" applyFont="1" applyBorder="1"/>
    <xf numFmtId="0" fontId="14" fillId="0" borderId="6" xfId="0" applyFont="1" applyBorder="1"/>
    <xf numFmtId="0" fontId="15" fillId="0" borderId="6" xfId="0" applyFont="1" applyBorder="1"/>
    <xf numFmtId="165" fontId="14" fillId="0" borderId="6" xfId="1" applyNumberFormat="1" applyFont="1" applyBorder="1"/>
    <xf numFmtId="164" fontId="14" fillId="0" borderId="8" xfId="1" applyNumberFormat="1" applyFont="1" applyBorder="1"/>
    <xf numFmtId="164" fontId="14" fillId="0" borderId="7" xfId="1" applyNumberFormat="1" applyFont="1" applyBorder="1"/>
    <xf numFmtId="164" fontId="14" fillId="4" borderId="8" xfId="1" applyNumberFormat="1" applyFont="1" applyFill="1" applyBorder="1"/>
    <xf numFmtId="0" fontId="13" fillId="0" borderId="9" xfId="0" applyFont="1" applyBorder="1"/>
    <xf numFmtId="0" fontId="13" fillId="0" borderId="0" xfId="0" applyFont="1"/>
    <xf numFmtId="0" fontId="14" fillId="0" borderId="0" xfId="0" applyFont="1"/>
    <xf numFmtId="0" fontId="15" fillId="0" borderId="0" xfId="0" applyFont="1"/>
    <xf numFmtId="164" fontId="14" fillId="0" borderId="10" xfId="1" applyNumberFormat="1" applyFont="1" applyBorder="1"/>
    <xf numFmtId="0" fontId="15" fillId="0" borderId="9" xfId="0" applyFont="1" applyBorder="1"/>
    <xf numFmtId="0" fontId="10" fillId="0" borderId="4" xfId="0" applyFont="1" applyBorder="1"/>
    <xf numFmtId="0" fontId="10" fillId="0" borderId="3" xfId="0" applyFont="1" applyBorder="1"/>
    <xf numFmtId="14" fontId="14" fillId="0" borderId="3" xfId="0" applyNumberFormat="1" applyFont="1" applyBorder="1"/>
    <xf numFmtId="0" fontId="11" fillId="0" borderId="0" xfId="0" applyFont="1"/>
    <xf numFmtId="164" fontId="11" fillId="0" borderId="0" xfId="0" applyNumberFormat="1" applyFont="1"/>
    <xf numFmtId="0" fontId="14" fillId="0" borderId="7" xfId="0" applyFont="1" applyBorder="1"/>
    <xf numFmtId="0" fontId="10" fillId="0" borderId="6" xfId="0" applyFont="1" applyBorder="1"/>
    <xf numFmtId="0" fontId="10" fillId="0" borderId="7" xfId="0" applyFont="1" applyBorder="1"/>
    <xf numFmtId="0" fontId="17" fillId="0" borderId="4" xfId="0" applyFont="1" applyBorder="1"/>
    <xf numFmtId="0" fontId="17" fillId="0" borderId="3" xfId="0" applyFont="1" applyBorder="1"/>
    <xf numFmtId="0" fontId="18" fillId="0" borderId="3" xfId="0" applyFont="1" applyBorder="1"/>
    <xf numFmtId="165" fontId="17" fillId="0" borderId="3" xfId="1" applyNumberFormat="1" applyFont="1" applyBorder="1"/>
    <xf numFmtId="164" fontId="17" fillId="0" borderId="5" xfId="1" applyNumberFormat="1" applyFont="1" applyBorder="1"/>
    <xf numFmtId="164" fontId="17" fillId="4" borderId="5" xfId="1" applyNumberFormat="1" applyFont="1" applyFill="1" applyBorder="1"/>
    <xf numFmtId="164" fontId="17" fillId="0" borderId="4" xfId="1" applyNumberFormat="1" applyFont="1" applyBorder="1"/>
    <xf numFmtId="0" fontId="19" fillId="0" borderId="0" xfId="0" applyFont="1"/>
    <xf numFmtId="0" fontId="16" fillId="0" borderId="0" xfId="0" applyFont="1"/>
    <xf numFmtId="164" fontId="16" fillId="0" borderId="0" xfId="0" applyNumberFormat="1" applyFont="1"/>
    <xf numFmtId="0" fontId="17" fillId="0" borderId="7" xfId="0" applyFont="1" applyBorder="1"/>
    <xf numFmtId="0" fontId="17" fillId="0" borderId="6" xfId="0" applyFont="1" applyBorder="1"/>
    <xf numFmtId="0" fontId="18" fillId="0" borderId="6" xfId="0" applyFont="1" applyBorder="1"/>
    <xf numFmtId="165" fontId="18" fillId="0" borderId="6" xfId="1" applyNumberFormat="1" applyFont="1" applyBorder="1"/>
    <xf numFmtId="164" fontId="18" fillId="0" borderId="8" xfId="1" applyNumberFormat="1" applyFont="1" applyBorder="1"/>
    <xf numFmtId="164" fontId="18" fillId="4" borderId="8" xfId="1" applyNumberFormat="1" applyFont="1" applyFill="1" applyBorder="1"/>
    <xf numFmtId="164" fontId="18" fillId="0" borderId="7" xfId="1" applyNumberFormat="1" applyFont="1" applyBorder="1"/>
    <xf numFmtId="165" fontId="17" fillId="0" borderId="3" xfId="1" applyNumberFormat="1" applyFont="1" applyFill="1" applyBorder="1"/>
    <xf numFmtId="164" fontId="17" fillId="0" borderId="5" xfId="1" applyNumberFormat="1" applyFont="1" applyFill="1" applyBorder="1"/>
    <xf numFmtId="164" fontId="17" fillId="0" borderId="4" xfId="1" applyNumberFormat="1" applyFont="1" applyFill="1" applyBorder="1"/>
    <xf numFmtId="165" fontId="18" fillId="0" borderId="6" xfId="1" applyNumberFormat="1" applyFont="1" applyFill="1" applyBorder="1"/>
    <xf numFmtId="164" fontId="18" fillId="0" borderId="8" xfId="1" applyNumberFormat="1" applyFont="1" applyFill="1" applyBorder="1"/>
    <xf numFmtId="164" fontId="18" fillId="0" borderId="7" xfId="1" applyNumberFormat="1" applyFont="1" applyFill="1" applyBorder="1"/>
    <xf numFmtId="164" fontId="14" fillId="0" borderId="0" xfId="1" applyNumberFormat="1" applyFont="1" applyFill="1" applyBorder="1"/>
    <xf numFmtId="165" fontId="20" fillId="0" borderId="0" xfId="1" applyNumberFormat="1" applyFont="1" applyFill="1" applyBorder="1"/>
    <xf numFmtId="164" fontId="8" fillId="0" borderId="0" xfId="1" applyNumberFormat="1"/>
    <xf numFmtId="165" fontId="10" fillId="0" borderId="0" xfId="1" applyNumberFormat="1" applyFont="1" applyFill="1" applyBorder="1" applyAlignment="1">
      <alignment horizontal="right"/>
    </xf>
    <xf numFmtId="164" fontId="10" fillId="7" borderId="5" xfId="1" applyNumberFormat="1" applyFont="1" applyFill="1" applyBorder="1"/>
    <xf numFmtId="165" fontId="14" fillId="0" borderId="0" xfId="1" applyNumberFormat="1" applyFont="1" applyFill="1" applyBorder="1" applyAlignment="1">
      <alignment horizontal="right"/>
    </xf>
    <xf numFmtId="164" fontId="14" fillId="7" borderId="8" xfId="1" applyNumberFormat="1" applyFont="1" applyFill="1" applyBorder="1"/>
    <xf numFmtId="164" fontId="11" fillId="7" borderId="8" xfId="0" applyNumberFormat="1" applyFont="1" applyFill="1" applyBorder="1"/>
    <xf numFmtId="164" fontId="2" fillId="0" borderId="0" xfId="0" applyNumberFormat="1" applyFont="1"/>
    <xf numFmtId="14" fontId="15" fillId="0" borderId="3" xfId="0" applyNumberFormat="1" applyFont="1" applyBorder="1"/>
    <xf numFmtId="14" fontId="18" fillId="0" borderId="3" xfId="0" applyNumberFormat="1" applyFont="1" applyBorder="1"/>
    <xf numFmtId="0" fontId="10" fillId="0" borderId="0" xfId="0" applyFont="1"/>
    <xf numFmtId="0" fontId="10" fillId="0" borderId="0" xfId="0" applyFont="1" applyAlignment="1">
      <alignment horizontal="right"/>
    </xf>
    <xf numFmtId="164" fontId="10" fillId="7" borderId="8" xfId="0" applyNumberFormat="1" applyFont="1" applyFill="1" applyBorder="1"/>
    <xf numFmtId="164" fontId="10" fillId="7" borderId="2" xfId="0" applyNumberFormat="1" applyFont="1" applyFill="1" applyBorder="1"/>
    <xf numFmtId="0" fontId="6" fillId="0" borderId="0" xfId="4" applyFont="1" applyAlignment="1">
      <alignment horizontal="right"/>
    </xf>
    <xf numFmtId="164" fontId="6" fillId="0" borderId="10" xfId="0" applyNumberFormat="1" applyFont="1" applyBorder="1"/>
    <xf numFmtId="164" fontId="10" fillId="4" borderId="10" xfId="1" applyNumberFormat="1" applyFont="1" applyFill="1" applyBorder="1"/>
    <xf numFmtId="0" fontId="11" fillId="0" borderId="0" xfId="0" applyFont="1" applyAlignment="1">
      <alignment horizontal="right"/>
    </xf>
    <xf numFmtId="164" fontId="11" fillId="7" borderId="2" xfId="0" applyNumberFormat="1" applyFont="1" applyFill="1" applyBorder="1"/>
    <xf numFmtId="167" fontId="11" fillId="9" borderId="2" xfId="2" applyNumberFormat="1" applyFont="1" applyFill="1" applyBorder="1"/>
    <xf numFmtId="167" fontId="11" fillId="0" borderId="0" xfId="2" applyNumberFormat="1" applyFont="1" applyFill="1"/>
    <xf numFmtId="164" fontId="22" fillId="0" borderId="0" xfId="1" applyNumberFormat="1" applyFont="1"/>
    <xf numFmtId="167" fontId="2" fillId="0" borderId="0" xfId="2" applyNumberFormat="1" applyFont="1"/>
    <xf numFmtId="9" fontId="4" fillId="0" borderId="0" xfId="0" applyNumberFormat="1" applyFont="1"/>
    <xf numFmtId="164" fontId="21" fillId="0" borderId="0" xfId="1" applyNumberFormat="1" applyFont="1"/>
    <xf numFmtId="0" fontId="25" fillId="0" borderId="0" xfId="5" applyFont="1"/>
    <xf numFmtId="0" fontId="26" fillId="0" borderId="0" xfId="6" applyFont="1"/>
    <xf numFmtId="0" fontId="27" fillId="0" borderId="0" xfId="6" applyFont="1"/>
    <xf numFmtId="0" fontId="25" fillId="0" borderId="0" xfId="5" applyFont="1" applyAlignment="1">
      <alignment wrapText="1"/>
    </xf>
    <xf numFmtId="164" fontId="28" fillId="0" borderId="0" xfId="7" applyNumberFormat="1" applyFont="1" applyAlignment="1">
      <alignment wrapText="1"/>
    </xf>
    <xf numFmtId="9" fontId="25" fillId="0" borderId="0" xfId="8" applyFont="1" applyAlignment="1">
      <alignment wrapText="1"/>
    </xf>
    <xf numFmtId="0" fontId="26" fillId="0" borderId="0" xfId="6" applyFont="1"/>
    <xf numFmtId="3" fontId="25" fillId="0" borderId="0" xfId="5" applyNumberFormat="1" applyFont="1"/>
    <xf numFmtId="164" fontId="28" fillId="0" borderId="0" xfId="7" applyNumberFormat="1" applyFont="1"/>
    <xf numFmtId="164" fontId="25" fillId="0" borderId="0" xfId="7" applyNumberFormat="1" applyFont="1"/>
    <xf numFmtId="1" fontId="25" fillId="0" borderId="0" xfId="8" applyNumberFormat="1" applyFont="1" applyFill="1"/>
    <xf numFmtId="0" fontId="30" fillId="0" borderId="0" xfId="6" applyFont="1"/>
    <xf numFmtId="164" fontId="31" fillId="0" borderId="0" xfId="10" applyNumberFormat="1" applyFont="1"/>
    <xf numFmtId="164" fontId="32" fillId="0" borderId="0" xfId="7" applyNumberFormat="1" applyFont="1"/>
    <xf numFmtId="164" fontId="31" fillId="0" borderId="0" xfId="7" applyNumberFormat="1" applyFont="1"/>
    <xf numFmtId="9" fontId="28" fillId="0" borderId="0" xfId="8" applyFont="1"/>
    <xf numFmtId="9" fontId="25" fillId="0" borderId="0" xfId="8" applyFont="1"/>
    <xf numFmtId="0" fontId="33" fillId="0" borderId="0" xfId="11"/>
    <xf numFmtId="0" fontId="31" fillId="0" borderId="11" xfId="5" applyFont="1" applyBorder="1" applyAlignment="1">
      <alignment horizontal="center" vertical="center"/>
    </xf>
    <xf numFmtId="0" fontId="31" fillId="0" borderId="12" xfId="5" applyFont="1" applyBorder="1" applyAlignment="1">
      <alignment horizontal="center" vertical="center" wrapText="1"/>
    </xf>
    <xf numFmtId="0" fontId="31" fillId="0" borderId="13" xfId="12" applyFont="1" applyBorder="1" applyAlignment="1">
      <alignment horizontal="center" vertical="center" wrapText="1"/>
    </xf>
    <xf numFmtId="164" fontId="31" fillId="0" borderId="13" xfId="7" applyNumberFormat="1" applyFont="1" applyBorder="1" applyAlignment="1">
      <alignment horizontal="center" vertical="center" wrapText="1"/>
    </xf>
    <xf numFmtId="9" fontId="32" fillId="0" borderId="13" xfId="8" applyFont="1" applyBorder="1" applyAlignment="1">
      <alignment horizontal="center" vertical="center" wrapText="1"/>
    </xf>
    <xf numFmtId="9" fontId="31" fillId="0" borderId="13" xfId="8" applyFont="1" applyBorder="1" applyAlignment="1">
      <alignment horizontal="center" vertical="center" wrapText="1"/>
    </xf>
    <xf numFmtId="0" fontId="31" fillId="10" borderId="14" xfId="5" applyFont="1" applyFill="1" applyBorder="1"/>
    <xf numFmtId="0" fontId="31" fillId="10" borderId="8" xfId="5" applyFont="1" applyFill="1" applyBorder="1" applyAlignment="1">
      <alignment wrapText="1"/>
    </xf>
    <xf numFmtId="164" fontId="31" fillId="10" borderId="15" xfId="7" applyNumberFormat="1" applyFont="1" applyFill="1" applyBorder="1"/>
    <xf numFmtId="3" fontId="31" fillId="10" borderId="15" xfId="5" applyNumberFormat="1" applyFont="1" applyFill="1" applyBorder="1"/>
    <xf numFmtId="9" fontId="28" fillId="10" borderId="15" xfId="8" applyFont="1" applyFill="1" applyBorder="1" applyAlignment="1">
      <alignment wrapText="1"/>
    </xf>
    <xf numFmtId="9" fontId="25" fillId="10" borderId="15" xfId="8" applyFont="1" applyFill="1" applyBorder="1" applyAlignment="1">
      <alignment wrapText="1"/>
    </xf>
    <xf numFmtId="0" fontId="31" fillId="11" borderId="14" xfId="5" quotePrefix="1" applyFont="1" applyFill="1" applyBorder="1"/>
    <xf numFmtId="0" fontId="31" fillId="11" borderId="8" xfId="5" applyFont="1" applyFill="1" applyBorder="1" applyAlignment="1">
      <alignment wrapText="1"/>
    </xf>
    <xf numFmtId="3" fontId="31" fillId="11" borderId="15" xfId="5" applyNumberFormat="1" applyFont="1" applyFill="1" applyBorder="1"/>
    <xf numFmtId="164" fontId="31" fillId="11" borderId="15" xfId="7" applyNumberFormat="1" applyFont="1" applyFill="1" applyBorder="1"/>
    <xf numFmtId="9" fontId="32" fillId="11" borderId="15" xfId="8" applyFont="1" applyFill="1" applyBorder="1"/>
    <xf numFmtId="9" fontId="31" fillId="11" borderId="15" xfId="8" applyFont="1" applyFill="1" applyBorder="1"/>
    <xf numFmtId="0" fontId="34" fillId="0" borderId="0" xfId="5" applyFont="1"/>
    <xf numFmtId="0" fontId="25" fillId="0" borderId="16" xfId="5" applyFont="1" applyBorder="1" applyAlignment="1">
      <alignment horizontal="left" indent="1"/>
    </xf>
    <xf numFmtId="0" fontId="25" fillId="0" borderId="2" xfId="5" applyFont="1" applyBorder="1" applyAlignment="1">
      <alignment horizontal="left" wrapText="1" indent="2"/>
    </xf>
    <xf numFmtId="3" fontId="25" fillId="0" borderId="17" xfId="5" applyNumberFormat="1" applyFont="1" applyBorder="1"/>
    <xf numFmtId="164" fontId="25" fillId="0" borderId="17" xfId="7" applyNumberFormat="1" applyFont="1" applyBorder="1"/>
    <xf numFmtId="9" fontId="28" fillId="0" borderId="17" xfId="8" applyFont="1" applyFill="1" applyBorder="1"/>
    <xf numFmtId="9" fontId="25" fillId="0" borderId="17" xfId="8" applyFont="1" applyFill="1" applyBorder="1"/>
    <xf numFmtId="9" fontId="25" fillId="0" borderId="17" xfId="8" applyFont="1" applyFill="1" applyBorder="1" applyAlignment="1">
      <alignment wrapText="1"/>
    </xf>
    <xf numFmtId="0" fontId="31" fillId="11" borderId="16" xfId="5" applyFont="1" applyFill="1" applyBorder="1"/>
    <xf numFmtId="0" fontId="31" fillId="11" borderId="2" xfId="5" applyFont="1" applyFill="1" applyBorder="1" applyAlignment="1">
      <alignment wrapText="1"/>
    </xf>
    <xf numFmtId="3" fontId="31" fillId="11" borderId="17" xfId="5" applyNumberFormat="1" applyFont="1" applyFill="1" applyBorder="1"/>
    <xf numFmtId="164" fontId="31" fillId="11" borderId="17" xfId="7" applyNumberFormat="1" applyFont="1" applyFill="1" applyBorder="1"/>
    <xf numFmtId="9" fontId="32" fillId="11" borderId="17" xfId="8" applyFont="1" applyFill="1" applyBorder="1"/>
    <xf numFmtId="9" fontId="31" fillId="11" borderId="17" xfId="8" applyFont="1" applyFill="1" applyBorder="1"/>
    <xf numFmtId="3" fontId="32" fillId="11" borderId="17" xfId="5" applyNumberFormat="1" applyFont="1" applyFill="1" applyBorder="1"/>
    <xf numFmtId="9" fontId="28" fillId="0" borderId="17" xfId="8" applyFont="1" applyBorder="1"/>
    <xf numFmtId="9" fontId="25" fillId="0" borderId="17" xfId="8" applyFont="1" applyBorder="1"/>
    <xf numFmtId="3" fontId="28" fillId="0" borderId="17" xfId="5" applyNumberFormat="1" applyFont="1" applyBorder="1"/>
    <xf numFmtId="9" fontId="28" fillId="0" borderId="18" xfId="8" applyFont="1" applyFill="1" applyBorder="1"/>
    <xf numFmtId="9" fontId="25" fillId="0" borderId="18" xfId="8" applyFont="1" applyFill="1" applyBorder="1"/>
    <xf numFmtId="0" fontId="1" fillId="0" borderId="0" xfId="5"/>
    <xf numFmtId="9" fontId="28" fillId="0" borderId="18" xfId="8" applyFont="1" applyFill="1" applyBorder="1" applyAlignment="1">
      <alignment wrapText="1"/>
    </xf>
    <xf numFmtId="9" fontId="25" fillId="0" borderId="18" xfId="8" applyFont="1" applyFill="1" applyBorder="1" applyAlignment="1">
      <alignment wrapText="1"/>
    </xf>
    <xf numFmtId="0" fontId="35" fillId="0" borderId="16" xfId="5" applyFont="1" applyBorder="1" applyAlignment="1">
      <alignment horizontal="left" indent="2"/>
    </xf>
    <xf numFmtId="0" fontId="35" fillId="0" borderId="2" xfId="5" applyFont="1" applyBorder="1" applyAlignment="1">
      <alignment horizontal="left" wrapText="1" indent="3"/>
    </xf>
    <xf numFmtId="0" fontId="34" fillId="0" borderId="0" xfId="5" quotePrefix="1" applyFont="1"/>
    <xf numFmtId="9" fontId="25" fillId="0" borderId="17" xfId="8" applyFont="1" applyBorder="1" applyAlignment="1">
      <alignment wrapText="1"/>
    </xf>
    <xf numFmtId="9" fontId="28" fillId="11" borderId="17" xfId="8" applyFont="1" applyFill="1" applyBorder="1" applyAlignment="1">
      <alignment wrapText="1"/>
    </xf>
    <xf numFmtId="9" fontId="25" fillId="11" borderId="17" xfId="8" applyFont="1" applyFill="1" applyBorder="1" applyAlignment="1">
      <alignment wrapText="1"/>
    </xf>
    <xf numFmtId="0" fontId="25" fillId="12" borderId="2" xfId="5" applyFont="1" applyFill="1" applyBorder="1" applyAlignment="1">
      <alignment horizontal="left" wrapText="1" indent="2"/>
    </xf>
    <xf numFmtId="9" fontId="28" fillId="0" borderId="17" xfId="8" applyFont="1" applyFill="1" applyBorder="1" applyAlignment="1">
      <alignment wrapText="1"/>
    </xf>
    <xf numFmtId="3" fontId="25" fillId="13" borderId="17" xfId="5" applyNumberFormat="1" applyFont="1" applyFill="1" applyBorder="1"/>
    <xf numFmtId="0" fontId="31" fillId="11" borderId="16" xfId="5" quotePrefix="1" applyFont="1" applyFill="1" applyBorder="1"/>
    <xf numFmtId="0" fontId="25" fillId="10" borderId="16" xfId="5" applyFont="1" applyFill="1" applyBorder="1" applyAlignment="1">
      <alignment horizontal="left" indent="1"/>
    </xf>
    <xf numFmtId="0" fontId="25" fillId="10" borderId="2" xfId="5" applyFont="1" applyFill="1" applyBorder="1" applyAlignment="1">
      <alignment horizontal="left" wrapText="1" indent="2"/>
    </xf>
    <xf numFmtId="3" fontId="25" fillId="10" borderId="17" xfId="5" applyNumberFormat="1" applyFont="1" applyFill="1" applyBorder="1"/>
    <xf numFmtId="164" fontId="25" fillId="14" borderId="17" xfId="7" applyNumberFormat="1" applyFont="1" applyFill="1" applyBorder="1"/>
    <xf numFmtId="3" fontId="25" fillId="14" borderId="17" xfId="5" applyNumberFormat="1" applyFont="1" applyFill="1" applyBorder="1"/>
    <xf numFmtId="3" fontId="28" fillId="14" borderId="17" xfId="5" applyNumberFormat="1" applyFont="1" applyFill="1" applyBorder="1"/>
    <xf numFmtId="164" fontId="28" fillId="0" borderId="17" xfId="7" applyNumberFormat="1" applyFont="1" applyBorder="1"/>
    <xf numFmtId="3" fontId="25" fillId="2" borderId="17" xfId="5" applyNumberFormat="1" applyFont="1" applyFill="1" applyBorder="1"/>
    <xf numFmtId="164" fontId="25" fillId="2" borderId="17" xfId="7" applyNumberFormat="1" applyFont="1" applyFill="1" applyBorder="1"/>
    <xf numFmtId="3" fontId="28" fillId="2" borderId="17" xfId="5" applyNumberFormat="1" applyFont="1" applyFill="1" applyBorder="1" applyAlignment="1">
      <alignment wrapText="1"/>
    </xf>
    <xf numFmtId="3" fontId="25" fillId="2" borderId="17" xfId="5" applyNumberFormat="1" applyFont="1" applyFill="1" applyBorder="1" applyAlignment="1">
      <alignment wrapText="1"/>
    </xf>
    <xf numFmtId="3" fontId="35" fillId="15" borderId="17" xfId="5" applyNumberFormat="1" applyFont="1" applyFill="1" applyBorder="1"/>
    <xf numFmtId="164" fontId="35" fillId="15" borderId="17" xfId="7" applyNumberFormat="1" applyFont="1" applyFill="1" applyBorder="1"/>
    <xf numFmtId="9" fontId="36" fillId="15" borderId="17" xfId="8" applyFont="1" applyFill="1" applyBorder="1" applyAlignment="1">
      <alignment wrapText="1"/>
    </xf>
    <xf numFmtId="9" fontId="35" fillId="15" borderId="17" xfId="8" applyFont="1" applyFill="1" applyBorder="1" applyAlignment="1">
      <alignment wrapText="1"/>
    </xf>
    <xf numFmtId="0" fontId="35" fillId="0" borderId="0" xfId="5" applyFont="1"/>
    <xf numFmtId="9" fontId="35" fillId="16" borderId="17" xfId="8" applyFont="1" applyFill="1" applyBorder="1"/>
    <xf numFmtId="3" fontId="35" fillId="17" borderId="17" xfId="5" applyNumberFormat="1" applyFont="1" applyFill="1" applyBorder="1"/>
    <xf numFmtId="9" fontId="35" fillId="17" borderId="17" xfId="8" applyFont="1" applyFill="1" applyBorder="1"/>
    <xf numFmtId="0" fontId="25" fillId="0" borderId="0" xfId="5" quotePrefix="1" applyFont="1"/>
    <xf numFmtId="0" fontId="25" fillId="5" borderId="2" xfId="5" applyFont="1" applyFill="1" applyBorder="1" applyAlignment="1">
      <alignment horizontal="left" wrapText="1" indent="2"/>
    </xf>
    <xf numFmtId="164" fontId="25" fillId="0" borderId="17" xfId="7" applyNumberFormat="1" applyFont="1" applyFill="1" applyBorder="1"/>
    <xf numFmtId="0" fontId="25" fillId="0" borderId="2" xfId="5" applyFont="1" applyBorder="1" applyAlignment="1">
      <alignment horizontal="left" wrapText="1" indent="3"/>
    </xf>
    <xf numFmtId="9" fontId="28" fillId="18" borderId="17" xfId="8" applyFont="1" applyFill="1" applyBorder="1" applyAlignment="1">
      <alignment wrapText="1"/>
    </xf>
    <xf numFmtId="9" fontId="25" fillId="18" borderId="17" xfId="8" applyFont="1" applyFill="1" applyBorder="1" applyAlignment="1">
      <alignment wrapText="1"/>
    </xf>
    <xf numFmtId="9" fontId="25" fillId="16" borderId="17" xfId="8" applyFont="1" applyFill="1" applyBorder="1" applyAlignment="1">
      <alignment wrapText="1"/>
    </xf>
    <xf numFmtId="164" fontId="25" fillId="10" borderId="17" xfId="7" applyNumberFormat="1" applyFont="1" applyFill="1" applyBorder="1"/>
    <xf numFmtId="9" fontId="28" fillId="10" borderId="17" xfId="8" applyFont="1" applyFill="1" applyBorder="1" applyAlignment="1">
      <alignment wrapText="1"/>
    </xf>
    <xf numFmtId="9" fontId="25" fillId="10" borderId="17" xfId="8" applyFont="1" applyFill="1" applyBorder="1" applyAlignment="1">
      <alignment wrapText="1"/>
    </xf>
    <xf numFmtId="0" fontId="28" fillId="0" borderId="0" xfId="5" applyFont="1"/>
    <xf numFmtId="9" fontId="25" fillId="16" borderId="18" xfId="8" applyFont="1" applyFill="1" applyBorder="1" applyAlignment="1">
      <alignment wrapText="1"/>
    </xf>
    <xf numFmtId="9" fontId="28" fillId="0" borderId="21" xfId="8" applyFont="1" applyFill="1" applyBorder="1"/>
    <xf numFmtId="9" fontId="25" fillId="0" borderId="21" xfId="8" applyFont="1" applyFill="1" applyBorder="1"/>
    <xf numFmtId="0" fontId="1" fillId="8" borderId="0" xfId="5" applyFill="1"/>
    <xf numFmtId="9" fontId="25" fillId="0" borderId="21" xfId="8" applyFont="1" applyFill="1" applyBorder="1" applyAlignment="1">
      <alignment wrapText="1"/>
    </xf>
    <xf numFmtId="0" fontId="25" fillId="5" borderId="2" xfId="5" applyFont="1" applyFill="1" applyBorder="1" applyAlignment="1">
      <alignment horizontal="left" wrapText="1" indent="3"/>
    </xf>
    <xf numFmtId="0" fontId="25" fillId="0" borderId="8" xfId="5" applyFont="1" applyBorder="1" applyAlignment="1">
      <alignment horizontal="left" wrapText="1" indent="2"/>
    </xf>
    <xf numFmtId="0" fontId="25" fillId="12" borderId="16" xfId="5" applyFont="1" applyFill="1" applyBorder="1" applyAlignment="1">
      <alignment horizontal="left" indent="2"/>
    </xf>
    <xf numFmtId="0" fontId="25" fillId="12" borderId="2" xfId="5" applyFont="1" applyFill="1" applyBorder="1" applyAlignment="1">
      <alignment horizontal="left" wrapText="1" indent="3"/>
    </xf>
    <xf numFmtId="1" fontId="28" fillId="0" borderId="17" xfId="8" applyNumberFormat="1" applyFont="1" applyFill="1" applyBorder="1"/>
    <xf numFmtId="1" fontId="25" fillId="0" borderId="17" xfId="8" applyNumberFormat="1" applyFont="1" applyFill="1" applyBorder="1"/>
    <xf numFmtId="3" fontId="25" fillId="19" borderId="17" xfId="5" applyNumberFormat="1" applyFont="1" applyFill="1" applyBorder="1"/>
    <xf numFmtId="0" fontId="31" fillId="0" borderId="22" xfId="5" applyFont="1" applyBorder="1"/>
    <xf numFmtId="0" fontId="31" fillId="0" borderId="23" xfId="5" applyFont="1" applyBorder="1" applyAlignment="1">
      <alignment horizontal="right" wrapText="1"/>
    </xf>
    <xf numFmtId="3" fontId="31" fillId="0" borderId="13" xfId="5" applyNumberFormat="1" applyFont="1" applyBorder="1"/>
    <xf numFmtId="164" fontId="31" fillId="0" borderId="13" xfId="7" applyNumberFormat="1" applyFont="1" applyBorder="1"/>
    <xf numFmtId="9" fontId="32" fillId="0" borderId="13" xfId="8" applyFont="1" applyBorder="1"/>
    <xf numFmtId="9" fontId="31" fillId="0" borderId="13" xfId="8" applyFont="1" applyBorder="1"/>
    <xf numFmtId="0" fontId="31" fillId="0" borderId="24" xfId="5" quotePrefix="1" applyFont="1" applyBorder="1"/>
    <xf numFmtId="0" fontId="31" fillId="0" borderId="25" xfId="5" applyFont="1" applyBorder="1" applyAlignment="1">
      <alignment wrapText="1"/>
    </xf>
    <xf numFmtId="3" fontId="31" fillId="0" borderId="26" xfId="5" applyNumberFormat="1" applyFont="1" applyBorder="1"/>
    <xf numFmtId="164" fontId="31" fillId="0" borderId="26" xfId="7" applyNumberFormat="1" applyFont="1" applyBorder="1"/>
    <xf numFmtId="9" fontId="32" fillId="0" borderId="26" xfId="8" applyFont="1" applyFill="1" applyBorder="1"/>
    <xf numFmtId="9" fontId="31" fillId="0" borderId="26" xfId="8" applyFont="1" applyFill="1" applyBorder="1"/>
    <xf numFmtId="0" fontId="31" fillId="11" borderId="1" xfId="5" applyFont="1" applyFill="1" applyBorder="1" applyAlignment="1">
      <alignment wrapText="1"/>
    </xf>
    <xf numFmtId="3" fontId="31" fillId="11" borderId="21" xfId="5" applyNumberFormat="1" applyFont="1" applyFill="1" applyBorder="1"/>
    <xf numFmtId="164" fontId="31" fillId="11" borderId="21" xfId="7" applyNumberFormat="1" applyFont="1" applyFill="1" applyBorder="1"/>
    <xf numFmtId="49" fontId="25" fillId="0" borderId="1" xfId="5" applyNumberFormat="1" applyFont="1" applyBorder="1" applyAlignment="1">
      <alignment horizontal="left" wrapText="1" indent="4"/>
    </xf>
    <xf numFmtId="3" fontId="25" fillId="0" borderId="21" xfId="5" applyNumberFormat="1" applyFont="1" applyBorder="1"/>
    <xf numFmtId="3" fontId="25" fillId="0" borderId="1" xfId="5" applyNumberFormat="1" applyFont="1" applyBorder="1"/>
    <xf numFmtId="164" fontId="25" fillId="0" borderId="21" xfId="7" applyNumberFormat="1" applyFont="1" applyBorder="1"/>
    <xf numFmtId="49" fontId="25" fillId="20" borderId="1" xfId="5" applyNumberFormat="1" applyFont="1" applyFill="1" applyBorder="1" applyAlignment="1">
      <alignment horizontal="left" wrapText="1" indent="4"/>
    </xf>
    <xf numFmtId="3" fontId="25" fillId="0" borderId="27" xfId="5" applyNumberFormat="1" applyFont="1" applyBorder="1"/>
    <xf numFmtId="9" fontId="28" fillId="0" borderId="28" xfId="8" applyFont="1" applyFill="1" applyBorder="1"/>
    <xf numFmtId="49" fontId="25" fillId="0" borderId="4" xfId="5" applyNumberFormat="1" applyFont="1" applyBorder="1" applyAlignment="1">
      <alignment horizontal="left" wrapText="1" indent="4"/>
    </xf>
    <xf numFmtId="164" fontId="25" fillId="0" borderId="29" xfId="7" applyNumberFormat="1" applyFont="1" applyBorder="1"/>
    <xf numFmtId="9" fontId="28" fillId="0" borderId="20" xfId="8" applyFont="1" applyFill="1" applyBorder="1" applyAlignment="1">
      <alignment wrapText="1"/>
    </xf>
    <xf numFmtId="49" fontId="25" fillId="0" borderId="2" xfId="5" applyNumberFormat="1" applyFont="1" applyBorder="1" applyAlignment="1">
      <alignment horizontal="left" wrapText="1" indent="4"/>
    </xf>
    <xf numFmtId="164" fontId="25" fillId="0" borderId="2" xfId="7" applyNumberFormat="1" applyFont="1" applyBorder="1"/>
    <xf numFmtId="164" fontId="25" fillId="0" borderId="1" xfId="7" applyNumberFormat="1" applyFont="1" applyBorder="1"/>
    <xf numFmtId="164" fontId="25" fillId="0" borderId="18" xfId="7" applyNumberFormat="1" applyFont="1" applyBorder="1"/>
    <xf numFmtId="9" fontId="28" fillId="0" borderId="15" xfId="8" applyFont="1" applyFill="1" applyBorder="1"/>
    <xf numFmtId="3" fontId="25" fillId="0" borderId="18" xfId="5" applyNumberFormat="1" applyFont="1" applyBorder="1"/>
    <xf numFmtId="3" fontId="25" fillId="0" borderId="30" xfId="5" applyNumberFormat="1" applyFont="1" applyBorder="1"/>
    <xf numFmtId="164" fontId="25" fillId="0" borderId="31" xfId="7" applyNumberFormat="1" applyFont="1" applyBorder="1"/>
    <xf numFmtId="3" fontId="25" fillId="0" borderId="28" xfId="5" applyNumberFormat="1" applyFont="1" applyBorder="1"/>
    <xf numFmtId="9" fontId="25" fillId="0" borderId="2" xfId="8" applyFont="1" applyFill="1" applyBorder="1"/>
    <xf numFmtId="0" fontId="25" fillId="12" borderId="32" xfId="5" applyFont="1" applyFill="1" applyBorder="1" applyAlignment="1">
      <alignment horizontal="left" indent="2"/>
    </xf>
    <xf numFmtId="49" fontId="25" fillId="20" borderId="2" xfId="5" applyNumberFormat="1" applyFont="1" applyFill="1" applyBorder="1" applyAlignment="1">
      <alignment horizontal="left" wrapText="1" indent="4"/>
    </xf>
    <xf numFmtId="9" fontId="25" fillId="0" borderId="2" xfId="8" applyFont="1" applyFill="1" applyBorder="1" applyAlignment="1">
      <alignment wrapText="1"/>
    </xf>
    <xf numFmtId="49" fontId="25" fillId="0" borderId="30" xfId="5" applyNumberFormat="1" applyFont="1" applyBorder="1" applyAlignment="1">
      <alignment horizontal="left" wrapText="1" indent="4"/>
    </xf>
    <xf numFmtId="0" fontId="31" fillId="0" borderId="33" xfId="5" applyFont="1" applyBorder="1"/>
    <xf numFmtId="0" fontId="31" fillId="0" borderId="34" xfId="5" applyFont="1" applyBorder="1" applyAlignment="1">
      <alignment horizontal="right" wrapText="1"/>
    </xf>
    <xf numFmtId="9" fontId="32" fillId="0" borderId="26" xfId="8" applyFont="1" applyBorder="1"/>
    <xf numFmtId="9" fontId="31" fillId="0" borderId="26" xfId="8" applyFont="1" applyBorder="1"/>
    <xf numFmtId="0" fontId="31" fillId="0" borderId="0" xfId="5" applyFont="1"/>
    <xf numFmtId="0" fontId="1" fillId="0" borderId="0" xfId="5"/>
    <xf numFmtId="10" fontId="25" fillId="0" borderId="0" xfId="13" applyNumberFormat="1" applyFont="1"/>
    <xf numFmtId="49" fontId="31" fillId="11" borderId="35" xfId="5" applyNumberFormat="1" applyFont="1" applyFill="1" applyBorder="1" applyAlignment="1">
      <alignment horizontal="left" indent="2"/>
    </xf>
    <xf numFmtId="49" fontId="31" fillId="11" borderId="36" xfId="5" applyNumberFormat="1" applyFont="1" applyFill="1" applyBorder="1" applyAlignment="1">
      <alignment wrapText="1"/>
    </xf>
    <xf numFmtId="3" fontId="31" fillId="11" borderId="37" xfId="5" applyNumberFormat="1" applyFont="1" applyFill="1" applyBorder="1"/>
    <xf numFmtId="164" fontId="31" fillId="11" borderId="37" xfId="7" applyNumberFormat="1" applyFont="1" applyFill="1" applyBorder="1"/>
    <xf numFmtId="9" fontId="32" fillId="11" borderId="37" xfId="8" applyFont="1" applyFill="1" applyBorder="1"/>
    <xf numFmtId="9" fontId="31" fillId="11" borderId="37" xfId="8" applyFont="1" applyFill="1" applyBorder="1"/>
    <xf numFmtId="49" fontId="25" fillId="10" borderId="16" xfId="5" applyNumberFormat="1" applyFont="1" applyFill="1" applyBorder="1" applyAlignment="1">
      <alignment horizontal="left" indent="1"/>
    </xf>
    <xf numFmtId="49" fontId="25" fillId="10" borderId="2" xfId="5" applyNumberFormat="1" applyFont="1" applyFill="1" applyBorder="1" applyAlignment="1">
      <alignment horizontal="left" wrapText="1" indent="2"/>
    </xf>
    <xf numFmtId="9" fontId="28" fillId="10" borderId="17" xfId="8" applyFont="1" applyFill="1" applyBorder="1"/>
    <xf numFmtId="9" fontId="25" fillId="10" borderId="17" xfId="8" applyFont="1" applyFill="1" applyBorder="1"/>
    <xf numFmtId="3" fontId="28" fillId="10" borderId="17" xfId="5" applyNumberFormat="1" applyFont="1" applyFill="1" applyBorder="1"/>
    <xf numFmtId="49" fontId="31" fillId="11" borderId="16" xfId="5" applyNumberFormat="1" applyFont="1" applyFill="1" applyBorder="1"/>
    <xf numFmtId="49" fontId="31" fillId="11" borderId="2" xfId="5" applyNumberFormat="1" applyFont="1" applyFill="1" applyBorder="1" applyAlignment="1">
      <alignment wrapText="1"/>
    </xf>
    <xf numFmtId="0" fontId="40" fillId="0" borderId="0" xfId="5" applyFont="1"/>
    <xf numFmtId="49" fontId="25" fillId="0" borderId="16" xfId="5" applyNumberFormat="1" applyFont="1" applyBorder="1" applyAlignment="1">
      <alignment horizontal="left" indent="2"/>
    </xf>
    <xf numFmtId="49" fontId="25" fillId="0" borderId="2" xfId="5" applyNumberFormat="1" applyFont="1" applyBorder="1" applyAlignment="1">
      <alignment horizontal="left" wrapText="1" indent="2"/>
    </xf>
    <xf numFmtId="9" fontId="25" fillId="0" borderId="19" xfId="8" applyFont="1" applyFill="1" applyBorder="1" applyAlignment="1">
      <alignment horizontal="left" wrapText="1"/>
    </xf>
    <xf numFmtId="9" fontId="25" fillId="0" borderId="20" xfId="8" applyFont="1" applyFill="1" applyBorder="1" applyAlignment="1">
      <alignment horizontal="left" wrapText="1"/>
    </xf>
    <xf numFmtId="49" fontId="31" fillId="10" borderId="2" xfId="5" applyNumberFormat="1" applyFont="1" applyFill="1" applyBorder="1" applyAlignment="1">
      <alignment horizontal="left" wrapText="1" indent="2"/>
    </xf>
    <xf numFmtId="3" fontId="31" fillId="10" borderId="17" xfId="5" applyNumberFormat="1" applyFont="1" applyFill="1" applyBorder="1"/>
    <xf numFmtId="164" fontId="31" fillId="10" borderId="17" xfId="7" applyNumberFormat="1" applyFont="1" applyFill="1" applyBorder="1"/>
    <xf numFmtId="9" fontId="25" fillId="10" borderId="17" xfId="8" quotePrefix="1" applyFont="1" applyFill="1" applyBorder="1" applyAlignment="1">
      <alignment wrapText="1"/>
    </xf>
    <xf numFmtId="3" fontId="32" fillId="10" borderId="17" xfId="5" applyNumberFormat="1" applyFont="1" applyFill="1" applyBorder="1"/>
    <xf numFmtId="9" fontId="28" fillId="0" borderId="17" xfId="8" applyFont="1" applyBorder="1" applyAlignment="1">
      <alignment wrapText="1"/>
    </xf>
    <xf numFmtId="3" fontId="25" fillId="6" borderId="17" xfId="5" applyNumberFormat="1" applyFont="1" applyFill="1" applyBorder="1"/>
    <xf numFmtId="9" fontId="25" fillId="6" borderId="17" xfId="8" applyFont="1" applyFill="1" applyBorder="1" applyAlignment="1">
      <alignment wrapText="1"/>
    </xf>
    <xf numFmtId="49" fontId="25" fillId="21" borderId="16" xfId="5" applyNumberFormat="1" applyFont="1" applyFill="1" applyBorder="1" applyAlignment="1">
      <alignment horizontal="left" indent="2"/>
    </xf>
    <xf numFmtId="0" fontId="25" fillId="18" borderId="2" xfId="5" applyFont="1" applyFill="1" applyBorder="1" applyAlignment="1">
      <alignment horizontal="left" wrapText="1" indent="3"/>
    </xf>
    <xf numFmtId="0" fontId="25" fillId="8" borderId="0" xfId="5" quotePrefix="1" applyFont="1" applyFill="1"/>
    <xf numFmtId="9" fontId="25" fillId="0" borderId="18" xfId="8" applyFont="1" applyBorder="1" applyAlignment="1">
      <alignment wrapText="1"/>
    </xf>
    <xf numFmtId="9" fontId="25" fillId="0" borderId="20" xfId="8" applyFont="1" applyBorder="1" applyAlignment="1">
      <alignment wrapText="1"/>
    </xf>
    <xf numFmtId="9" fontId="32" fillId="10" borderId="17" xfId="8" applyFont="1" applyFill="1" applyBorder="1"/>
    <xf numFmtId="9" fontId="31" fillId="10" borderId="17" xfId="8" applyFont="1" applyFill="1" applyBorder="1"/>
    <xf numFmtId="9" fontId="28" fillId="0" borderId="20" xfId="8" applyFont="1" applyBorder="1" applyAlignment="1">
      <alignment wrapText="1"/>
    </xf>
    <xf numFmtId="164" fontId="25" fillId="19" borderId="17" xfId="7" applyNumberFormat="1" applyFont="1" applyFill="1" applyBorder="1"/>
    <xf numFmtId="0" fontId="42" fillId="0" borderId="0" xfId="5" quotePrefix="1" applyFont="1"/>
    <xf numFmtId="49" fontId="42" fillId="0" borderId="16" xfId="5" applyNumberFormat="1" applyFont="1" applyBorder="1" applyAlignment="1">
      <alignment horizontal="left" indent="3"/>
    </xf>
    <xf numFmtId="0" fontId="42" fillId="18" borderId="2" xfId="5" applyFont="1" applyFill="1" applyBorder="1" applyAlignment="1">
      <alignment horizontal="left" wrapText="1" indent="6"/>
    </xf>
    <xf numFmtId="3" fontId="42" fillId="0" borderId="17" xfId="5" applyNumberFormat="1" applyFont="1" applyBorder="1"/>
    <xf numFmtId="164" fontId="42" fillId="19" borderId="17" xfId="7" applyNumberFormat="1" applyFont="1" applyFill="1" applyBorder="1"/>
    <xf numFmtId="9" fontId="43" fillId="0" borderId="17" xfId="8" applyFont="1" applyBorder="1" applyAlignment="1">
      <alignment wrapText="1"/>
    </xf>
    <xf numFmtId="3" fontId="42" fillId="19" borderId="17" xfId="5" applyNumberFormat="1" applyFont="1" applyFill="1" applyBorder="1"/>
    <xf numFmtId="9" fontId="42" fillId="0" borderId="17" xfId="8" applyFont="1" applyBorder="1" applyAlignment="1">
      <alignment wrapText="1"/>
    </xf>
    <xf numFmtId="0" fontId="42" fillId="0" borderId="0" xfId="5" applyFont="1"/>
    <xf numFmtId="3" fontId="25" fillId="18" borderId="17" xfId="5" applyNumberFormat="1" applyFont="1" applyFill="1" applyBorder="1"/>
    <xf numFmtId="9" fontId="25" fillId="0" borderId="17" xfId="8" quotePrefix="1" applyFont="1" applyBorder="1" applyAlignment="1">
      <alignment wrapText="1"/>
    </xf>
    <xf numFmtId="9" fontId="25" fillId="0" borderId="20" xfId="8" applyFont="1" applyFill="1" applyBorder="1" applyAlignment="1">
      <alignment wrapText="1"/>
    </xf>
    <xf numFmtId="9" fontId="25" fillId="6" borderId="19" xfId="8" applyFont="1" applyFill="1" applyBorder="1" applyAlignment="1">
      <alignment horizontal="left" wrapText="1"/>
    </xf>
    <xf numFmtId="9" fontId="43" fillId="0" borderId="17" xfId="8" applyFont="1" applyFill="1" applyBorder="1" applyAlignment="1">
      <alignment wrapText="1"/>
    </xf>
    <xf numFmtId="9" fontId="42" fillId="0" borderId="17" xfId="8" applyFont="1" applyFill="1" applyBorder="1" applyAlignment="1">
      <alignment wrapText="1"/>
    </xf>
    <xf numFmtId="9" fontId="25" fillId="6" borderId="20" xfId="8" applyFont="1" applyFill="1" applyBorder="1" applyAlignment="1">
      <alignment horizontal="left" wrapText="1"/>
    </xf>
    <xf numFmtId="49" fontId="25" fillId="21" borderId="16" xfId="5" applyNumberFormat="1" applyFont="1" applyFill="1" applyBorder="1" applyAlignment="1">
      <alignment horizontal="left" indent="1"/>
    </xf>
    <xf numFmtId="9" fontId="43" fillId="8" borderId="17" xfId="8" applyFont="1" applyFill="1" applyBorder="1" applyAlignment="1">
      <alignment wrapText="1"/>
    </xf>
    <xf numFmtId="9" fontId="42" fillId="10" borderId="17" xfId="8" applyFont="1" applyFill="1" applyBorder="1" applyAlignment="1">
      <alignment wrapText="1"/>
    </xf>
    <xf numFmtId="9" fontId="43" fillId="10" borderId="17" xfId="8" applyFont="1" applyFill="1" applyBorder="1" applyAlignment="1">
      <alignment wrapText="1"/>
    </xf>
    <xf numFmtId="0" fontId="25" fillId="18" borderId="2" xfId="5" applyFont="1" applyFill="1" applyBorder="1" applyAlignment="1">
      <alignment horizontal="left" indent="2"/>
    </xf>
    <xf numFmtId="0" fontId="34" fillId="18" borderId="2" xfId="5" applyFont="1" applyFill="1" applyBorder="1" applyAlignment="1">
      <alignment horizontal="left" indent="2"/>
    </xf>
    <xf numFmtId="0" fontId="34" fillId="18" borderId="0" xfId="5" applyFont="1" applyFill="1"/>
    <xf numFmtId="0" fontId="25" fillId="18" borderId="38" xfId="5" applyFont="1" applyFill="1" applyBorder="1" applyAlignment="1">
      <alignment horizontal="left" indent="3"/>
    </xf>
    <xf numFmtId="164" fontId="25" fillId="18" borderId="17" xfId="7" applyNumberFormat="1" applyFont="1" applyFill="1" applyBorder="1"/>
    <xf numFmtId="9" fontId="28" fillId="18" borderId="17" xfId="8" applyFont="1" applyFill="1" applyBorder="1"/>
    <xf numFmtId="9" fontId="25" fillId="18" borderId="17" xfId="8" applyFont="1" applyFill="1" applyBorder="1"/>
    <xf numFmtId="0" fontId="34" fillId="0" borderId="2" xfId="5" applyFont="1" applyBorder="1" applyAlignment="1">
      <alignment horizontal="left" indent="2"/>
    </xf>
    <xf numFmtId="0" fontId="25" fillId="0" borderId="38" xfId="5" applyFont="1" applyBorder="1" applyAlignment="1">
      <alignment horizontal="left" indent="3"/>
    </xf>
    <xf numFmtId="0" fontId="34" fillId="21" borderId="2" xfId="5" applyFont="1" applyFill="1" applyBorder="1" applyAlignment="1">
      <alignment horizontal="left" indent="2"/>
    </xf>
    <xf numFmtId="0" fontId="25" fillId="0" borderId="0" xfId="5" applyFont="1" applyAlignment="1">
      <alignment horizontal="right"/>
    </xf>
    <xf numFmtId="3" fontId="25" fillId="12" borderId="17" xfId="5" applyNumberFormat="1" applyFont="1" applyFill="1" applyBorder="1"/>
    <xf numFmtId="164" fontId="25" fillId="12" borderId="17" xfId="7" applyNumberFormat="1" applyFont="1" applyFill="1" applyBorder="1"/>
    <xf numFmtId="9" fontId="25" fillId="0" borderId="19" xfId="8" applyFont="1" applyFill="1" applyBorder="1" applyAlignment="1">
      <alignment wrapText="1"/>
    </xf>
    <xf numFmtId="9" fontId="28" fillId="12" borderId="17" xfId="8" applyFont="1" applyFill="1" applyBorder="1" applyAlignment="1">
      <alignment wrapText="1"/>
    </xf>
    <xf numFmtId="49" fontId="31" fillId="10" borderId="16" xfId="5" applyNumberFormat="1" applyFont="1" applyFill="1" applyBorder="1" applyAlignment="1">
      <alignment horizontal="left" indent="1"/>
    </xf>
    <xf numFmtId="9" fontId="25" fillId="20" borderId="19" xfId="8" applyFont="1" applyFill="1" applyBorder="1" applyAlignment="1">
      <alignment horizontal="left" wrapText="1"/>
    </xf>
    <xf numFmtId="9" fontId="25" fillId="20" borderId="20" xfId="8" applyFont="1" applyFill="1" applyBorder="1" applyAlignment="1">
      <alignment horizontal="left" wrapText="1"/>
    </xf>
    <xf numFmtId="0" fontId="25" fillId="12" borderId="0" xfId="5" quotePrefix="1" applyFont="1" applyFill="1"/>
    <xf numFmtId="0" fontId="25" fillId="12" borderId="0" xfId="5" applyFont="1" applyFill="1"/>
    <xf numFmtId="49" fontId="25" fillId="12" borderId="16" xfId="5" applyNumberFormat="1" applyFont="1" applyFill="1" applyBorder="1" applyAlignment="1">
      <alignment horizontal="left" indent="2"/>
    </xf>
    <xf numFmtId="49" fontId="25" fillId="12" borderId="2" xfId="5" applyNumberFormat="1" applyFont="1" applyFill="1" applyBorder="1" applyAlignment="1">
      <alignment horizontal="left" wrapText="1" indent="4"/>
    </xf>
    <xf numFmtId="0" fontId="45" fillId="0" borderId="0" xfId="5" quotePrefix="1" applyFont="1"/>
    <xf numFmtId="164" fontId="42" fillId="0" borderId="17" xfId="7" applyNumberFormat="1" applyFont="1" applyBorder="1"/>
    <xf numFmtId="9" fontId="42" fillId="16" borderId="17" xfId="8" applyFont="1" applyFill="1" applyBorder="1" applyAlignment="1">
      <alignment wrapText="1"/>
    </xf>
    <xf numFmtId="0" fontId="45" fillId="0" borderId="0" xfId="5" applyFont="1"/>
    <xf numFmtId="9" fontId="25" fillId="8" borderId="17" xfId="8" applyFont="1" applyFill="1" applyBorder="1" applyAlignment="1">
      <alignment wrapText="1"/>
    </xf>
    <xf numFmtId="9" fontId="25" fillId="0" borderId="17" xfId="8" quotePrefix="1" applyFont="1" applyFill="1" applyBorder="1" applyAlignment="1">
      <alignment wrapText="1"/>
    </xf>
    <xf numFmtId="9" fontId="25" fillId="0" borderId="19" xfId="8" applyFont="1" applyFill="1" applyBorder="1" applyAlignment="1">
      <alignment horizontal="left" vertical="center" wrapText="1"/>
    </xf>
    <xf numFmtId="9" fontId="42" fillId="0" borderId="19" xfId="8" applyFont="1" applyFill="1" applyBorder="1" applyAlignment="1">
      <alignment wrapText="1"/>
    </xf>
    <xf numFmtId="9" fontId="25" fillId="0" borderId="20" xfId="8" applyFont="1" applyFill="1" applyBorder="1" applyAlignment="1">
      <alignment horizontal="left" vertical="center" wrapText="1"/>
    </xf>
    <xf numFmtId="0" fontId="38" fillId="0" borderId="0" xfId="5" applyFont="1"/>
    <xf numFmtId="0" fontId="38" fillId="0" borderId="0" xfId="5" quotePrefix="1" applyFont="1"/>
    <xf numFmtId="49" fontId="31" fillId="0" borderId="16" xfId="5" applyNumberFormat="1" applyFont="1" applyBorder="1" applyAlignment="1">
      <alignment horizontal="left" indent="2"/>
    </xf>
    <xf numFmtId="49" fontId="31" fillId="0" borderId="2" xfId="5" applyNumberFormat="1" applyFont="1" applyBorder="1" applyAlignment="1">
      <alignment horizontal="left" wrapText="1" indent="4"/>
    </xf>
    <xf numFmtId="3" fontId="31" fillId="0" borderId="17" xfId="5" applyNumberFormat="1" applyFont="1" applyBorder="1"/>
    <xf numFmtId="164" fontId="31" fillId="0" borderId="17" xfId="7" applyNumberFormat="1" applyFont="1" applyBorder="1"/>
    <xf numFmtId="3" fontId="32" fillId="0" borderId="17" xfId="5" applyNumberFormat="1" applyFont="1" applyBorder="1"/>
    <xf numFmtId="0" fontId="39" fillId="0" borderId="0" xfId="5" applyFont="1"/>
    <xf numFmtId="49" fontId="25" fillId="0" borderId="16" xfId="5" applyNumberFormat="1" applyFont="1" applyBorder="1" applyAlignment="1">
      <alignment horizontal="left" indent="3"/>
    </xf>
    <xf numFmtId="9" fontId="35" fillId="0" borderId="17" xfId="8" applyFont="1" applyFill="1" applyBorder="1" applyAlignment="1">
      <alignment wrapText="1"/>
    </xf>
    <xf numFmtId="49" fontId="46" fillId="10" borderId="16" xfId="5" applyNumberFormat="1" applyFont="1" applyFill="1" applyBorder="1" applyAlignment="1">
      <alignment horizontal="left" indent="1"/>
    </xf>
    <xf numFmtId="49" fontId="31" fillId="0" borderId="22" xfId="5" applyNumberFormat="1" applyFont="1" applyBorder="1"/>
    <xf numFmtId="49" fontId="31" fillId="0" borderId="23" xfId="5" applyNumberFormat="1" applyFont="1" applyBorder="1" applyAlignment="1">
      <alignment horizontal="right" wrapText="1"/>
    </xf>
    <xf numFmtId="3" fontId="31" fillId="0" borderId="39" xfId="5" applyNumberFormat="1" applyFont="1" applyBorder="1"/>
    <xf numFmtId="164" fontId="31" fillId="0" borderId="39" xfId="7" applyNumberFormat="1" applyFont="1" applyBorder="1"/>
    <xf numFmtId="9" fontId="31" fillId="0" borderId="39" xfId="8" applyFont="1" applyBorder="1"/>
    <xf numFmtId="9" fontId="28" fillId="20" borderId="17" xfId="8" applyFont="1" applyFill="1" applyBorder="1" applyAlignment="1">
      <alignment wrapText="1"/>
    </xf>
    <xf numFmtId="3" fontId="31" fillId="0" borderId="40" xfId="5" applyNumberFormat="1" applyFont="1" applyBorder="1"/>
    <xf numFmtId="164" fontId="31" fillId="0" borderId="40" xfId="7" applyNumberFormat="1" applyFont="1" applyBorder="1"/>
    <xf numFmtId="9" fontId="25" fillId="0" borderId="40" xfId="8" applyFont="1" applyBorder="1"/>
    <xf numFmtId="49" fontId="31" fillId="11" borderId="41" xfId="5" applyNumberFormat="1" applyFont="1" applyFill="1" applyBorder="1" applyAlignment="1">
      <alignment horizontal="center"/>
    </xf>
    <xf numFmtId="49" fontId="31" fillId="11" borderId="42" xfId="5" applyNumberFormat="1" applyFont="1" applyFill="1" applyBorder="1" applyAlignment="1">
      <alignment wrapText="1"/>
    </xf>
    <xf numFmtId="3" fontId="31" fillId="11" borderId="43" xfId="5" applyNumberFormat="1" applyFont="1" applyFill="1" applyBorder="1"/>
    <xf numFmtId="164" fontId="31" fillId="11" borderId="43" xfId="7" applyNumberFormat="1" applyFont="1" applyFill="1" applyBorder="1"/>
    <xf numFmtId="9" fontId="31" fillId="11" borderId="43" xfId="8" applyFont="1" applyFill="1" applyBorder="1"/>
  </cellXfs>
  <cellStyles count="15">
    <cellStyle name="Comma" xfId="1" builtinId="3"/>
    <cellStyle name="Comma 2" xfId="7" xr:uid="{25A1B554-17CD-443C-B5CD-999464B92F70}"/>
    <cellStyle name="Hyperlink" xfId="11" builtinId="8"/>
    <cellStyle name="Komats 10" xfId="10" xr:uid="{14A375E9-1E8E-4CBE-A4E4-5DE04000E5D1}"/>
    <cellStyle name="Normal" xfId="0" builtinId="0"/>
    <cellStyle name="Normal 2" xfId="14" xr:uid="{08C6EEB2-E331-413B-AC7E-54DB30125EB6}"/>
    <cellStyle name="Normal 2 2" xfId="12" xr:uid="{2A621447-343E-4B5A-8772-4FB6DBFD262A}"/>
    <cellStyle name="Normal 4" xfId="4" xr:uid="{B94A680A-AE67-4102-B8EE-50F065E5BD6A}"/>
    <cellStyle name="Parasts 2 2 2 2" xfId="3" xr:uid="{49ADA65D-BFE1-4F67-A87D-7EB024CC1A64}"/>
    <cellStyle name="Parasts 2 2 5" xfId="5" xr:uid="{7C867C1F-F0E7-4C0F-8C74-1A457C808A0E}"/>
    <cellStyle name="Parasts 2 2 5 2" xfId="6" xr:uid="{DBAA371C-2FBF-4C56-ADB1-DA9423690264}"/>
    <cellStyle name="Percent" xfId="2" builtinId="5"/>
    <cellStyle name="Percent 2" xfId="9" xr:uid="{50F9867F-D13D-414B-ABAE-4FEF0AB6B0D1}"/>
    <cellStyle name="Percent 4" xfId="13" xr:uid="{10C4F2AA-7175-471A-840B-967371C13519}"/>
    <cellStyle name="Procenti 2 3" xfId="8" xr:uid="{B29D42CF-59D3-4F3F-88C4-A6EA91A86B72}"/>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rmite.Muze\Nextcloud\Finansu%20nodala%20kopmape\Saist&#299;bas\Saist&#299;bas_2024_SNOT.xlsx" TargetMode="External"/><Relationship Id="rId1" Type="http://schemas.openxmlformats.org/officeDocument/2006/relationships/externalLinkPath" Target="/Users/Sarmite.Muze/Nextcloud/Finansu%20nodala%20kopmape/Saist&#299;bas/Saist&#299;bas_2024_SNO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armite.Muze\Nextcloud\Finansu%20nodala%20kopmape\2024\11_2024\1_Budzets_2024_Novembris.xlsx" TargetMode="External"/><Relationship Id="rId1" Type="http://schemas.openxmlformats.org/officeDocument/2006/relationships/externalLinkPath" Target="1_Budzets_2024_Novembr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UR EURIBOR"/>
      <sheetName val="INPUT(% likmes)"/>
      <sheetName val="INPUT(planotie maksajumi)"/>
      <sheetName val="aprekini"/>
      <sheetName val="Līgumu saraksts_28122023"/>
      <sheetName val="Līgumu saraksts_25012023"/>
      <sheetName val="Līgumu saraksts_28032024"/>
      <sheetName val="Līgumu saraksts_25042024"/>
      <sheetName val="Līgumu saraksts_27062024 apst"/>
      <sheetName val="Līgumu saraksts_27062024"/>
      <sheetName val="Līgumu saraksts_29082024"/>
      <sheetName val="Līgumu saraksts_24102024"/>
      <sheetName val="Līgumu saraksts_28112024"/>
      <sheetName val="Līgumu saraksts ar skolu_FM"/>
      <sheetName val="FM_saistibas"/>
      <sheetName val="Līgumu saraksts_modelis"/>
      <sheetName val="Salidzinajums"/>
      <sheetName val="Fakts _Visvaris_%"/>
      <sheetName val="Fakts_Visvaris_apkalp.mak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eck"/>
      <sheetName val="Izpilde"/>
      <sheetName val="IIN_PFIF"/>
      <sheetName val="Filtri"/>
      <sheetName val="Faila apraksts"/>
      <sheetName val="INPUT_nekopet"/>
      <sheetName val="BAZE_2024"/>
      <sheetName val="Nodalas"/>
      <sheetName val="EKK"/>
      <sheetName val="Investīcijas_2024"/>
      <sheetName val="Ieņēmumi_28122023"/>
      <sheetName val="Tames"/>
      <sheetName val="OKT_Groz"/>
      <sheetName val="2024.gada budzeta plans_apvieno"/>
      <sheetName val="Grafiki_budžeta_izpilde"/>
      <sheetName val="2022-2027"/>
      <sheetName val="KA_31122023"/>
      <sheetName val="CKS"/>
      <sheetName val="Grafiki"/>
      <sheetName val="Grafiki_2024"/>
      <sheetName val="PII_mac_lidz"/>
      <sheetName val="0630_Tāmes"/>
      <sheetName val="0930_Tāmes"/>
      <sheetName val="0812_Sporta pasākumi_komandas"/>
      <sheetName val="0812_Subsīdijas sportam"/>
      <sheetName val="0841.1_Svētku tāmes paraugs"/>
      <sheetName val="0841ĀKC Skatuves gaismu sistēma"/>
      <sheetName val="Investicijas_2023_2026"/>
      <sheetName val="31122022_final"/>
      <sheetName val="Algas_2024"/>
      <sheetName val="5.piel.EKK"/>
      <sheetName val="Deputāti"/>
      <sheetName val="Velesanu_komis_loc"/>
      <sheetName val="Adm_komisija"/>
      <sheetName val="Iepirk_komisija"/>
      <sheetName val="Komisij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B90C2-A563-42FF-BA05-044567AB9A02}">
  <sheetPr>
    <tabColor rgb="FF92D050"/>
  </sheetPr>
  <dimension ref="A1:AK302"/>
  <sheetViews>
    <sheetView tabSelected="1" zoomScaleNormal="100" zoomScaleSheetLayoutView="80" workbookViewId="0">
      <pane xSplit="4" ySplit="5" topLeftCell="E6" activePane="bottomRight" state="frozen"/>
      <selection activeCell="C1" sqref="C1"/>
      <selection pane="topRight" activeCell="E1" sqref="E1"/>
      <selection pane="bottomLeft" activeCell="C6" sqref="C6"/>
      <selection pane="bottomRight" activeCell="X306" sqref="X306"/>
    </sheetView>
  </sheetViews>
  <sheetFormatPr defaultRowHeight="15" outlineLevelRow="1" outlineLevelCol="2" x14ac:dyDescent="0.25"/>
  <cols>
    <col min="1" max="1" width="7.85546875" style="95" hidden="1" customWidth="1" outlineLevel="2"/>
    <col min="2" max="2" width="11.42578125" style="95" hidden="1" customWidth="1" outlineLevel="2"/>
    <col min="3" max="3" width="15" style="249" customWidth="1" collapsed="1"/>
    <col min="4" max="4" width="44" style="98" customWidth="1"/>
    <col min="5" max="5" width="14.85546875" style="103" customWidth="1"/>
    <col min="6" max="6" width="14.85546875" style="104" customWidth="1" collapsed="1"/>
    <col min="7" max="7" width="14.85546875" style="95" hidden="1" customWidth="1" outlineLevel="1"/>
    <col min="8" max="8" width="54" style="110" hidden="1" customWidth="1" outlineLevel="1" collapsed="1"/>
    <col min="9" max="9" width="14.85546875" style="95" customWidth="1" collapsed="1"/>
    <col min="10" max="10" width="14.85546875" style="95" hidden="1" customWidth="1" outlineLevel="1"/>
    <col min="11" max="11" width="56.42578125" style="111" hidden="1" customWidth="1" outlineLevel="1" collapsed="1"/>
    <col min="12" max="12" width="14.85546875" style="95" customWidth="1" collapsed="1"/>
    <col min="13" max="13" width="14.85546875" style="95" hidden="1" customWidth="1" outlineLevel="1"/>
    <col min="14" max="14" width="64.85546875" style="111" hidden="1" customWidth="1" outlineLevel="1" collapsed="1"/>
    <col min="15" max="15" width="14.85546875" style="95" customWidth="1" collapsed="1"/>
    <col min="16" max="16" width="14.85546875" style="95" hidden="1" customWidth="1" outlineLevel="1"/>
    <col min="17" max="17" width="56.42578125" style="111" hidden="1" customWidth="1" outlineLevel="1" collapsed="1"/>
    <col min="18" max="18" width="14.85546875" style="95" customWidth="1" collapsed="1"/>
    <col min="19" max="19" width="14.85546875" style="95" hidden="1" customWidth="1" outlineLevel="1"/>
    <col min="20" max="20" width="68.85546875" style="111" hidden="1" customWidth="1" outlineLevel="1" collapsed="1"/>
    <col min="21" max="21" width="14.85546875" style="95" customWidth="1" collapsed="1"/>
    <col min="22" max="22" width="14.85546875" style="95" hidden="1" customWidth="1" outlineLevel="1"/>
    <col min="23" max="23" width="56" style="111" hidden="1" customWidth="1" outlineLevel="1" collapsed="1"/>
    <col min="24" max="24" width="14.85546875" style="95" customWidth="1" collapsed="1"/>
    <col min="25" max="25" width="14.85546875" style="95" customWidth="1"/>
    <col min="26" max="26" width="56" style="111" customWidth="1" collapsed="1"/>
    <col min="27" max="178" width="9.140625" style="95"/>
    <col min="179" max="180" width="0" style="95" hidden="1" customWidth="1"/>
    <col min="181" max="181" width="13.7109375" style="95" customWidth="1"/>
    <col min="182" max="182" width="52.85546875" style="95" customWidth="1"/>
    <col min="183" max="222" width="0" style="95" hidden="1" customWidth="1"/>
    <col min="223" max="224" width="14.85546875" style="95" customWidth="1"/>
    <col min="225" max="226" width="0" style="95" hidden="1" customWidth="1"/>
    <col min="227" max="227" width="14.85546875" style="95" customWidth="1"/>
    <col min="228" max="229" width="0" style="95" hidden="1" customWidth="1"/>
    <col min="230" max="230" width="14.85546875" style="95" customWidth="1"/>
    <col min="231" max="232" width="0" style="95" hidden="1" customWidth="1"/>
    <col min="233" max="233" width="14.85546875" style="95" customWidth="1"/>
    <col min="234" max="235" width="0" style="95" hidden="1" customWidth="1"/>
    <col min="236" max="236" width="14.85546875" style="95" customWidth="1"/>
    <col min="237" max="238" width="0" style="95" hidden="1" customWidth="1"/>
    <col min="239" max="240" width="14.85546875" style="95" customWidth="1"/>
    <col min="241" max="241" width="44.42578125" style="95" customWidth="1"/>
    <col min="242" max="246" width="14.85546875" style="95" customWidth="1"/>
    <col min="247" max="247" width="63.85546875" style="95" customWidth="1"/>
    <col min="248" max="248" width="13.28515625" style="95" customWidth="1"/>
    <col min="249" max="434" width="9.140625" style="95"/>
    <col min="435" max="436" width="0" style="95" hidden="1" customWidth="1"/>
    <col min="437" max="437" width="13.7109375" style="95" customWidth="1"/>
    <col min="438" max="438" width="52.85546875" style="95" customWidth="1"/>
    <col min="439" max="478" width="0" style="95" hidden="1" customWidth="1"/>
    <col min="479" max="480" width="14.85546875" style="95" customWidth="1"/>
    <col min="481" max="482" width="0" style="95" hidden="1" customWidth="1"/>
    <col min="483" max="483" width="14.85546875" style="95" customWidth="1"/>
    <col min="484" max="485" width="0" style="95" hidden="1" customWidth="1"/>
    <col min="486" max="486" width="14.85546875" style="95" customWidth="1"/>
    <col min="487" max="488" width="0" style="95" hidden="1" customWidth="1"/>
    <col min="489" max="489" width="14.85546875" style="95" customWidth="1"/>
    <col min="490" max="491" width="0" style="95" hidden="1" customWidth="1"/>
    <col min="492" max="492" width="14.85546875" style="95" customWidth="1"/>
    <col min="493" max="494" width="0" style="95" hidden="1" customWidth="1"/>
    <col min="495" max="496" width="14.85546875" style="95" customWidth="1"/>
    <col min="497" max="497" width="44.42578125" style="95" customWidth="1"/>
    <col min="498" max="502" width="14.85546875" style="95" customWidth="1"/>
    <col min="503" max="503" width="63.85546875" style="95" customWidth="1"/>
    <col min="504" max="504" width="13.28515625" style="95" customWidth="1"/>
    <col min="505" max="690" width="9.140625" style="95"/>
    <col min="691" max="692" width="0" style="95" hidden="1" customWidth="1"/>
    <col min="693" max="693" width="13.7109375" style="95" customWidth="1"/>
    <col min="694" max="694" width="52.85546875" style="95" customWidth="1"/>
    <col min="695" max="734" width="0" style="95" hidden="1" customWidth="1"/>
    <col min="735" max="736" width="14.85546875" style="95" customWidth="1"/>
    <col min="737" max="738" width="0" style="95" hidden="1" customWidth="1"/>
    <col min="739" max="739" width="14.85546875" style="95" customWidth="1"/>
    <col min="740" max="741" width="0" style="95" hidden="1" customWidth="1"/>
    <col min="742" max="742" width="14.85546875" style="95" customWidth="1"/>
    <col min="743" max="744" width="0" style="95" hidden="1" customWidth="1"/>
    <col min="745" max="745" width="14.85546875" style="95" customWidth="1"/>
    <col min="746" max="747" width="0" style="95" hidden="1" customWidth="1"/>
    <col min="748" max="748" width="14.85546875" style="95" customWidth="1"/>
    <col min="749" max="750" width="0" style="95" hidden="1" customWidth="1"/>
    <col min="751" max="752" width="14.85546875" style="95" customWidth="1"/>
    <col min="753" max="753" width="44.42578125" style="95" customWidth="1"/>
    <col min="754" max="758" width="14.85546875" style="95" customWidth="1"/>
    <col min="759" max="759" width="63.85546875" style="95" customWidth="1"/>
    <col min="760" max="760" width="13.28515625" style="95" customWidth="1"/>
    <col min="761" max="946" width="9.140625" style="95"/>
    <col min="947" max="948" width="0" style="95" hidden="1" customWidth="1"/>
    <col min="949" max="949" width="13.7109375" style="95" customWidth="1"/>
    <col min="950" max="950" width="52.85546875" style="95" customWidth="1"/>
    <col min="951" max="990" width="0" style="95" hidden="1" customWidth="1"/>
    <col min="991" max="992" width="14.85546875" style="95" customWidth="1"/>
    <col min="993" max="994" width="0" style="95" hidden="1" customWidth="1"/>
    <col min="995" max="995" width="14.85546875" style="95" customWidth="1"/>
    <col min="996" max="997" width="0" style="95" hidden="1" customWidth="1"/>
    <col min="998" max="998" width="14.85546875" style="95" customWidth="1"/>
    <col min="999" max="1000" width="0" style="95" hidden="1" customWidth="1"/>
    <col min="1001" max="1001" width="14.85546875" style="95" customWidth="1"/>
    <col min="1002" max="1003" width="0" style="95" hidden="1" customWidth="1"/>
    <col min="1004" max="1004" width="14.85546875" style="95" customWidth="1"/>
    <col min="1005" max="1006" width="0" style="95" hidden="1" customWidth="1"/>
    <col min="1007" max="1008" width="14.85546875" style="95" customWidth="1"/>
    <col min="1009" max="1009" width="44.42578125" style="95" customWidth="1"/>
    <col min="1010" max="1014" width="14.85546875" style="95" customWidth="1"/>
    <col min="1015" max="1015" width="63.85546875" style="95" customWidth="1"/>
    <col min="1016" max="1016" width="13.28515625" style="95" customWidth="1"/>
    <col min="1017" max="1202" width="9.140625" style="95"/>
    <col min="1203" max="1204" width="0" style="95" hidden="1" customWidth="1"/>
    <col min="1205" max="1205" width="13.7109375" style="95" customWidth="1"/>
    <col min="1206" max="1206" width="52.85546875" style="95" customWidth="1"/>
    <col min="1207" max="1246" width="0" style="95" hidden="1" customWidth="1"/>
    <col min="1247" max="1248" width="14.85546875" style="95" customWidth="1"/>
    <col min="1249" max="1250" width="0" style="95" hidden="1" customWidth="1"/>
    <col min="1251" max="1251" width="14.85546875" style="95" customWidth="1"/>
    <col min="1252" max="1253" width="0" style="95" hidden="1" customWidth="1"/>
    <col min="1254" max="1254" width="14.85546875" style="95" customWidth="1"/>
    <col min="1255" max="1256" width="0" style="95" hidden="1" customWidth="1"/>
    <col min="1257" max="1257" width="14.85546875" style="95" customWidth="1"/>
    <col min="1258" max="1259" width="0" style="95" hidden="1" customWidth="1"/>
    <col min="1260" max="1260" width="14.85546875" style="95" customWidth="1"/>
    <col min="1261" max="1262" width="0" style="95" hidden="1" customWidth="1"/>
    <col min="1263" max="1264" width="14.85546875" style="95" customWidth="1"/>
    <col min="1265" max="1265" width="44.42578125" style="95" customWidth="1"/>
    <col min="1266" max="1270" width="14.85546875" style="95" customWidth="1"/>
    <col min="1271" max="1271" width="63.85546875" style="95" customWidth="1"/>
    <col min="1272" max="1272" width="13.28515625" style="95" customWidth="1"/>
    <col min="1273" max="1458" width="9.140625" style="95"/>
    <col min="1459" max="1460" width="0" style="95" hidden="1" customWidth="1"/>
    <col min="1461" max="1461" width="13.7109375" style="95" customWidth="1"/>
    <col min="1462" max="1462" width="52.85546875" style="95" customWidth="1"/>
    <col min="1463" max="1502" width="0" style="95" hidden="1" customWidth="1"/>
    <col min="1503" max="1504" width="14.85546875" style="95" customWidth="1"/>
    <col min="1505" max="1506" width="0" style="95" hidden="1" customWidth="1"/>
    <col min="1507" max="1507" width="14.85546875" style="95" customWidth="1"/>
    <col min="1508" max="1509" width="0" style="95" hidden="1" customWidth="1"/>
    <col min="1510" max="1510" width="14.85546875" style="95" customWidth="1"/>
    <col min="1511" max="1512" width="0" style="95" hidden="1" customWidth="1"/>
    <col min="1513" max="1513" width="14.85546875" style="95" customWidth="1"/>
    <col min="1514" max="1515" width="0" style="95" hidden="1" customWidth="1"/>
    <col min="1516" max="1516" width="14.85546875" style="95" customWidth="1"/>
    <col min="1517" max="1518" width="0" style="95" hidden="1" customWidth="1"/>
    <col min="1519" max="1520" width="14.85546875" style="95" customWidth="1"/>
    <col min="1521" max="1521" width="44.42578125" style="95" customWidth="1"/>
    <col min="1522" max="1526" width="14.85546875" style="95" customWidth="1"/>
    <col min="1527" max="1527" width="63.85546875" style="95" customWidth="1"/>
    <col min="1528" max="1528" width="13.28515625" style="95" customWidth="1"/>
    <col min="1529" max="1714" width="9.140625" style="95"/>
    <col min="1715" max="1716" width="0" style="95" hidden="1" customWidth="1"/>
    <col min="1717" max="1717" width="13.7109375" style="95" customWidth="1"/>
    <col min="1718" max="1718" width="52.85546875" style="95" customWidth="1"/>
    <col min="1719" max="1758" width="0" style="95" hidden="1" customWidth="1"/>
    <col min="1759" max="1760" width="14.85546875" style="95" customWidth="1"/>
    <col min="1761" max="1762" width="0" style="95" hidden="1" customWidth="1"/>
    <col min="1763" max="1763" width="14.85546875" style="95" customWidth="1"/>
    <col min="1764" max="1765" width="0" style="95" hidden="1" customWidth="1"/>
    <col min="1766" max="1766" width="14.85546875" style="95" customWidth="1"/>
    <col min="1767" max="1768" width="0" style="95" hidden="1" customWidth="1"/>
    <col min="1769" max="1769" width="14.85546875" style="95" customWidth="1"/>
    <col min="1770" max="1771" width="0" style="95" hidden="1" customWidth="1"/>
    <col min="1772" max="1772" width="14.85546875" style="95" customWidth="1"/>
    <col min="1773" max="1774" width="0" style="95" hidden="1" customWidth="1"/>
    <col min="1775" max="1776" width="14.85546875" style="95" customWidth="1"/>
    <col min="1777" max="1777" width="44.42578125" style="95" customWidth="1"/>
    <col min="1778" max="1782" width="14.85546875" style="95" customWidth="1"/>
    <col min="1783" max="1783" width="63.85546875" style="95" customWidth="1"/>
    <col min="1784" max="1784" width="13.28515625" style="95" customWidth="1"/>
    <col min="1785" max="1970" width="9.140625" style="95"/>
    <col min="1971" max="1972" width="0" style="95" hidden="1" customWidth="1"/>
    <col min="1973" max="1973" width="13.7109375" style="95" customWidth="1"/>
    <col min="1974" max="1974" width="52.85546875" style="95" customWidth="1"/>
    <col min="1975" max="2014" width="0" style="95" hidden="1" customWidth="1"/>
    <col min="2015" max="2016" width="14.85546875" style="95" customWidth="1"/>
    <col min="2017" max="2018" width="0" style="95" hidden="1" customWidth="1"/>
    <col min="2019" max="2019" width="14.85546875" style="95" customWidth="1"/>
    <col min="2020" max="2021" width="0" style="95" hidden="1" customWidth="1"/>
    <col min="2022" max="2022" width="14.85546875" style="95" customWidth="1"/>
    <col min="2023" max="2024" width="0" style="95" hidden="1" customWidth="1"/>
    <col min="2025" max="2025" width="14.85546875" style="95" customWidth="1"/>
    <col min="2026" max="2027" width="0" style="95" hidden="1" customWidth="1"/>
    <col min="2028" max="2028" width="14.85546875" style="95" customWidth="1"/>
    <col min="2029" max="2030" width="0" style="95" hidden="1" customWidth="1"/>
    <col min="2031" max="2032" width="14.85546875" style="95" customWidth="1"/>
    <col min="2033" max="2033" width="44.42578125" style="95" customWidth="1"/>
    <col min="2034" max="2038" width="14.85546875" style="95" customWidth="1"/>
    <col min="2039" max="2039" width="63.85546875" style="95" customWidth="1"/>
    <col min="2040" max="2040" width="13.28515625" style="95" customWidth="1"/>
    <col min="2041" max="2226" width="9.140625" style="95"/>
    <col min="2227" max="2228" width="0" style="95" hidden="1" customWidth="1"/>
    <col min="2229" max="2229" width="13.7109375" style="95" customWidth="1"/>
    <col min="2230" max="2230" width="52.85546875" style="95" customWidth="1"/>
    <col min="2231" max="2270" width="0" style="95" hidden="1" customWidth="1"/>
    <col min="2271" max="2272" width="14.85546875" style="95" customWidth="1"/>
    <col min="2273" max="2274" width="0" style="95" hidden="1" customWidth="1"/>
    <col min="2275" max="2275" width="14.85546875" style="95" customWidth="1"/>
    <col min="2276" max="2277" width="0" style="95" hidden="1" customWidth="1"/>
    <col min="2278" max="2278" width="14.85546875" style="95" customWidth="1"/>
    <col min="2279" max="2280" width="0" style="95" hidden="1" customWidth="1"/>
    <col min="2281" max="2281" width="14.85546875" style="95" customWidth="1"/>
    <col min="2282" max="2283" width="0" style="95" hidden="1" customWidth="1"/>
    <col min="2284" max="2284" width="14.85546875" style="95" customWidth="1"/>
    <col min="2285" max="2286" width="0" style="95" hidden="1" customWidth="1"/>
    <col min="2287" max="2288" width="14.85546875" style="95" customWidth="1"/>
    <col min="2289" max="2289" width="44.42578125" style="95" customWidth="1"/>
    <col min="2290" max="2294" width="14.85546875" style="95" customWidth="1"/>
    <col min="2295" max="2295" width="63.85546875" style="95" customWidth="1"/>
    <col min="2296" max="2296" width="13.28515625" style="95" customWidth="1"/>
    <col min="2297" max="2482" width="9.140625" style="95"/>
    <col min="2483" max="2484" width="0" style="95" hidden="1" customWidth="1"/>
    <col min="2485" max="2485" width="13.7109375" style="95" customWidth="1"/>
    <col min="2486" max="2486" width="52.85546875" style="95" customWidth="1"/>
    <col min="2487" max="2526" width="0" style="95" hidden="1" customWidth="1"/>
    <col min="2527" max="2528" width="14.85546875" style="95" customWidth="1"/>
    <col min="2529" max="2530" width="0" style="95" hidden="1" customWidth="1"/>
    <col min="2531" max="2531" width="14.85546875" style="95" customWidth="1"/>
    <col min="2532" max="2533" width="0" style="95" hidden="1" customWidth="1"/>
    <col min="2534" max="2534" width="14.85546875" style="95" customWidth="1"/>
    <col min="2535" max="2536" width="0" style="95" hidden="1" customWidth="1"/>
    <col min="2537" max="2537" width="14.85546875" style="95" customWidth="1"/>
    <col min="2538" max="2539" width="0" style="95" hidden="1" customWidth="1"/>
    <col min="2540" max="2540" width="14.85546875" style="95" customWidth="1"/>
    <col min="2541" max="2542" width="0" style="95" hidden="1" customWidth="1"/>
    <col min="2543" max="2544" width="14.85546875" style="95" customWidth="1"/>
    <col min="2545" max="2545" width="44.42578125" style="95" customWidth="1"/>
    <col min="2546" max="2550" width="14.85546875" style="95" customWidth="1"/>
    <col min="2551" max="2551" width="63.85546875" style="95" customWidth="1"/>
    <col min="2552" max="2552" width="13.28515625" style="95" customWidth="1"/>
    <col min="2553" max="2738" width="9.140625" style="95"/>
    <col min="2739" max="2740" width="0" style="95" hidden="1" customWidth="1"/>
    <col min="2741" max="2741" width="13.7109375" style="95" customWidth="1"/>
    <col min="2742" max="2742" width="52.85546875" style="95" customWidth="1"/>
    <col min="2743" max="2782" width="0" style="95" hidden="1" customWidth="1"/>
    <col min="2783" max="2784" width="14.85546875" style="95" customWidth="1"/>
    <col min="2785" max="2786" width="0" style="95" hidden="1" customWidth="1"/>
    <col min="2787" max="2787" width="14.85546875" style="95" customWidth="1"/>
    <col min="2788" max="2789" width="0" style="95" hidden="1" customWidth="1"/>
    <col min="2790" max="2790" width="14.85546875" style="95" customWidth="1"/>
    <col min="2791" max="2792" width="0" style="95" hidden="1" customWidth="1"/>
    <col min="2793" max="2793" width="14.85546875" style="95" customWidth="1"/>
    <col min="2794" max="2795" width="0" style="95" hidden="1" customWidth="1"/>
    <col min="2796" max="2796" width="14.85546875" style="95" customWidth="1"/>
    <col min="2797" max="2798" width="0" style="95" hidden="1" customWidth="1"/>
    <col min="2799" max="2800" width="14.85546875" style="95" customWidth="1"/>
    <col min="2801" max="2801" width="44.42578125" style="95" customWidth="1"/>
    <col min="2802" max="2806" width="14.85546875" style="95" customWidth="1"/>
    <col min="2807" max="2807" width="63.85546875" style="95" customWidth="1"/>
    <col min="2808" max="2808" width="13.28515625" style="95" customWidth="1"/>
    <col min="2809" max="2994" width="9.140625" style="95"/>
    <col min="2995" max="2996" width="0" style="95" hidden="1" customWidth="1"/>
    <col min="2997" max="2997" width="13.7109375" style="95" customWidth="1"/>
    <col min="2998" max="2998" width="52.85546875" style="95" customWidth="1"/>
    <col min="2999" max="3038" width="0" style="95" hidden="1" customWidth="1"/>
    <col min="3039" max="3040" width="14.85546875" style="95" customWidth="1"/>
    <col min="3041" max="3042" width="0" style="95" hidden="1" customWidth="1"/>
    <col min="3043" max="3043" width="14.85546875" style="95" customWidth="1"/>
    <col min="3044" max="3045" width="0" style="95" hidden="1" customWidth="1"/>
    <col min="3046" max="3046" width="14.85546875" style="95" customWidth="1"/>
    <col min="3047" max="3048" width="0" style="95" hidden="1" customWidth="1"/>
    <col min="3049" max="3049" width="14.85546875" style="95" customWidth="1"/>
    <col min="3050" max="3051" width="0" style="95" hidden="1" customWidth="1"/>
    <col min="3052" max="3052" width="14.85546875" style="95" customWidth="1"/>
    <col min="3053" max="3054" width="0" style="95" hidden="1" customWidth="1"/>
    <col min="3055" max="3056" width="14.85546875" style="95" customWidth="1"/>
    <col min="3057" max="3057" width="44.42578125" style="95" customWidth="1"/>
    <col min="3058" max="3062" width="14.85546875" style="95" customWidth="1"/>
    <col min="3063" max="3063" width="63.85546875" style="95" customWidth="1"/>
    <col min="3064" max="3064" width="13.28515625" style="95" customWidth="1"/>
    <col min="3065" max="3250" width="9.140625" style="95"/>
    <col min="3251" max="3252" width="0" style="95" hidden="1" customWidth="1"/>
    <col min="3253" max="3253" width="13.7109375" style="95" customWidth="1"/>
    <col min="3254" max="3254" width="52.85546875" style="95" customWidth="1"/>
    <col min="3255" max="3294" width="0" style="95" hidden="1" customWidth="1"/>
    <col min="3295" max="3296" width="14.85546875" style="95" customWidth="1"/>
    <col min="3297" max="3298" width="0" style="95" hidden="1" customWidth="1"/>
    <col min="3299" max="3299" width="14.85546875" style="95" customWidth="1"/>
    <col min="3300" max="3301" width="0" style="95" hidden="1" customWidth="1"/>
    <col min="3302" max="3302" width="14.85546875" style="95" customWidth="1"/>
    <col min="3303" max="3304" width="0" style="95" hidden="1" customWidth="1"/>
    <col min="3305" max="3305" width="14.85546875" style="95" customWidth="1"/>
    <col min="3306" max="3307" width="0" style="95" hidden="1" customWidth="1"/>
    <col min="3308" max="3308" width="14.85546875" style="95" customWidth="1"/>
    <col min="3309" max="3310" width="0" style="95" hidden="1" customWidth="1"/>
    <col min="3311" max="3312" width="14.85546875" style="95" customWidth="1"/>
    <col min="3313" max="3313" width="44.42578125" style="95" customWidth="1"/>
    <col min="3314" max="3318" width="14.85546875" style="95" customWidth="1"/>
    <col min="3319" max="3319" width="63.85546875" style="95" customWidth="1"/>
    <col min="3320" max="3320" width="13.28515625" style="95" customWidth="1"/>
    <col min="3321" max="3506" width="9.140625" style="95"/>
    <col min="3507" max="3508" width="0" style="95" hidden="1" customWidth="1"/>
    <col min="3509" max="3509" width="13.7109375" style="95" customWidth="1"/>
    <col min="3510" max="3510" width="52.85546875" style="95" customWidth="1"/>
    <col min="3511" max="3550" width="0" style="95" hidden="1" customWidth="1"/>
    <col min="3551" max="3552" width="14.85546875" style="95" customWidth="1"/>
    <col min="3553" max="3554" width="0" style="95" hidden="1" customWidth="1"/>
    <col min="3555" max="3555" width="14.85546875" style="95" customWidth="1"/>
    <col min="3556" max="3557" width="0" style="95" hidden="1" customWidth="1"/>
    <col min="3558" max="3558" width="14.85546875" style="95" customWidth="1"/>
    <col min="3559" max="3560" width="0" style="95" hidden="1" customWidth="1"/>
    <col min="3561" max="3561" width="14.85546875" style="95" customWidth="1"/>
    <col min="3562" max="3563" width="0" style="95" hidden="1" customWidth="1"/>
    <col min="3564" max="3564" width="14.85546875" style="95" customWidth="1"/>
    <col min="3565" max="3566" width="0" style="95" hidden="1" customWidth="1"/>
    <col min="3567" max="3568" width="14.85546875" style="95" customWidth="1"/>
    <col min="3569" max="3569" width="44.42578125" style="95" customWidth="1"/>
    <col min="3570" max="3574" width="14.85546875" style="95" customWidth="1"/>
    <col min="3575" max="3575" width="63.85546875" style="95" customWidth="1"/>
    <col min="3576" max="3576" width="13.28515625" style="95" customWidth="1"/>
    <col min="3577" max="3762" width="9.140625" style="95"/>
    <col min="3763" max="3764" width="0" style="95" hidden="1" customWidth="1"/>
    <col min="3765" max="3765" width="13.7109375" style="95" customWidth="1"/>
    <col min="3766" max="3766" width="52.85546875" style="95" customWidth="1"/>
    <col min="3767" max="3806" width="0" style="95" hidden="1" customWidth="1"/>
    <col min="3807" max="3808" width="14.85546875" style="95" customWidth="1"/>
    <col min="3809" max="3810" width="0" style="95" hidden="1" customWidth="1"/>
    <col min="3811" max="3811" width="14.85546875" style="95" customWidth="1"/>
    <col min="3812" max="3813" width="0" style="95" hidden="1" customWidth="1"/>
    <col min="3814" max="3814" width="14.85546875" style="95" customWidth="1"/>
    <col min="3815" max="3816" width="0" style="95" hidden="1" customWidth="1"/>
    <col min="3817" max="3817" width="14.85546875" style="95" customWidth="1"/>
    <col min="3818" max="3819" width="0" style="95" hidden="1" customWidth="1"/>
    <col min="3820" max="3820" width="14.85546875" style="95" customWidth="1"/>
    <col min="3821" max="3822" width="0" style="95" hidden="1" customWidth="1"/>
    <col min="3823" max="3824" width="14.85546875" style="95" customWidth="1"/>
    <col min="3825" max="3825" width="44.42578125" style="95" customWidth="1"/>
    <col min="3826" max="3830" width="14.85546875" style="95" customWidth="1"/>
    <col min="3831" max="3831" width="63.85546875" style="95" customWidth="1"/>
    <col min="3832" max="3832" width="13.28515625" style="95" customWidth="1"/>
    <col min="3833" max="4018" width="9.140625" style="95"/>
    <col min="4019" max="4020" width="0" style="95" hidden="1" customWidth="1"/>
    <col min="4021" max="4021" width="13.7109375" style="95" customWidth="1"/>
    <col min="4022" max="4022" width="52.85546875" style="95" customWidth="1"/>
    <col min="4023" max="4062" width="0" style="95" hidden="1" customWidth="1"/>
    <col min="4063" max="4064" width="14.85546875" style="95" customWidth="1"/>
    <col min="4065" max="4066" width="0" style="95" hidden="1" customWidth="1"/>
    <col min="4067" max="4067" width="14.85546875" style="95" customWidth="1"/>
    <col min="4068" max="4069" width="0" style="95" hidden="1" customWidth="1"/>
    <col min="4070" max="4070" width="14.85546875" style="95" customWidth="1"/>
    <col min="4071" max="4072" width="0" style="95" hidden="1" customWidth="1"/>
    <col min="4073" max="4073" width="14.85546875" style="95" customWidth="1"/>
    <col min="4074" max="4075" width="0" style="95" hidden="1" customWidth="1"/>
    <col min="4076" max="4076" width="14.85546875" style="95" customWidth="1"/>
    <col min="4077" max="4078" width="0" style="95" hidden="1" customWidth="1"/>
    <col min="4079" max="4080" width="14.85546875" style="95" customWidth="1"/>
    <col min="4081" max="4081" width="44.42578125" style="95" customWidth="1"/>
    <col min="4082" max="4086" width="14.85546875" style="95" customWidth="1"/>
    <col min="4087" max="4087" width="63.85546875" style="95" customWidth="1"/>
    <col min="4088" max="4088" width="13.28515625" style="95" customWidth="1"/>
    <col min="4089" max="4274" width="9.140625" style="95"/>
    <col min="4275" max="4276" width="0" style="95" hidden="1" customWidth="1"/>
    <col min="4277" max="4277" width="13.7109375" style="95" customWidth="1"/>
    <col min="4278" max="4278" width="52.85546875" style="95" customWidth="1"/>
    <col min="4279" max="4318" width="0" style="95" hidden="1" customWidth="1"/>
    <col min="4319" max="4320" width="14.85546875" style="95" customWidth="1"/>
    <col min="4321" max="4322" width="0" style="95" hidden="1" customWidth="1"/>
    <col min="4323" max="4323" width="14.85546875" style="95" customWidth="1"/>
    <col min="4324" max="4325" width="0" style="95" hidden="1" customWidth="1"/>
    <col min="4326" max="4326" width="14.85546875" style="95" customWidth="1"/>
    <col min="4327" max="4328" width="0" style="95" hidden="1" customWidth="1"/>
    <col min="4329" max="4329" width="14.85546875" style="95" customWidth="1"/>
    <col min="4330" max="4331" width="0" style="95" hidden="1" customWidth="1"/>
    <col min="4332" max="4332" width="14.85546875" style="95" customWidth="1"/>
    <col min="4333" max="4334" width="0" style="95" hidden="1" customWidth="1"/>
    <col min="4335" max="4336" width="14.85546875" style="95" customWidth="1"/>
    <col min="4337" max="4337" width="44.42578125" style="95" customWidth="1"/>
    <col min="4338" max="4342" width="14.85546875" style="95" customWidth="1"/>
    <col min="4343" max="4343" width="63.85546875" style="95" customWidth="1"/>
    <col min="4344" max="4344" width="13.28515625" style="95" customWidth="1"/>
    <col min="4345" max="4530" width="9.140625" style="95"/>
    <col min="4531" max="4532" width="0" style="95" hidden="1" customWidth="1"/>
    <col min="4533" max="4533" width="13.7109375" style="95" customWidth="1"/>
    <col min="4534" max="4534" width="52.85546875" style="95" customWidth="1"/>
    <col min="4535" max="4574" width="0" style="95" hidden="1" customWidth="1"/>
    <col min="4575" max="4576" width="14.85546875" style="95" customWidth="1"/>
    <col min="4577" max="4578" width="0" style="95" hidden="1" customWidth="1"/>
    <col min="4579" max="4579" width="14.85546875" style="95" customWidth="1"/>
    <col min="4580" max="4581" width="0" style="95" hidden="1" customWidth="1"/>
    <col min="4582" max="4582" width="14.85546875" style="95" customWidth="1"/>
    <col min="4583" max="4584" width="0" style="95" hidden="1" customWidth="1"/>
    <col min="4585" max="4585" width="14.85546875" style="95" customWidth="1"/>
    <col min="4586" max="4587" width="0" style="95" hidden="1" customWidth="1"/>
    <col min="4588" max="4588" width="14.85546875" style="95" customWidth="1"/>
    <col min="4589" max="4590" width="0" style="95" hidden="1" customWidth="1"/>
    <col min="4591" max="4592" width="14.85546875" style="95" customWidth="1"/>
    <col min="4593" max="4593" width="44.42578125" style="95" customWidth="1"/>
    <col min="4594" max="4598" width="14.85546875" style="95" customWidth="1"/>
    <col min="4599" max="4599" width="63.85546875" style="95" customWidth="1"/>
    <col min="4600" max="4600" width="13.28515625" style="95" customWidth="1"/>
    <col min="4601" max="4786" width="9.140625" style="95"/>
    <col min="4787" max="4788" width="0" style="95" hidden="1" customWidth="1"/>
    <col min="4789" max="4789" width="13.7109375" style="95" customWidth="1"/>
    <col min="4790" max="4790" width="52.85546875" style="95" customWidth="1"/>
    <col min="4791" max="4830" width="0" style="95" hidden="1" customWidth="1"/>
    <col min="4831" max="4832" width="14.85546875" style="95" customWidth="1"/>
    <col min="4833" max="4834" width="0" style="95" hidden="1" customWidth="1"/>
    <col min="4835" max="4835" width="14.85546875" style="95" customWidth="1"/>
    <col min="4836" max="4837" width="0" style="95" hidden="1" customWidth="1"/>
    <col min="4838" max="4838" width="14.85546875" style="95" customWidth="1"/>
    <col min="4839" max="4840" width="0" style="95" hidden="1" customWidth="1"/>
    <col min="4841" max="4841" width="14.85546875" style="95" customWidth="1"/>
    <col min="4842" max="4843" width="0" style="95" hidden="1" customWidth="1"/>
    <col min="4844" max="4844" width="14.85546875" style="95" customWidth="1"/>
    <col min="4845" max="4846" width="0" style="95" hidden="1" customWidth="1"/>
    <col min="4847" max="4848" width="14.85546875" style="95" customWidth="1"/>
    <col min="4849" max="4849" width="44.42578125" style="95" customWidth="1"/>
    <col min="4850" max="4854" width="14.85546875" style="95" customWidth="1"/>
    <col min="4855" max="4855" width="63.85546875" style="95" customWidth="1"/>
    <col min="4856" max="4856" width="13.28515625" style="95" customWidth="1"/>
    <col min="4857" max="5042" width="9.140625" style="95"/>
    <col min="5043" max="5044" width="0" style="95" hidden="1" customWidth="1"/>
    <col min="5045" max="5045" width="13.7109375" style="95" customWidth="1"/>
    <col min="5046" max="5046" width="52.85546875" style="95" customWidth="1"/>
    <col min="5047" max="5086" width="0" style="95" hidden="1" customWidth="1"/>
    <col min="5087" max="5088" width="14.85546875" style="95" customWidth="1"/>
    <col min="5089" max="5090" width="0" style="95" hidden="1" customWidth="1"/>
    <col min="5091" max="5091" width="14.85546875" style="95" customWidth="1"/>
    <col min="5092" max="5093" width="0" style="95" hidden="1" customWidth="1"/>
    <col min="5094" max="5094" width="14.85546875" style="95" customWidth="1"/>
    <col min="5095" max="5096" width="0" style="95" hidden="1" customWidth="1"/>
    <col min="5097" max="5097" width="14.85546875" style="95" customWidth="1"/>
    <col min="5098" max="5099" width="0" style="95" hidden="1" customWidth="1"/>
    <col min="5100" max="5100" width="14.85546875" style="95" customWidth="1"/>
    <col min="5101" max="5102" width="0" style="95" hidden="1" customWidth="1"/>
    <col min="5103" max="5104" width="14.85546875" style="95" customWidth="1"/>
    <col min="5105" max="5105" width="44.42578125" style="95" customWidth="1"/>
    <col min="5106" max="5110" width="14.85546875" style="95" customWidth="1"/>
    <col min="5111" max="5111" width="63.85546875" style="95" customWidth="1"/>
    <col min="5112" max="5112" width="13.28515625" style="95" customWidth="1"/>
    <col min="5113" max="5298" width="9.140625" style="95"/>
    <col min="5299" max="5300" width="0" style="95" hidden="1" customWidth="1"/>
    <col min="5301" max="5301" width="13.7109375" style="95" customWidth="1"/>
    <col min="5302" max="5302" width="52.85546875" style="95" customWidth="1"/>
    <col min="5303" max="5342" width="0" style="95" hidden="1" customWidth="1"/>
    <col min="5343" max="5344" width="14.85546875" style="95" customWidth="1"/>
    <col min="5345" max="5346" width="0" style="95" hidden="1" customWidth="1"/>
    <col min="5347" max="5347" width="14.85546875" style="95" customWidth="1"/>
    <col min="5348" max="5349" width="0" style="95" hidden="1" customWidth="1"/>
    <col min="5350" max="5350" width="14.85546875" style="95" customWidth="1"/>
    <col min="5351" max="5352" width="0" style="95" hidden="1" customWidth="1"/>
    <col min="5353" max="5353" width="14.85546875" style="95" customWidth="1"/>
    <col min="5354" max="5355" width="0" style="95" hidden="1" customWidth="1"/>
    <col min="5356" max="5356" width="14.85546875" style="95" customWidth="1"/>
    <col min="5357" max="5358" width="0" style="95" hidden="1" customWidth="1"/>
    <col min="5359" max="5360" width="14.85546875" style="95" customWidth="1"/>
    <col min="5361" max="5361" width="44.42578125" style="95" customWidth="1"/>
    <col min="5362" max="5366" width="14.85546875" style="95" customWidth="1"/>
    <col min="5367" max="5367" width="63.85546875" style="95" customWidth="1"/>
    <col min="5368" max="5368" width="13.28515625" style="95" customWidth="1"/>
    <col min="5369" max="5554" width="9.140625" style="95"/>
    <col min="5555" max="5556" width="0" style="95" hidden="1" customWidth="1"/>
    <col min="5557" max="5557" width="13.7109375" style="95" customWidth="1"/>
    <col min="5558" max="5558" width="52.85546875" style="95" customWidth="1"/>
    <col min="5559" max="5598" width="0" style="95" hidden="1" customWidth="1"/>
    <col min="5599" max="5600" width="14.85546875" style="95" customWidth="1"/>
    <col min="5601" max="5602" width="0" style="95" hidden="1" customWidth="1"/>
    <col min="5603" max="5603" width="14.85546875" style="95" customWidth="1"/>
    <col min="5604" max="5605" width="0" style="95" hidden="1" customWidth="1"/>
    <col min="5606" max="5606" width="14.85546875" style="95" customWidth="1"/>
    <col min="5607" max="5608" width="0" style="95" hidden="1" customWidth="1"/>
    <col min="5609" max="5609" width="14.85546875" style="95" customWidth="1"/>
    <col min="5610" max="5611" width="0" style="95" hidden="1" customWidth="1"/>
    <col min="5612" max="5612" width="14.85546875" style="95" customWidth="1"/>
    <col min="5613" max="5614" width="0" style="95" hidden="1" customWidth="1"/>
    <col min="5615" max="5616" width="14.85546875" style="95" customWidth="1"/>
    <col min="5617" max="5617" width="44.42578125" style="95" customWidth="1"/>
    <col min="5618" max="5622" width="14.85546875" style="95" customWidth="1"/>
    <col min="5623" max="5623" width="63.85546875" style="95" customWidth="1"/>
    <col min="5624" max="5624" width="13.28515625" style="95" customWidth="1"/>
    <col min="5625" max="5810" width="9.140625" style="95"/>
    <col min="5811" max="5812" width="0" style="95" hidden="1" customWidth="1"/>
    <col min="5813" max="5813" width="13.7109375" style="95" customWidth="1"/>
    <col min="5814" max="5814" width="52.85546875" style="95" customWidth="1"/>
    <col min="5815" max="5854" width="0" style="95" hidden="1" customWidth="1"/>
    <col min="5855" max="5856" width="14.85546875" style="95" customWidth="1"/>
    <col min="5857" max="5858" width="0" style="95" hidden="1" customWidth="1"/>
    <col min="5859" max="5859" width="14.85546875" style="95" customWidth="1"/>
    <col min="5860" max="5861" width="0" style="95" hidden="1" customWidth="1"/>
    <col min="5862" max="5862" width="14.85546875" style="95" customWidth="1"/>
    <col min="5863" max="5864" width="0" style="95" hidden="1" customWidth="1"/>
    <col min="5865" max="5865" width="14.85546875" style="95" customWidth="1"/>
    <col min="5866" max="5867" width="0" style="95" hidden="1" customWidth="1"/>
    <col min="5868" max="5868" width="14.85546875" style="95" customWidth="1"/>
    <col min="5869" max="5870" width="0" style="95" hidden="1" customWidth="1"/>
    <col min="5871" max="5872" width="14.85546875" style="95" customWidth="1"/>
    <col min="5873" max="5873" width="44.42578125" style="95" customWidth="1"/>
    <col min="5874" max="5878" width="14.85546875" style="95" customWidth="1"/>
    <col min="5879" max="5879" width="63.85546875" style="95" customWidth="1"/>
    <col min="5880" max="5880" width="13.28515625" style="95" customWidth="1"/>
    <col min="5881" max="6066" width="9.140625" style="95"/>
    <col min="6067" max="6068" width="0" style="95" hidden="1" customWidth="1"/>
    <col min="6069" max="6069" width="13.7109375" style="95" customWidth="1"/>
    <col min="6070" max="6070" width="52.85546875" style="95" customWidth="1"/>
    <col min="6071" max="6110" width="0" style="95" hidden="1" customWidth="1"/>
    <col min="6111" max="6112" width="14.85546875" style="95" customWidth="1"/>
    <col min="6113" max="6114" width="0" style="95" hidden="1" customWidth="1"/>
    <col min="6115" max="6115" width="14.85546875" style="95" customWidth="1"/>
    <col min="6116" max="6117" width="0" style="95" hidden="1" customWidth="1"/>
    <col min="6118" max="6118" width="14.85546875" style="95" customWidth="1"/>
    <col min="6119" max="6120" width="0" style="95" hidden="1" customWidth="1"/>
    <col min="6121" max="6121" width="14.85546875" style="95" customWidth="1"/>
    <col min="6122" max="6123" width="0" style="95" hidden="1" customWidth="1"/>
    <col min="6124" max="6124" width="14.85546875" style="95" customWidth="1"/>
    <col min="6125" max="6126" width="0" style="95" hidden="1" customWidth="1"/>
    <col min="6127" max="6128" width="14.85546875" style="95" customWidth="1"/>
    <col min="6129" max="6129" width="44.42578125" style="95" customWidth="1"/>
    <col min="6130" max="6134" width="14.85546875" style="95" customWidth="1"/>
    <col min="6135" max="6135" width="63.85546875" style="95" customWidth="1"/>
    <col min="6136" max="6136" width="13.28515625" style="95" customWidth="1"/>
    <col min="6137" max="6322" width="9.140625" style="95"/>
    <col min="6323" max="6324" width="0" style="95" hidden="1" customWidth="1"/>
    <col min="6325" max="6325" width="13.7109375" style="95" customWidth="1"/>
    <col min="6326" max="6326" width="52.85546875" style="95" customWidth="1"/>
    <col min="6327" max="6366" width="0" style="95" hidden="1" customWidth="1"/>
    <col min="6367" max="6368" width="14.85546875" style="95" customWidth="1"/>
    <col min="6369" max="6370" width="0" style="95" hidden="1" customWidth="1"/>
    <col min="6371" max="6371" width="14.85546875" style="95" customWidth="1"/>
    <col min="6372" max="6373" width="0" style="95" hidden="1" customWidth="1"/>
    <col min="6374" max="6374" width="14.85546875" style="95" customWidth="1"/>
    <col min="6375" max="6376" width="0" style="95" hidden="1" customWidth="1"/>
    <col min="6377" max="6377" width="14.85546875" style="95" customWidth="1"/>
    <col min="6378" max="6379" width="0" style="95" hidden="1" customWidth="1"/>
    <col min="6380" max="6380" width="14.85546875" style="95" customWidth="1"/>
    <col min="6381" max="6382" width="0" style="95" hidden="1" customWidth="1"/>
    <col min="6383" max="6384" width="14.85546875" style="95" customWidth="1"/>
    <col min="6385" max="6385" width="44.42578125" style="95" customWidth="1"/>
    <col min="6386" max="6390" width="14.85546875" style="95" customWidth="1"/>
    <col min="6391" max="6391" width="63.85546875" style="95" customWidth="1"/>
    <col min="6392" max="6392" width="13.28515625" style="95" customWidth="1"/>
    <col min="6393" max="6578" width="9.140625" style="95"/>
    <col min="6579" max="6580" width="0" style="95" hidden="1" customWidth="1"/>
    <col min="6581" max="6581" width="13.7109375" style="95" customWidth="1"/>
    <col min="6582" max="6582" width="52.85546875" style="95" customWidth="1"/>
    <col min="6583" max="6622" width="0" style="95" hidden="1" customWidth="1"/>
    <col min="6623" max="6624" width="14.85546875" style="95" customWidth="1"/>
    <col min="6625" max="6626" width="0" style="95" hidden="1" customWidth="1"/>
    <col min="6627" max="6627" width="14.85546875" style="95" customWidth="1"/>
    <col min="6628" max="6629" width="0" style="95" hidden="1" customWidth="1"/>
    <col min="6630" max="6630" width="14.85546875" style="95" customWidth="1"/>
    <col min="6631" max="6632" width="0" style="95" hidden="1" customWidth="1"/>
    <col min="6633" max="6633" width="14.85546875" style="95" customWidth="1"/>
    <col min="6634" max="6635" width="0" style="95" hidden="1" customWidth="1"/>
    <col min="6636" max="6636" width="14.85546875" style="95" customWidth="1"/>
    <col min="6637" max="6638" width="0" style="95" hidden="1" customWidth="1"/>
    <col min="6639" max="6640" width="14.85546875" style="95" customWidth="1"/>
    <col min="6641" max="6641" width="44.42578125" style="95" customWidth="1"/>
    <col min="6642" max="6646" width="14.85546875" style="95" customWidth="1"/>
    <col min="6647" max="6647" width="63.85546875" style="95" customWidth="1"/>
    <col min="6648" max="6648" width="13.28515625" style="95" customWidth="1"/>
    <col min="6649" max="6834" width="9.140625" style="95"/>
    <col min="6835" max="6836" width="0" style="95" hidden="1" customWidth="1"/>
    <col min="6837" max="6837" width="13.7109375" style="95" customWidth="1"/>
    <col min="6838" max="6838" width="52.85546875" style="95" customWidth="1"/>
    <col min="6839" max="6878" width="0" style="95" hidden="1" customWidth="1"/>
    <col min="6879" max="6880" width="14.85546875" style="95" customWidth="1"/>
    <col min="6881" max="6882" width="0" style="95" hidden="1" customWidth="1"/>
    <col min="6883" max="6883" width="14.85546875" style="95" customWidth="1"/>
    <col min="6884" max="6885" width="0" style="95" hidden="1" customWidth="1"/>
    <col min="6886" max="6886" width="14.85546875" style="95" customWidth="1"/>
    <col min="6887" max="6888" width="0" style="95" hidden="1" customWidth="1"/>
    <col min="6889" max="6889" width="14.85546875" style="95" customWidth="1"/>
    <col min="6890" max="6891" width="0" style="95" hidden="1" customWidth="1"/>
    <col min="6892" max="6892" width="14.85546875" style="95" customWidth="1"/>
    <col min="6893" max="6894" width="0" style="95" hidden="1" customWidth="1"/>
    <col min="6895" max="6896" width="14.85546875" style="95" customWidth="1"/>
    <col min="6897" max="6897" width="44.42578125" style="95" customWidth="1"/>
    <col min="6898" max="6902" width="14.85546875" style="95" customWidth="1"/>
    <col min="6903" max="6903" width="63.85546875" style="95" customWidth="1"/>
    <col min="6904" max="6904" width="13.28515625" style="95" customWidth="1"/>
    <col min="6905" max="7090" width="9.140625" style="95"/>
    <col min="7091" max="7092" width="0" style="95" hidden="1" customWidth="1"/>
    <col min="7093" max="7093" width="13.7109375" style="95" customWidth="1"/>
    <col min="7094" max="7094" width="52.85546875" style="95" customWidth="1"/>
    <col min="7095" max="7134" width="0" style="95" hidden="1" customWidth="1"/>
    <col min="7135" max="7136" width="14.85546875" style="95" customWidth="1"/>
    <col min="7137" max="7138" width="0" style="95" hidden="1" customWidth="1"/>
    <col min="7139" max="7139" width="14.85546875" style="95" customWidth="1"/>
    <col min="7140" max="7141" width="0" style="95" hidden="1" customWidth="1"/>
    <col min="7142" max="7142" width="14.85546875" style="95" customWidth="1"/>
    <col min="7143" max="7144" width="0" style="95" hidden="1" customWidth="1"/>
    <col min="7145" max="7145" width="14.85546875" style="95" customWidth="1"/>
    <col min="7146" max="7147" width="0" style="95" hidden="1" customWidth="1"/>
    <col min="7148" max="7148" width="14.85546875" style="95" customWidth="1"/>
    <col min="7149" max="7150" width="0" style="95" hidden="1" customWidth="1"/>
    <col min="7151" max="7152" width="14.85546875" style="95" customWidth="1"/>
    <col min="7153" max="7153" width="44.42578125" style="95" customWidth="1"/>
    <col min="7154" max="7158" width="14.85546875" style="95" customWidth="1"/>
    <col min="7159" max="7159" width="63.85546875" style="95" customWidth="1"/>
    <col min="7160" max="7160" width="13.28515625" style="95" customWidth="1"/>
    <col min="7161" max="7346" width="9.140625" style="95"/>
    <col min="7347" max="7348" width="0" style="95" hidden="1" customWidth="1"/>
    <col min="7349" max="7349" width="13.7109375" style="95" customWidth="1"/>
    <col min="7350" max="7350" width="52.85546875" style="95" customWidth="1"/>
    <col min="7351" max="7390" width="0" style="95" hidden="1" customWidth="1"/>
    <col min="7391" max="7392" width="14.85546875" style="95" customWidth="1"/>
    <col min="7393" max="7394" width="0" style="95" hidden="1" customWidth="1"/>
    <col min="7395" max="7395" width="14.85546875" style="95" customWidth="1"/>
    <col min="7396" max="7397" width="0" style="95" hidden="1" customWidth="1"/>
    <col min="7398" max="7398" width="14.85546875" style="95" customWidth="1"/>
    <col min="7399" max="7400" width="0" style="95" hidden="1" customWidth="1"/>
    <col min="7401" max="7401" width="14.85546875" style="95" customWidth="1"/>
    <col min="7402" max="7403" width="0" style="95" hidden="1" customWidth="1"/>
    <col min="7404" max="7404" width="14.85546875" style="95" customWidth="1"/>
    <col min="7405" max="7406" width="0" style="95" hidden="1" customWidth="1"/>
    <col min="7407" max="7408" width="14.85546875" style="95" customWidth="1"/>
    <col min="7409" max="7409" width="44.42578125" style="95" customWidth="1"/>
    <col min="7410" max="7414" width="14.85546875" style="95" customWidth="1"/>
    <col min="7415" max="7415" width="63.85546875" style="95" customWidth="1"/>
    <col min="7416" max="7416" width="13.28515625" style="95" customWidth="1"/>
    <col min="7417" max="7602" width="9.140625" style="95"/>
    <col min="7603" max="7604" width="0" style="95" hidden="1" customWidth="1"/>
    <col min="7605" max="7605" width="13.7109375" style="95" customWidth="1"/>
    <col min="7606" max="7606" width="52.85546875" style="95" customWidth="1"/>
    <col min="7607" max="7646" width="0" style="95" hidden="1" customWidth="1"/>
    <col min="7647" max="7648" width="14.85546875" style="95" customWidth="1"/>
    <col min="7649" max="7650" width="0" style="95" hidden="1" customWidth="1"/>
    <col min="7651" max="7651" width="14.85546875" style="95" customWidth="1"/>
    <col min="7652" max="7653" width="0" style="95" hidden="1" customWidth="1"/>
    <col min="7654" max="7654" width="14.85546875" style="95" customWidth="1"/>
    <col min="7655" max="7656" width="0" style="95" hidden="1" customWidth="1"/>
    <col min="7657" max="7657" width="14.85546875" style="95" customWidth="1"/>
    <col min="7658" max="7659" width="0" style="95" hidden="1" customWidth="1"/>
    <col min="7660" max="7660" width="14.85546875" style="95" customWidth="1"/>
    <col min="7661" max="7662" width="0" style="95" hidden="1" customWidth="1"/>
    <col min="7663" max="7664" width="14.85546875" style="95" customWidth="1"/>
    <col min="7665" max="7665" width="44.42578125" style="95" customWidth="1"/>
    <col min="7666" max="7670" width="14.85546875" style="95" customWidth="1"/>
    <col min="7671" max="7671" width="63.85546875" style="95" customWidth="1"/>
    <col min="7672" max="7672" width="13.28515625" style="95" customWidth="1"/>
    <col min="7673" max="7858" width="9.140625" style="95"/>
    <col min="7859" max="7860" width="0" style="95" hidden="1" customWidth="1"/>
    <col min="7861" max="7861" width="13.7109375" style="95" customWidth="1"/>
    <col min="7862" max="7862" width="52.85546875" style="95" customWidth="1"/>
    <col min="7863" max="7902" width="0" style="95" hidden="1" customWidth="1"/>
    <col min="7903" max="7904" width="14.85546875" style="95" customWidth="1"/>
    <col min="7905" max="7906" width="0" style="95" hidden="1" customWidth="1"/>
    <col min="7907" max="7907" width="14.85546875" style="95" customWidth="1"/>
    <col min="7908" max="7909" width="0" style="95" hidden="1" customWidth="1"/>
    <col min="7910" max="7910" width="14.85546875" style="95" customWidth="1"/>
    <col min="7911" max="7912" width="0" style="95" hidden="1" customWidth="1"/>
    <col min="7913" max="7913" width="14.85546875" style="95" customWidth="1"/>
    <col min="7914" max="7915" width="0" style="95" hidden="1" customWidth="1"/>
    <col min="7916" max="7916" width="14.85546875" style="95" customWidth="1"/>
    <col min="7917" max="7918" width="0" style="95" hidden="1" customWidth="1"/>
    <col min="7919" max="7920" width="14.85546875" style="95" customWidth="1"/>
    <col min="7921" max="7921" width="44.42578125" style="95" customWidth="1"/>
    <col min="7922" max="7926" width="14.85546875" style="95" customWidth="1"/>
    <col min="7927" max="7927" width="63.85546875" style="95" customWidth="1"/>
    <col min="7928" max="7928" width="13.28515625" style="95" customWidth="1"/>
    <col min="7929" max="8114" width="9.140625" style="95"/>
    <col min="8115" max="8116" width="0" style="95" hidden="1" customWidth="1"/>
    <col min="8117" max="8117" width="13.7109375" style="95" customWidth="1"/>
    <col min="8118" max="8118" width="52.85546875" style="95" customWidth="1"/>
    <col min="8119" max="8158" width="0" style="95" hidden="1" customWidth="1"/>
    <col min="8159" max="8160" width="14.85546875" style="95" customWidth="1"/>
    <col min="8161" max="8162" width="0" style="95" hidden="1" customWidth="1"/>
    <col min="8163" max="8163" width="14.85546875" style="95" customWidth="1"/>
    <col min="8164" max="8165" width="0" style="95" hidden="1" customWidth="1"/>
    <col min="8166" max="8166" width="14.85546875" style="95" customWidth="1"/>
    <col min="8167" max="8168" width="0" style="95" hidden="1" customWidth="1"/>
    <col min="8169" max="8169" width="14.85546875" style="95" customWidth="1"/>
    <col min="8170" max="8171" width="0" style="95" hidden="1" customWidth="1"/>
    <col min="8172" max="8172" width="14.85546875" style="95" customWidth="1"/>
    <col min="8173" max="8174" width="0" style="95" hidden="1" customWidth="1"/>
    <col min="8175" max="8176" width="14.85546875" style="95" customWidth="1"/>
    <col min="8177" max="8177" width="44.42578125" style="95" customWidth="1"/>
    <col min="8178" max="8182" width="14.85546875" style="95" customWidth="1"/>
    <col min="8183" max="8183" width="63.85546875" style="95" customWidth="1"/>
    <col min="8184" max="8184" width="13.28515625" style="95" customWidth="1"/>
    <col min="8185" max="8370" width="9.140625" style="95"/>
    <col min="8371" max="8372" width="0" style="95" hidden="1" customWidth="1"/>
    <col min="8373" max="8373" width="13.7109375" style="95" customWidth="1"/>
    <col min="8374" max="8374" width="52.85546875" style="95" customWidth="1"/>
    <col min="8375" max="8414" width="0" style="95" hidden="1" customWidth="1"/>
    <col min="8415" max="8416" width="14.85546875" style="95" customWidth="1"/>
    <col min="8417" max="8418" width="0" style="95" hidden="1" customWidth="1"/>
    <col min="8419" max="8419" width="14.85546875" style="95" customWidth="1"/>
    <col min="8420" max="8421" width="0" style="95" hidden="1" customWidth="1"/>
    <col min="8422" max="8422" width="14.85546875" style="95" customWidth="1"/>
    <col min="8423" max="8424" width="0" style="95" hidden="1" customWidth="1"/>
    <col min="8425" max="8425" width="14.85546875" style="95" customWidth="1"/>
    <col min="8426" max="8427" width="0" style="95" hidden="1" customWidth="1"/>
    <col min="8428" max="8428" width="14.85546875" style="95" customWidth="1"/>
    <col min="8429" max="8430" width="0" style="95" hidden="1" customWidth="1"/>
    <col min="8431" max="8432" width="14.85546875" style="95" customWidth="1"/>
    <col min="8433" max="8433" width="44.42578125" style="95" customWidth="1"/>
    <col min="8434" max="8438" width="14.85546875" style="95" customWidth="1"/>
    <col min="8439" max="8439" width="63.85546875" style="95" customWidth="1"/>
    <col min="8440" max="8440" width="13.28515625" style="95" customWidth="1"/>
    <col min="8441" max="8626" width="9.140625" style="95"/>
    <col min="8627" max="8628" width="0" style="95" hidden="1" customWidth="1"/>
    <col min="8629" max="8629" width="13.7109375" style="95" customWidth="1"/>
    <col min="8630" max="8630" width="52.85546875" style="95" customWidth="1"/>
    <col min="8631" max="8670" width="0" style="95" hidden="1" customWidth="1"/>
    <col min="8671" max="8672" width="14.85546875" style="95" customWidth="1"/>
    <col min="8673" max="8674" width="0" style="95" hidden="1" customWidth="1"/>
    <col min="8675" max="8675" width="14.85546875" style="95" customWidth="1"/>
    <col min="8676" max="8677" width="0" style="95" hidden="1" customWidth="1"/>
    <col min="8678" max="8678" width="14.85546875" style="95" customWidth="1"/>
    <col min="8679" max="8680" width="0" style="95" hidden="1" customWidth="1"/>
    <col min="8681" max="8681" width="14.85546875" style="95" customWidth="1"/>
    <col min="8682" max="8683" width="0" style="95" hidden="1" customWidth="1"/>
    <col min="8684" max="8684" width="14.85546875" style="95" customWidth="1"/>
    <col min="8685" max="8686" width="0" style="95" hidden="1" customWidth="1"/>
    <col min="8687" max="8688" width="14.85546875" style="95" customWidth="1"/>
    <col min="8689" max="8689" width="44.42578125" style="95" customWidth="1"/>
    <col min="8690" max="8694" width="14.85546875" style="95" customWidth="1"/>
    <col min="8695" max="8695" width="63.85546875" style="95" customWidth="1"/>
    <col min="8696" max="8696" width="13.28515625" style="95" customWidth="1"/>
    <col min="8697" max="8882" width="9.140625" style="95"/>
    <col min="8883" max="8884" width="0" style="95" hidden="1" customWidth="1"/>
    <col min="8885" max="8885" width="13.7109375" style="95" customWidth="1"/>
    <col min="8886" max="8886" width="52.85546875" style="95" customWidth="1"/>
    <col min="8887" max="8926" width="0" style="95" hidden="1" customWidth="1"/>
    <col min="8927" max="8928" width="14.85546875" style="95" customWidth="1"/>
    <col min="8929" max="8930" width="0" style="95" hidden="1" customWidth="1"/>
    <col min="8931" max="8931" width="14.85546875" style="95" customWidth="1"/>
    <col min="8932" max="8933" width="0" style="95" hidden="1" customWidth="1"/>
    <col min="8934" max="8934" width="14.85546875" style="95" customWidth="1"/>
    <col min="8935" max="8936" width="0" style="95" hidden="1" customWidth="1"/>
    <col min="8937" max="8937" width="14.85546875" style="95" customWidth="1"/>
    <col min="8938" max="8939" width="0" style="95" hidden="1" customWidth="1"/>
    <col min="8940" max="8940" width="14.85546875" style="95" customWidth="1"/>
    <col min="8941" max="8942" width="0" style="95" hidden="1" customWidth="1"/>
    <col min="8943" max="8944" width="14.85546875" style="95" customWidth="1"/>
    <col min="8945" max="8945" width="44.42578125" style="95" customWidth="1"/>
    <col min="8946" max="8950" width="14.85546875" style="95" customWidth="1"/>
    <col min="8951" max="8951" width="63.85546875" style="95" customWidth="1"/>
    <col min="8952" max="8952" width="13.28515625" style="95" customWidth="1"/>
    <col min="8953" max="9138" width="9.140625" style="95"/>
    <col min="9139" max="9140" width="0" style="95" hidden="1" customWidth="1"/>
    <col min="9141" max="9141" width="13.7109375" style="95" customWidth="1"/>
    <col min="9142" max="9142" width="52.85546875" style="95" customWidth="1"/>
    <col min="9143" max="9182" width="0" style="95" hidden="1" customWidth="1"/>
    <col min="9183" max="9184" width="14.85546875" style="95" customWidth="1"/>
    <col min="9185" max="9186" width="0" style="95" hidden="1" customWidth="1"/>
    <col min="9187" max="9187" width="14.85546875" style="95" customWidth="1"/>
    <col min="9188" max="9189" width="0" style="95" hidden="1" customWidth="1"/>
    <col min="9190" max="9190" width="14.85546875" style="95" customWidth="1"/>
    <col min="9191" max="9192" width="0" style="95" hidden="1" customWidth="1"/>
    <col min="9193" max="9193" width="14.85546875" style="95" customWidth="1"/>
    <col min="9194" max="9195" width="0" style="95" hidden="1" customWidth="1"/>
    <col min="9196" max="9196" width="14.85546875" style="95" customWidth="1"/>
    <col min="9197" max="9198" width="0" style="95" hidden="1" customWidth="1"/>
    <col min="9199" max="9200" width="14.85546875" style="95" customWidth="1"/>
    <col min="9201" max="9201" width="44.42578125" style="95" customWidth="1"/>
    <col min="9202" max="9206" width="14.85546875" style="95" customWidth="1"/>
    <col min="9207" max="9207" width="63.85546875" style="95" customWidth="1"/>
    <col min="9208" max="9208" width="13.28515625" style="95" customWidth="1"/>
    <col min="9209" max="9394" width="9.140625" style="95"/>
    <col min="9395" max="9396" width="0" style="95" hidden="1" customWidth="1"/>
    <col min="9397" max="9397" width="13.7109375" style="95" customWidth="1"/>
    <col min="9398" max="9398" width="52.85546875" style="95" customWidth="1"/>
    <col min="9399" max="9438" width="0" style="95" hidden="1" customWidth="1"/>
    <col min="9439" max="9440" width="14.85546875" style="95" customWidth="1"/>
    <col min="9441" max="9442" width="0" style="95" hidden="1" customWidth="1"/>
    <col min="9443" max="9443" width="14.85546875" style="95" customWidth="1"/>
    <col min="9444" max="9445" width="0" style="95" hidden="1" customWidth="1"/>
    <col min="9446" max="9446" width="14.85546875" style="95" customWidth="1"/>
    <col min="9447" max="9448" width="0" style="95" hidden="1" customWidth="1"/>
    <col min="9449" max="9449" width="14.85546875" style="95" customWidth="1"/>
    <col min="9450" max="9451" width="0" style="95" hidden="1" customWidth="1"/>
    <col min="9452" max="9452" width="14.85546875" style="95" customWidth="1"/>
    <col min="9453" max="9454" width="0" style="95" hidden="1" customWidth="1"/>
    <col min="9455" max="9456" width="14.85546875" style="95" customWidth="1"/>
    <col min="9457" max="9457" width="44.42578125" style="95" customWidth="1"/>
    <col min="9458" max="9462" width="14.85546875" style="95" customWidth="1"/>
    <col min="9463" max="9463" width="63.85546875" style="95" customWidth="1"/>
    <col min="9464" max="9464" width="13.28515625" style="95" customWidth="1"/>
    <col min="9465" max="9650" width="9.140625" style="95"/>
    <col min="9651" max="9652" width="0" style="95" hidden="1" customWidth="1"/>
    <col min="9653" max="9653" width="13.7109375" style="95" customWidth="1"/>
    <col min="9654" max="9654" width="52.85546875" style="95" customWidth="1"/>
    <col min="9655" max="9694" width="0" style="95" hidden="1" customWidth="1"/>
    <col min="9695" max="9696" width="14.85546875" style="95" customWidth="1"/>
    <col min="9697" max="9698" width="0" style="95" hidden="1" customWidth="1"/>
    <col min="9699" max="9699" width="14.85546875" style="95" customWidth="1"/>
    <col min="9700" max="9701" width="0" style="95" hidden="1" customWidth="1"/>
    <col min="9702" max="9702" width="14.85546875" style="95" customWidth="1"/>
    <col min="9703" max="9704" width="0" style="95" hidden="1" customWidth="1"/>
    <col min="9705" max="9705" width="14.85546875" style="95" customWidth="1"/>
    <col min="9706" max="9707" width="0" style="95" hidden="1" customWidth="1"/>
    <col min="9708" max="9708" width="14.85546875" style="95" customWidth="1"/>
    <col min="9709" max="9710" width="0" style="95" hidden="1" customWidth="1"/>
    <col min="9711" max="9712" width="14.85546875" style="95" customWidth="1"/>
    <col min="9713" max="9713" width="44.42578125" style="95" customWidth="1"/>
    <col min="9714" max="9718" width="14.85546875" style="95" customWidth="1"/>
    <col min="9719" max="9719" width="63.85546875" style="95" customWidth="1"/>
    <col min="9720" max="9720" width="13.28515625" style="95" customWidth="1"/>
    <col min="9721" max="9906" width="9.140625" style="95"/>
    <col min="9907" max="9908" width="0" style="95" hidden="1" customWidth="1"/>
    <col min="9909" max="9909" width="13.7109375" style="95" customWidth="1"/>
    <col min="9910" max="9910" width="52.85546875" style="95" customWidth="1"/>
    <col min="9911" max="9950" width="0" style="95" hidden="1" customWidth="1"/>
    <col min="9951" max="9952" width="14.85546875" style="95" customWidth="1"/>
    <col min="9953" max="9954" width="0" style="95" hidden="1" customWidth="1"/>
    <col min="9955" max="9955" width="14.85546875" style="95" customWidth="1"/>
    <col min="9956" max="9957" width="0" style="95" hidden="1" customWidth="1"/>
    <col min="9958" max="9958" width="14.85546875" style="95" customWidth="1"/>
    <col min="9959" max="9960" width="0" style="95" hidden="1" customWidth="1"/>
    <col min="9961" max="9961" width="14.85546875" style="95" customWidth="1"/>
    <col min="9962" max="9963" width="0" style="95" hidden="1" customWidth="1"/>
    <col min="9964" max="9964" width="14.85546875" style="95" customWidth="1"/>
    <col min="9965" max="9966" width="0" style="95" hidden="1" customWidth="1"/>
    <col min="9967" max="9968" width="14.85546875" style="95" customWidth="1"/>
    <col min="9969" max="9969" width="44.42578125" style="95" customWidth="1"/>
    <col min="9970" max="9974" width="14.85546875" style="95" customWidth="1"/>
    <col min="9975" max="9975" width="63.85546875" style="95" customWidth="1"/>
    <col min="9976" max="9976" width="13.28515625" style="95" customWidth="1"/>
    <col min="9977" max="10162" width="9.140625" style="95"/>
    <col min="10163" max="10164" width="0" style="95" hidden="1" customWidth="1"/>
    <col min="10165" max="10165" width="13.7109375" style="95" customWidth="1"/>
    <col min="10166" max="10166" width="52.85546875" style="95" customWidth="1"/>
    <col min="10167" max="10206" width="0" style="95" hidden="1" customWidth="1"/>
    <col min="10207" max="10208" width="14.85546875" style="95" customWidth="1"/>
    <col min="10209" max="10210" width="0" style="95" hidden="1" customWidth="1"/>
    <col min="10211" max="10211" width="14.85546875" style="95" customWidth="1"/>
    <col min="10212" max="10213" width="0" style="95" hidden="1" customWidth="1"/>
    <col min="10214" max="10214" width="14.85546875" style="95" customWidth="1"/>
    <col min="10215" max="10216" width="0" style="95" hidden="1" customWidth="1"/>
    <col min="10217" max="10217" width="14.85546875" style="95" customWidth="1"/>
    <col min="10218" max="10219" width="0" style="95" hidden="1" customWidth="1"/>
    <col min="10220" max="10220" width="14.85546875" style="95" customWidth="1"/>
    <col min="10221" max="10222" width="0" style="95" hidden="1" customWidth="1"/>
    <col min="10223" max="10224" width="14.85546875" style="95" customWidth="1"/>
    <col min="10225" max="10225" width="44.42578125" style="95" customWidth="1"/>
    <col min="10226" max="10230" width="14.85546875" style="95" customWidth="1"/>
    <col min="10231" max="10231" width="63.85546875" style="95" customWidth="1"/>
    <col min="10232" max="10232" width="13.28515625" style="95" customWidth="1"/>
    <col min="10233" max="10418" width="9.140625" style="95"/>
    <col min="10419" max="10420" width="0" style="95" hidden="1" customWidth="1"/>
    <col min="10421" max="10421" width="13.7109375" style="95" customWidth="1"/>
    <col min="10422" max="10422" width="52.85546875" style="95" customWidth="1"/>
    <col min="10423" max="10462" width="0" style="95" hidden="1" customWidth="1"/>
    <col min="10463" max="10464" width="14.85546875" style="95" customWidth="1"/>
    <col min="10465" max="10466" width="0" style="95" hidden="1" customWidth="1"/>
    <col min="10467" max="10467" width="14.85546875" style="95" customWidth="1"/>
    <col min="10468" max="10469" width="0" style="95" hidden="1" customWidth="1"/>
    <col min="10470" max="10470" width="14.85546875" style="95" customWidth="1"/>
    <col min="10471" max="10472" width="0" style="95" hidden="1" customWidth="1"/>
    <col min="10473" max="10473" width="14.85546875" style="95" customWidth="1"/>
    <col min="10474" max="10475" width="0" style="95" hidden="1" customWidth="1"/>
    <col min="10476" max="10476" width="14.85546875" style="95" customWidth="1"/>
    <col min="10477" max="10478" width="0" style="95" hidden="1" customWidth="1"/>
    <col min="10479" max="10480" width="14.85546875" style="95" customWidth="1"/>
    <col min="10481" max="10481" width="44.42578125" style="95" customWidth="1"/>
    <col min="10482" max="10486" width="14.85546875" style="95" customWidth="1"/>
    <col min="10487" max="10487" width="63.85546875" style="95" customWidth="1"/>
    <col min="10488" max="10488" width="13.28515625" style="95" customWidth="1"/>
    <col min="10489" max="10674" width="9.140625" style="95"/>
    <col min="10675" max="10676" width="0" style="95" hidden="1" customWidth="1"/>
    <col min="10677" max="10677" width="13.7109375" style="95" customWidth="1"/>
    <col min="10678" max="10678" width="52.85546875" style="95" customWidth="1"/>
    <col min="10679" max="10718" width="0" style="95" hidden="1" customWidth="1"/>
    <col min="10719" max="10720" width="14.85546875" style="95" customWidth="1"/>
    <col min="10721" max="10722" width="0" style="95" hidden="1" customWidth="1"/>
    <col min="10723" max="10723" width="14.85546875" style="95" customWidth="1"/>
    <col min="10724" max="10725" width="0" style="95" hidden="1" customWidth="1"/>
    <col min="10726" max="10726" width="14.85546875" style="95" customWidth="1"/>
    <col min="10727" max="10728" width="0" style="95" hidden="1" customWidth="1"/>
    <col min="10729" max="10729" width="14.85546875" style="95" customWidth="1"/>
    <col min="10730" max="10731" width="0" style="95" hidden="1" customWidth="1"/>
    <col min="10732" max="10732" width="14.85546875" style="95" customWidth="1"/>
    <col min="10733" max="10734" width="0" style="95" hidden="1" customWidth="1"/>
    <col min="10735" max="10736" width="14.85546875" style="95" customWidth="1"/>
    <col min="10737" max="10737" width="44.42578125" style="95" customWidth="1"/>
    <col min="10738" max="10742" width="14.85546875" style="95" customWidth="1"/>
    <col min="10743" max="10743" width="63.85546875" style="95" customWidth="1"/>
    <col min="10744" max="10744" width="13.28515625" style="95" customWidth="1"/>
    <col min="10745" max="10930" width="9.140625" style="95"/>
    <col min="10931" max="10932" width="0" style="95" hidden="1" customWidth="1"/>
    <col min="10933" max="10933" width="13.7109375" style="95" customWidth="1"/>
    <col min="10934" max="10934" width="52.85546875" style="95" customWidth="1"/>
    <col min="10935" max="10974" width="0" style="95" hidden="1" customWidth="1"/>
    <col min="10975" max="10976" width="14.85546875" style="95" customWidth="1"/>
    <col min="10977" max="10978" width="0" style="95" hidden="1" customWidth="1"/>
    <col min="10979" max="10979" width="14.85546875" style="95" customWidth="1"/>
    <col min="10980" max="10981" width="0" style="95" hidden="1" customWidth="1"/>
    <col min="10982" max="10982" width="14.85546875" style="95" customWidth="1"/>
    <col min="10983" max="10984" width="0" style="95" hidden="1" customWidth="1"/>
    <col min="10985" max="10985" width="14.85546875" style="95" customWidth="1"/>
    <col min="10986" max="10987" width="0" style="95" hidden="1" customWidth="1"/>
    <col min="10988" max="10988" width="14.85546875" style="95" customWidth="1"/>
    <col min="10989" max="10990" width="0" style="95" hidden="1" customWidth="1"/>
    <col min="10991" max="10992" width="14.85546875" style="95" customWidth="1"/>
    <col min="10993" max="10993" width="44.42578125" style="95" customWidth="1"/>
    <col min="10994" max="10998" width="14.85546875" style="95" customWidth="1"/>
    <col min="10999" max="10999" width="63.85546875" style="95" customWidth="1"/>
    <col min="11000" max="11000" width="13.28515625" style="95" customWidth="1"/>
    <col min="11001" max="11186" width="9.140625" style="95"/>
    <col min="11187" max="11188" width="0" style="95" hidden="1" customWidth="1"/>
    <col min="11189" max="11189" width="13.7109375" style="95" customWidth="1"/>
    <col min="11190" max="11190" width="52.85546875" style="95" customWidth="1"/>
    <col min="11191" max="11230" width="0" style="95" hidden="1" customWidth="1"/>
    <col min="11231" max="11232" width="14.85546875" style="95" customWidth="1"/>
    <col min="11233" max="11234" width="0" style="95" hidden="1" customWidth="1"/>
    <col min="11235" max="11235" width="14.85546875" style="95" customWidth="1"/>
    <col min="11236" max="11237" width="0" style="95" hidden="1" customWidth="1"/>
    <col min="11238" max="11238" width="14.85546875" style="95" customWidth="1"/>
    <col min="11239" max="11240" width="0" style="95" hidden="1" customWidth="1"/>
    <col min="11241" max="11241" width="14.85546875" style="95" customWidth="1"/>
    <col min="11242" max="11243" width="0" style="95" hidden="1" customWidth="1"/>
    <col min="11244" max="11244" width="14.85546875" style="95" customWidth="1"/>
    <col min="11245" max="11246" width="0" style="95" hidden="1" customWidth="1"/>
    <col min="11247" max="11248" width="14.85546875" style="95" customWidth="1"/>
    <col min="11249" max="11249" width="44.42578125" style="95" customWidth="1"/>
    <col min="11250" max="11254" width="14.85546875" style="95" customWidth="1"/>
    <col min="11255" max="11255" width="63.85546875" style="95" customWidth="1"/>
    <col min="11256" max="11256" width="13.28515625" style="95" customWidth="1"/>
    <col min="11257" max="11442" width="9.140625" style="95"/>
    <col min="11443" max="11444" width="0" style="95" hidden="1" customWidth="1"/>
    <col min="11445" max="11445" width="13.7109375" style="95" customWidth="1"/>
    <col min="11446" max="11446" width="52.85546875" style="95" customWidth="1"/>
    <col min="11447" max="11486" width="0" style="95" hidden="1" customWidth="1"/>
    <col min="11487" max="11488" width="14.85546875" style="95" customWidth="1"/>
    <col min="11489" max="11490" width="0" style="95" hidden="1" customWidth="1"/>
    <col min="11491" max="11491" width="14.85546875" style="95" customWidth="1"/>
    <col min="11492" max="11493" width="0" style="95" hidden="1" customWidth="1"/>
    <col min="11494" max="11494" width="14.85546875" style="95" customWidth="1"/>
    <col min="11495" max="11496" width="0" style="95" hidden="1" customWidth="1"/>
    <col min="11497" max="11497" width="14.85546875" style="95" customWidth="1"/>
    <col min="11498" max="11499" width="0" style="95" hidden="1" customWidth="1"/>
    <col min="11500" max="11500" width="14.85546875" style="95" customWidth="1"/>
    <col min="11501" max="11502" width="0" style="95" hidden="1" customWidth="1"/>
    <col min="11503" max="11504" width="14.85546875" style="95" customWidth="1"/>
    <col min="11505" max="11505" width="44.42578125" style="95" customWidth="1"/>
    <col min="11506" max="11510" width="14.85546875" style="95" customWidth="1"/>
    <col min="11511" max="11511" width="63.85546875" style="95" customWidth="1"/>
    <col min="11512" max="11512" width="13.28515625" style="95" customWidth="1"/>
    <col min="11513" max="11698" width="9.140625" style="95"/>
    <col min="11699" max="11700" width="0" style="95" hidden="1" customWidth="1"/>
    <col min="11701" max="11701" width="13.7109375" style="95" customWidth="1"/>
    <col min="11702" max="11702" width="52.85546875" style="95" customWidth="1"/>
    <col min="11703" max="11742" width="0" style="95" hidden="1" customWidth="1"/>
    <col min="11743" max="11744" width="14.85546875" style="95" customWidth="1"/>
    <col min="11745" max="11746" width="0" style="95" hidden="1" customWidth="1"/>
    <col min="11747" max="11747" width="14.85546875" style="95" customWidth="1"/>
    <col min="11748" max="11749" width="0" style="95" hidden="1" customWidth="1"/>
    <col min="11750" max="11750" width="14.85546875" style="95" customWidth="1"/>
    <col min="11751" max="11752" width="0" style="95" hidden="1" customWidth="1"/>
    <col min="11753" max="11753" width="14.85546875" style="95" customWidth="1"/>
    <col min="11754" max="11755" width="0" style="95" hidden="1" customWidth="1"/>
    <col min="11756" max="11756" width="14.85546875" style="95" customWidth="1"/>
    <col min="11757" max="11758" width="0" style="95" hidden="1" customWidth="1"/>
    <col min="11759" max="11760" width="14.85546875" style="95" customWidth="1"/>
    <col min="11761" max="11761" width="44.42578125" style="95" customWidth="1"/>
    <col min="11762" max="11766" width="14.85546875" style="95" customWidth="1"/>
    <col min="11767" max="11767" width="63.85546875" style="95" customWidth="1"/>
    <col min="11768" max="11768" width="13.28515625" style="95" customWidth="1"/>
    <col min="11769" max="11954" width="9.140625" style="95"/>
    <col min="11955" max="11956" width="0" style="95" hidden="1" customWidth="1"/>
    <col min="11957" max="11957" width="13.7109375" style="95" customWidth="1"/>
    <col min="11958" max="11958" width="52.85546875" style="95" customWidth="1"/>
    <col min="11959" max="11998" width="0" style="95" hidden="1" customWidth="1"/>
    <col min="11999" max="12000" width="14.85546875" style="95" customWidth="1"/>
    <col min="12001" max="12002" width="0" style="95" hidden="1" customWidth="1"/>
    <col min="12003" max="12003" width="14.85546875" style="95" customWidth="1"/>
    <col min="12004" max="12005" width="0" style="95" hidden="1" customWidth="1"/>
    <col min="12006" max="12006" width="14.85546875" style="95" customWidth="1"/>
    <col min="12007" max="12008" width="0" style="95" hidden="1" customWidth="1"/>
    <col min="12009" max="12009" width="14.85546875" style="95" customWidth="1"/>
    <col min="12010" max="12011" width="0" style="95" hidden="1" customWidth="1"/>
    <col min="12012" max="12012" width="14.85546875" style="95" customWidth="1"/>
    <col min="12013" max="12014" width="0" style="95" hidden="1" customWidth="1"/>
    <col min="12015" max="12016" width="14.85546875" style="95" customWidth="1"/>
    <col min="12017" max="12017" width="44.42578125" style="95" customWidth="1"/>
    <col min="12018" max="12022" width="14.85546875" style="95" customWidth="1"/>
    <col min="12023" max="12023" width="63.85546875" style="95" customWidth="1"/>
    <col min="12024" max="12024" width="13.28515625" style="95" customWidth="1"/>
    <col min="12025" max="12210" width="9.140625" style="95"/>
    <col min="12211" max="12212" width="0" style="95" hidden="1" customWidth="1"/>
    <col min="12213" max="12213" width="13.7109375" style="95" customWidth="1"/>
    <col min="12214" max="12214" width="52.85546875" style="95" customWidth="1"/>
    <col min="12215" max="12254" width="0" style="95" hidden="1" customWidth="1"/>
    <col min="12255" max="12256" width="14.85546875" style="95" customWidth="1"/>
    <col min="12257" max="12258" width="0" style="95" hidden="1" customWidth="1"/>
    <col min="12259" max="12259" width="14.85546875" style="95" customWidth="1"/>
    <col min="12260" max="12261" width="0" style="95" hidden="1" customWidth="1"/>
    <col min="12262" max="12262" width="14.85546875" style="95" customWidth="1"/>
    <col min="12263" max="12264" width="0" style="95" hidden="1" customWidth="1"/>
    <col min="12265" max="12265" width="14.85546875" style="95" customWidth="1"/>
    <col min="12266" max="12267" width="0" style="95" hidden="1" customWidth="1"/>
    <col min="12268" max="12268" width="14.85546875" style="95" customWidth="1"/>
    <col min="12269" max="12270" width="0" style="95" hidden="1" customWidth="1"/>
    <col min="12271" max="12272" width="14.85546875" style="95" customWidth="1"/>
    <col min="12273" max="12273" width="44.42578125" style="95" customWidth="1"/>
    <col min="12274" max="12278" width="14.85546875" style="95" customWidth="1"/>
    <col min="12279" max="12279" width="63.85546875" style="95" customWidth="1"/>
    <col min="12280" max="12280" width="13.28515625" style="95" customWidth="1"/>
    <col min="12281" max="12466" width="9.140625" style="95"/>
    <col min="12467" max="12468" width="0" style="95" hidden="1" customWidth="1"/>
    <col min="12469" max="12469" width="13.7109375" style="95" customWidth="1"/>
    <col min="12470" max="12470" width="52.85546875" style="95" customWidth="1"/>
    <col min="12471" max="12510" width="0" style="95" hidden="1" customWidth="1"/>
    <col min="12511" max="12512" width="14.85546875" style="95" customWidth="1"/>
    <col min="12513" max="12514" width="0" style="95" hidden="1" customWidth="1"/>
    <col min="12515" max="12515" width="14.85546875" style="95" customWidth="1"/>
    <col min="12516" max="12517" width="0" style="95" hidden="1" customWidth="1"/>
    <col min="12518" max="12518" width="14.85546875" style="95" customWidth="1"/>
    <col min="12519" max="12520" width="0" style="95" hidden="1" customWidth="1"/>
    <col min="12521" max="12521" width="14.85546875" style="95" customWidth="1"/>
    <col min="12522" max="12523" width="0" style="95" hidden="1" customWidth="1"/>
    <col min="12524" max="12524" width="14.85546875" style="95" customWidth="1"/>
    <col min="12525" max="12526" width="0" style="95" hidden="1" customWidth="1"/>
    <col min="12527" max="12528" width="14.85546875" style="95" customWidth="1"/>
    <col min="12529" max="12529" width="44.42578125" style="95" customWidth="1"/>
    <col min="12530" max="12534" width="14.85546875" style="95" customWidth="1"/>
    <col min="12535" max="12535" width="63.85546875" style="95" customWidth="1"/>
    <col min="12536" max="12536" width="13.28515625" style="95" customWidth="1"/>
    <col min="12537" max="12722" width="9.140625" style="95"/>
    <col min="12723" max="12724" width="0" style="95" hidden="1" customWidth="1"/>
    <col min="12725" max="12725" width="13.7109375" style="95" customWidth="1"/>
    <col min="12726" max="12726" width="52.85546875" style="95" customWidth="1"/>
    <col min="12727" max="12766" width="0" style="95" hidden="1" customWidth="1"/>
    <col min="12767" max="12768" width="14.85546875" style="95" customWidth="1"/>
    <col min="12769" max="12770" width="0" style="95" hidden="1" customWidth="1"/>
    <col min="12771" max="12771" width="14.85546875" style="95" customWidth="1"/>
    <col min="12772" max="12773" width="0" style="95" hidden="1" customWidth="1"/>
    <col min="12774" max="12774" width="14.85546875" style="95" customWidth="1"/>
    <col min="12775" max="12776" width="0" style="95" hidden="1" customWidth="1"/>
    <col min="12777" max="12777" width="14.85546875" style="95" customWidth="1"/>
    <col min="12778" max="12779" width="0" style="95" hidden="1" customWidth="1"/>
    <col min="12780" max="12780" width="14.85546875" style="95" customWidth="1"/>
    <col min="12781" max="12782" width="0" style="95" hidden="1" customWidth="1"/>
    <col min="12783" max="12784" width="14.85546875" style="95" customWidth="1"/>
    <col min="12785" max="12785" width="44.42578125" style="95" customWidth="1"/>
    <col min="12786" max="12790" width="14.85546875" style="95" customWidth="1"/>
    <col min="12791" max="12791" width="63.85546875" style="95" customWidth="1"/>
    <col min="12792" max="12792" width="13.28515625" style="95" customWidth="1"/>
    <col min="12793" max="12978" width="9.140625" style="95"/>
    <col min="12979" max="12980" width="0" style="95" hidden="1" customWidth="1"/>
    <col min="12981" max="12981" width="13.7109375" style="95" customWidth="1"/>
    <col min="12982" max="12982" width="52.85546875" style="95" customWidth="1"/>
    <col min="12983" max="13022" width="0" style="95" hidden="1" customWidth="1"/>
    <col min="13023" max="13024" width="14.85546875" style="95" customWidth="1"/>
    <col min="13025" max="13026" width="0" style="95" hidden="1" customWidth="1"/>
    <col min="13027" max="13027" width="14.85546875" style="95" customWidth="1"/>
    <col min="13028" max="13029" width="0" style="95" hidden="1" customWidth="1"/>
    <col min="13030" max="13030" width="14.85546875" style="95" customWidth="1"/>
    <col min="13031" max="13032" width="0" style="95" hidden="1" customWidth="1"/>
    <col min="13033" max="13033" width="14.85546875" style="95" customWidth="1"/>
    <col min="13034" max="13035" width="0" style="95" hidden="1" customWidth="1"/>
    <col min="13036" max="13036" width="14.85546875" style="95" customWidth="1"/>
    <col min="13037" max="13038" width="0" style="95" hidden="1" customWidth="1"/>
    <col min="13039" max="13040" width="14.85546875" style="95" customWidth="1"/>
    <col min="13041" max="13041" width="44.42578125" style="95" customWidth="1"/>
    <col min="13042" max="13046" width="14.85546875" style="95" customWidth="1"/>
    <col min="13047" max="13047" width="63.85546875" style="95" customWidth="1"/>
    <col min="13048" max="13048" width="13.28515625" style="95" customWidth="1"/>
    <col min="13049" max="13234" width="9.140625" style="95"/>
    <col min="13235" max="13236" width="0" style="95" hidden="1" customWidth="1"/>
    <col min="13237" max="13237" width="13.7109375" style="95" customWidth="1"/>
    <col min="13238" max="13238" width="52.85546875" style="95" customWidth="1"/>
    <col min="13239" max="13278" width="0" style="95" hidden="1" customWidth="1"/>
    <col min="13279" max="13280" width="14.85546875" style="95" customWidth="1"/>
    <col min="13281" max="13282" width="0" style="95" hidden="1" customWidth="1"/>
    <col min="13283" max="13283" width="14.85546875" style="95" customWidth="1"/>
    <col min="13284" max="13285" width="0" style="95" hidden="1" customWidth="1"/>
    <col min="13286" max="13286" width="14.85546875" style="95" customWidth="1"/>
    <col min="13287" max="13288" width="0" style="95" hidden="1" customWidth="1"/>
    <col min="13289" max="13289" width="14.85546875" style="95" customWidth="1"/>
    <col min="13290" max="13291" width="0" style="95" hidden="1" customWidth="1"/>
    <col min="13292" max="13292" width="14.85546875" style="95" customWidth="1"/>
    <col min="13293" max="13294" width="0" style="95" hidden="1" customWidth="1"/>
    <col min="13295" max="13296" width="14.85546875" style="95" customWidth="1"/>
    <col min="13297" max="13297" width="44.42578125" style="95" customWidth="1"/>
    <col min="13298" max="13302" width="14.85546875" style="95" customWidth="1"/>
    <col min="13303" max="13303" width="63.85546875" style="95" customWidth="1"/>
    <col min="13304" max="13304" width="13.28515625" style="95" customWidth="1"/>
    <col min="13305" max="13490" width="9.140625" style="95"/>
    <col min="13491" max="13492" width="0" style="95" hidden="1" customWidth="1"/>
    <col min="13493" max="13493" width="13.7109375" style="95" customWidth="1"/>
    <col min="13494" max="13494" width="52.85546875" style="95" customWidth="1"/>
    <col min="13495" max="13534" width="0" style="95" hidden="1" customWidth="1"/>
    <col min="13535" max="13536" width="14.85546875" style="95" customWidth="1"/>
    <col min="13537" max="13538" width="0" style="95" hidden="1" customWidth="1"/>
    <col min="13539" max="13539" width="14.85546875" style="95" customWidth="1"/>
    <col min="13540" max="13541" width="0" style="95" hidden="1" customWidth="1"/>
    <col min="13542" max="13542" width="14.85546875" style="95" customWidth="1"/>
    <col min="13543" max="13544" width="0" style="95" hidden="1" customWidth="1"/>
    <col min="13545" max="13545" width="14.85546875" style="95" customWidth="1"/>
    <col min="13546" max="13547" width="0" style="95" hidden="1" customWidth="1"/>
    <col min="13548" max="13548" width="14.85546875" style="95" customWidth="1"/>
    <col min="13549" max="13550" width="0" style="95" hidden="1" customWidth="1"/>
    <col min="13551" max="13552" width="14.85546875" style="95" customWidth="1"/>
    <col min="13553" max="13553" width="44.42578125" style="95" customWidth="1"/>
    <col min="13554" max="13558" width="14.85546875" style="95" customWidth="1"/>
    <col min="13559" max="13559" width="63.85546875" style="95" customWidth="1"/>
    <col min="13560" max="13560" width="13.28515625" style="95" customWidth="1"/>
    <col min="13561" max="13746" width="9.140625" style="95"/>
    <col min="13747" max="13748" width="0" style="95" hidden="1" customWidth="1"/>
    <col min="13749" max="13749" width="13.7109375" style="95" customWidth="1"/>
    <col min="13750" max="13750" width="52.85546875" style="95" customWidth="1"/>
    <col min="13751" max="13790" width="0" style="95" hidden="1" customWidth="1"/>
    <col min="13791" max="13792" width="14.85546875" style="95" customWidth="1"/>
    <col min="13793" max="13794" width="0" style="95" hidden="1" customWidth="1"/>
    <col min="13795" max="13795" width="14.85546875" style="95" customWidth="1"/>
    <col min="13796" max="13797" width="0" style="95" hidden="1" customWidth="1"/>
    <col min="13798" max="13798" width="14.85546875" style="95" customWidth="1"/>
    <col min="13799" max="13800" width="0" style="95" hidden="1" customWidth="1"/>
    <col min="13801" max="13801" width="14.85546875" style="95" customWidth="1"/>
    <col min="13802" max="13803" width="0" style="95" hidden="1" customWidth="1"/>
    <col min="13804" max="13804" width="14.85546875" style="95" customWidth="1"/>
    <col min="13805" max="13806" width="0" style="95" hidden="1" customWidth="1"/>
    <col min="13807" max="13808" width="14.85546875" style="95" customWidth="1"/>
    <col min="13809" max="13809" width="44.42578125" style="95" customWidth="1"/>
    <col min="13810" max="13814" width="14.85546875" style="95" customWidth="1"/>
    <col min="13815" max="13815" width="63.85546875" style="95" customWidth="1"/>
    <col min="13816" max="13816" width="13.28515625" style="95" customWidth="1"/>
    <col min="13817" max="14002" width="9.140625" style="95"/>
    <col min="14003" max="14004" width="0" style="95" hidden="1" customWidth="1"/>
    <col min="14005" max="14005" width="13.7109375" style="95" customWidth="1"/>
    <col min="14006" max="14006" width="52.85546875" style="95" customWidth="1"/>
    <col min="14007" max="14046" width="0" style="95" hidden="1" customWidth="1"/>
    <col min="14047" max="14048" width="14.85546875" style="95" customWidth="1"/>
    <col min="14049" max="14050" width="0" style="95" hidden="1" customWidth="1"/>
    <col min="14051" max="14051" width="14.85546875" style="95" customWidth="1"/>
    <col min="14052" max="14053" width="0" style="95" hidden="1" customWidth="1"/>
    <col min="14054" max="14054" width="14.85546875" style="95" customWidth="1"/>
    <col min="14055" max="14056" width="0" style="95" hidden="1" customWidth="1"/>
    <col min="14057" max="14057" width="14.85546875" style="95" customWidth="1"/>
    <col min="14058" max="14059" width="0" style="95" hidden="1" customWidth="1"/>
    <col min="14060" max="14060" width="14.85546875" style="95" customWidth="1"/>
    <col min="14061" max="14062" width="0" style="95" hidden="1" customWidth="1"/>
    <col min="14063" max="14064" width="14.85546875" style="95" customWidth="1"/>
    <col min="14065" max="14065" width="44.42578125" style="95" customWidth="1"/>
    <col min="14066" max="14070" width="14.85546875" style="95" customWidth="1"/>
    <col min="14071" max="14071" width="63.85546875" style="95" customWidth="1"/>
    <col min="14072" max="14072" width="13.28515625" style="95" customWidth="1"/>
    <col min="14073" max="14258" width="9.140625" style="95"/>
    <col min="14259" max="14260" width="0" style="95" hidden="1" customWidth="1"/>
    <col min="14261" max="14261" width="13.7109375" style="95" customWidth="1"/>
    <col min="14262" max="14262" width="52.85546875" style="95" customWidth="1"/>
    <col min="14263" max="14302" width="0" style="95" hidden="1" customWidth="1"/>
    <col min="14303" max="14304" width="14.85546875" style="95" customWidth="1"/>
    <col min="14305" max="14306" width="0" style="95" hidden="1" customWidth="1"/>
    <col min="14307" max="14307" width="14.85546875" style="95" customWidth="1"/>
    <col min="14308" max="14309" width="0" style="95" hidden="1" customWidth="1"/>
    <col min="14310" max="14310" width="14.85546875" style="95" customWidth="1"/>
    <col min="14311" max="14312" width="0" style="95" hidden="1" customWidth="1"/>
    <col min="14313" max="14313" width="14.85546875" style="95" customWidth="1"/>
    <col min="14314" max="14315" width="0" style="95" hidden="1" customWidth="1"/>
    <col min="14316" max="14316" width="14.85546875" style="95" customWidth="1"/>
    <col min="14317" max="14318" width="0" style="95" hidden="1" customWidth="1"/>
    <col min="14319" max="14320" width="14.85546875" style="95" customWidth="1"/>
    <col min="14321" max="14321" width="44.42578125" style="95" customWidth="1"/>
    <col min="14322" max="14326" width="14.85546875" style="95" customWidth="1"/>
    <col min="14327" max="14327" width="63.85546875" style="95" customWidth="1"/>
    <col min="14328" max="14328" width="13.28515625" style="95" customWidth="1"/>
    <col min="14329" max="14514" width="9.140625" style="95"/>
    <col min="14515" max="14516" width="0" style="95" hidden="1" customWidth="1"/>
    <col min="14517" max="14517" width="13.7109375" style="95" customWidth="1"/>
    <col min="14518" max="14518" width="52.85546875" style="95" customWidth="1"/>
    <col min="14519" max="14558" width="0" style="95" hidden="1" customWidth="1"/>
    <col min="14559" max="14560" width="14.85546875" style="95" customWidth="1"/>
    <col min="14561" max="14562" width="0" style="95" hidden="1" customWidth="1"/>
    <col min="14563" max="14563" width="14.85546875" style="95" customWidth="1"/>
    <col min="14564" max="14565" width="0" style="95" hidden="1" customWidth="1"/>
    <col min="14566" max="14566" width="14.85546875" style="95" customWidth="1"/>
    <col min="14567" max="14568" width="0" style="95" hidden="1" customWidth="1"/>
    <col min="14569" max="14569" width="14.85546875" style="95" customWidth="1"/>
    <col min="14570" max="14571" width="0" style="95" hidden="1" customWidth="1"/>
    <col min="14572" max="14572" width="14.85546875" style="95" customWidth="1"/>
    <col min="14573" max="14574" width="0" style="95" hidden="1" customWidth="1"/>
    <col min="14575" max="14576" width="14.85546875" style="95" customWidth="1"/>
    <col min="14577" max="14577" width="44.42578125" style="95" customWidth="1"/>
    <col min="14578" max="14582" width="14.85546875" style="95" customWidth="1"/>
    <col min="14583" max="14583" width="63.85546875" style="95" customWidth="1"/>
    <col min="14584" max="14584" width="13.28515625" style="95" customWidth="1"/>
    <col min="14585" max="14770" width="9.140625" style="95"/>
    <col min="14771" max="14772" width="0" style="95" hidden="1" customWidth="1"/>
    <col min="14773" max="14773" width="13.7109375" style="95" customWidth="1"/>
    <col min="14774" max="14774" width="52.85546875" style="95" customWidth="1"/>
    <col min="14775" max="14814" width="0" style="95" hidden="1" customWidth="1"/>
    <col min="14815" max="14816" width="14.85546875" style="95" customWidth="1"/>
    <col min="14817" max="14818" width="0" style="95" hidden="1" customWidth="1"/>
    <col min="14819" max="14819" width="14.85546875" style="95" customWidth="1"/>
    <col min="14820" max="14821" width="0" style="95" hidden="1" customWidth="1"/>
    <col min="14822" max="14822" width="14.85546875" style="95" customWidth="1"/>
    <col min="14823" max="14824" width="0" style="95" hidden="1" customWidth="1"/>
    <col min="14825" max="14825" width="14.85546875" style="95" customWidth="1"/>
    <col min="14826" max="14827" width="0" style="95" hidden="1" customWidth="1"/>
    <col min="14828" max="14828" width="14.85546875" style="95" customWidth="1"/>
    <col min="14829" max="14830" width="0" style="95" hidden="1" customWidth="1"/>
    <col min="14831" max="14832" width="14.85546875" style="95" customWidth="1"/>
    <col min="14833" max="14833" width="44.42578125" style="95" customWidth="1"/>
    <col min="14834" max="14838" width="14.85546875" style="95" customWidth="1"/>
    <col min="14839" max="14839" width="63.85546875" style="95" customWidth="1"/>
    <col min="14840" max="14840" width="13.28515625" style="95" customWidth="1"/>
    <col min="14841" max="15026" width="9.140625" style="95"/>
    <col min="15027" max="15028" width="0" style="95" hidden="1" customWidth="1"/>
    <col min="15029" max="15029" width="13.7109375" style="95" customWidth="1"/>
    <col min="15030" max="15030" width="52.85546875" style="95" customWidth="1"/>
    <col min="15031" max="15070" width="0" style="95" hidden="1" customWidth="1"/>
    <col min="15071" max="15072" width="14.85546875" style="95" customWidth="1"/>
    <col min="15073" max="15074" width="0" style="95" hidden="1" customWidth="1"/>
    <col min="15075" max="15075" width="14.85546875" style="95" customWidth="1"/>
    <col min="15076" max="15077" width="0" style="95" hidden="1" customWidth="1"/>
    <col min="15078" max="15078" width="14.85546875" style="95" customWidth="1"/>
    <col min="15079" max="15080" width="0" style="95" hidden="1" customWidth="1"/>
    <col min="15081" max="15081" width="14.85546875" style="95" customWidth="1"/>
    <col min="15082" max="15083" width="0" style="95" hidden="1" customWidth="1"/>
    <col min="15084" max="15084" width="14.85546875" style="95" customWidth="1"/>
    <col min="15085" max="15086" width="0" style="95" hidden="1" customWidth="1"/>
    <col min="15087" max="15088" width="14.85546875" style="95" customWidth="1"/>
    <col min="15089" max="15089" width="44.42578125" style="95" customWidth="1"/>
    <col min="15090" max="15094" width="14.85546875" style="95" customWidth="1"/>
    <col min="15095" max="15095" width="63.85546875" style="95" customWidth="1"/>
    <col min="15096" max="15096" width="13.28515625" style="95" customWidth="1"/>
    <col min="15097" max="15282" width="9.140625" style="95"/>
    <col min="15283" max="15284" width="0" style="95" hidden="1" customWidth="1"/>
    <col min="15285" max="15285" width="13.7109375" style="95" customWidth="1"/>
    <col min="15286" max="15286" width="52.85546875" style="95" customWidth="1"/>
    <col min="15287" max="15326" width="0" style="95" hidden="1" customWidth="1"/>
    <col min="15327" max="15328" width="14.85546875" style="95" customWidth="1"/>
    <col min="15329" max="15330" width="0" style="95" hidden="1" customWidth="1"/>
    <col min="15331" max="15331" width="14.85546875" style="95" customWidth="1"/>
    <col min="15332" max="15333" width="0" style="95" hidden="1" customWidth="1"/>
    <col min="15334" max="15334" width="14.85546875" style="95" customWidth="1"/>
    <col min="15335" max="15336" width="0" style="95" hidden="1" customWidth="1"/>
    <col min="15337" max="15337" width="14.85546875" style="95" customWidth="1"/>
    <col min="15338" max="15339" width="0" style="95" hidden="1" customWidth="1"/>
    <col min="15340" max="15340" width="14.85546875" style="95" customWidth="1"/>
    <col min="15341" max="15342" width="0" style="95" hidden="1" customWidth="1"/>
    <col min="15343" max="15344" width="14.85546875" style="95" customWidth="1"/>
    <col min="15345" max="15345" width="44.42578125" style="95" customWidth="1"/>
    <col min="15346" max="15350" width="14.85546875" style="95" customWidth="1"/>
    <col min="15351" max="15351" width="63.85546875" style="95" customWidth="1"/>
    <col min="15352" max="15352" width="13.28515625" style="95" customWidth="1"/>
    <col min="15353" max="15538" width="9.140625" style="95"/>
    <col min="15539" max="15540" width="0" style="95" hidden="1" customWidth="1"/>
    <col min="15541" max="15541" width="13.7109375" style="95" customWidth="1"/>
    <col min="15542" max="15542" width="52.85546875" style="95" customWidth="1"/>
    <col min="15543" max="15582" width="0" style="95" hidden="1" customWidth="1"/>
    <col min="15583" max="15584" width="14.85546875" style="95" customWidth="1"/>
    <col min="15585" max="15586" width="0" style="95" hidden="1" customWidth="1"/>
    <col min="15587" max="15587" width="14.85546875" style="95" customWidth="1"/>
    <col min="15588" max="15589" width="0" style="95" hidden="1" customWidth="1"/>
    <col min="15590" max="15590" width="14.85546875" style="95" customWidth="1"/>
    <col min="15591" max="15592" width="0" style="95" hidden="1" customWidth="1"/>
    <col min="15593" max="15593" width="14.85546875" style="95" customWidth="1"/>
    <col min="15594" max="15595" width="0" style="95" hidden="1" customWidth="1"/>
    <col min="15596" max="15596" width="14.85546875" style="95" customWidth="1"/>
    <col min="15597" max="15598" width="0" style="95" hidden="1" customWidth="1"/>
    <col min="15599" max="15600" width="14.85546875" style="95" customWidth="1"/>
    <col min="15601" max="15601" width="44.42578125" style="95" customWidth="1"/>
    <col min="15602" max="15606" width="14.85546875" style="95" customWidth="1"/>
    <col min="15607" max="15607" width="63.85546875" style="95" customWidth="1"/>
    <col min="15608" max="15608" width="13.28515625" style="95" customWidth="1"/>
    <col min="15609" max="15794" width="9.140625" style="95"/>
    <col min="15795" max="15796" width="0" style="95" hidden="1" customWidth="1"/>
    <col min="15797" max="15797" width="13.7109375" style="95" customWidth="1"/>
    <col min="15798" max="15798" width="52.85546875" style="95" customWidth="1"/>
    <col min="15799" max="15838" width="0" style="95" hidden="1" customWidth="1"/>
    <col min="15839" max="15840" width="14.85546875" style="95" customWidth="1"/>
    <col min="15841" max="15842" width="0" style="95" hidden="1" customWidth="1"/>
    <col min="15843" max="15843" width="14.85546875" style="95" customWidth="1"/>
    <col min="15844" max="15845" width="0" style="95" hidden="1" customWidth="1"/>
    <col min="15846" max="15846" width="14.85546875" style="95" customWidth="1"/>
    <col min="15847" max="15848" width="0" style="95" hidden="1" customWidth="1"/>
    <col min="15849" max="15849" width="14.85546875" style="95" customWidth="1"/>
    <col min="15850" max="15851" width="0" style="95" hidden="1" customWidth="1"/>
    <col min="15852" max="15852" width="14.85546875" style="95" customWidth="1"/>
    <col min="15853" max="15854" width="0" style="95" hidden="1" customWidth="1"/>
    <col min="15855" max="15856" width="14.85546875" style="95" customWidth="1"/>
    <col min="15857" max="15857" width="44.42578125" style="95" customWidth="1"/>
    <col min="15858" max="15862" width="14.85546875" style="95" customWidth="1"/>
    <col min="15863" max="15863" width="63.85546875" style="95" customWidth="1"/>
    <col min="15864" max="15864" width="13.28515625" style="95" customWidth="1"/>
    <col min="15865" max="16050" width="9.140625" style="95"/>
    <col min="16051" max="16052" width="0" style="95" hidden="1" customWidth="1"/>
    <col min="16053" max="16053" width="13.7109375" style="95" customWidth="1"/>
    <col min="16054" max="16054" width="52.85546875" style="95" customWidth="1"/>
    <col min="16055" max="16094" width="0" style="95" hidden="1" customWidth="1"/>
    <col min="16095" max="16096" width="14.85546875" style="95" customWidth="1"/>
    <col min="16097" max="16098" width="0" style="95" hidden="1" customWidth="1"/>
    <col min="16099" max="16099" width="14.85546875" style="95" customWidth="1"/>
    <col min="16100" max="16101" width="0" style="95" hidden="1" customWidth="1"/>
    <col min="16102" max="16102" width="14.85546875" style="95" customWidth="1"/>
    <col min="16103" max="16104" width="0" style="95" hidden="1" customWidth="1"/>
    <col min="16105" max="16105" width="14.85546875" style="95" customWidth="1"/>
    <col min="16106" max="16107" width="0" style="95" hidden="1" customWidth="1"/>
    <col min="16108" max="16108" width="14.85546875" style="95" customWidth="1"/>
    <col min="16109" max="16110" width="0" style="95" hidden="1" customWidth="1"/>
    <col min="16111" max="16112" width="14.85546875" style="95" customWidth="1"/>
    <col min="16113" max="16113" width="44.42578125" style="95" customWidth="1"/>
    <col min="16114" max="16118" width="14.85546875" style="95" customWidth="1"/>
    <col min="16119" max="16119" width="63.85546875" style="95" customWidth="1"/>
    <col min="16120" max="16120" width="13.28515625" style="95" customWidth="1"/>
    <col min="16121" max="16319" width="9.140625" style="95"/>
    <col min="16320" max="16352" width="9.140625" style="95" customWidth="1"/>
    <col min="16353" max="16384" width="9.140625" style="95"/>
  </cols>
  <sheetData>
    <row r="1" spans="1:26" ht="25.5" outlineLevel="1" x14ac:dyDescent="0.35">
      <c r="C1" s="96" t="s">
        <v>356</v>
      </c>
      <c r="D1" s="97"/>
      <c r="E1" s="99"/>
      <c r="F1" s="98"/>
      <c r="G1" s="98"/>
      <c r="H1" s="98"/>
      <c r="I1" s="98"/>
      <c r="J1" s="98"/>
      <c r="K1" s="98"/>
      <c r="L1" s="98"/>
      <c r="M1" s="98"/>
      <c r="N1" s="98"/>
      <c r="O1" s="98"/>
      <c r="P1" s="98"/>
      <c r="Q1" s="98"/>
      <c r="R1" s="98"/>
      <c r="S1" s="98"/>
      <c r="T1" s="98"/>
      <c r="U1" s="98"/>
      <c r="V1" s="98"/>
      <c r="W1" s="98"/>
      <c r="X1" s="98"/>
      <c r="Y1" s="98"/>
      <c r="Z1" s="100"/>
    </row>
    <row r="2" spans="1:26" ht="25.5" outlineLevel="1" x14ac:dyDescent="0.35">
      <c r="C2" s="101" t="s">
        <v>358</v>
      </c>
      <c r="D2" s="101"/>
      <c r="F2" s="102"/>
      <c r="G2" s="102"/>
      <c r="H2" s="102"/>
      <c r="I2" s="102"/>
      <c r="J2" s="102"/>
      <c r="K2" s="102"/>
      <c r="L2" s="102"/>
      <c r="M2" s="102"/>
      <c r="N2" s="102"/>
      <c r="O2" s="102"/>
      <c r="P2" s="102"/>
      <c r="Q2" s="102"/>
      <c r="R2" s="102"/>
      <c r="S2" s="102"/>
      <c r="T2" s="102"/>
      <c r="U2" s="102"/>
      <c r="V2" s="102"/>
      <c r="W2" s="102"/>
      <c r="X2" s="102"/>
      <c r="Y2" s="102"/>
      <c r="Z2" s="105"/>
    </row>
    <row r="3" spans="1:26" ht="20.25" outlineLevel="1" x14ac:dyDescent="0.3">
      <c r="C3" s="106" t="s">
        <v>360</v>
      </c>
      <c r="D3" s="106"/>
      <c r="E3" s="109">
        <v>34344586.609999999</v>
      </c>
      <c r="F3" s="109">
        <f>F107-F138-F42</f>
        <v>34165584</v>
      </c>
      <c r="G3" s="109">
        <f t="shared" ref="G3:I3" si="0">G107-G138-G42</f>
        <v>-179002.6099999994</v>
      </c>
      <c r="H3" s="109">
        <f t="shared" si="0"/>
        <v>0</v>
      </c>
      <c r="I3" s="109">
        <f t="shared" si="0"/>
        <v>34548139</v>
      </c>
      <c r="J3" s="107"/>
      <c r="L3" s="109">
        <f>L107-L138-L42</f>
        <v>34580543</v>
      </c>
      <c r="M3" s="107"/>
      <c r="O3" s="109">
        <f>O107-O138-O42</f>
        <v>35310255</v>
      </c>
      <c r="P3" s="107"/>
      <c r="R3" s="109">
        <f>R107-R138-R42</f>
        <v>35765825</v>
      </c>
      <c r="S3" s="107"/>
      <c r="U3" s="109">
        <f>U107-U138-U42</f>
        <v>35862625</v>
      </c>
      <c r="V3" s="107"/>
      <c r="X3" s="109">
        <f>X107-X138-X42</f>
        <v>35868925</v>
      </c>
      <c r="Y3" s="107"/>
    </row>
    <row r="4" spans="1:26" ht="15.75" outlineLevel="1" thickBot="1" x14ac:dyDescent="0.3">
      <c r="C4" s="112"/>
      <c r="E4" s="108"/>
      <c r="F4" s="109"/>
      <c r="G4" s="111"/>
      <c r="I4" s="109"/>
      <c r="J4" s="111"/>
      <c r="L4" s="109"/>
      <c r="M4" s="111"/>
      <c r="O4" s="109"/>
      <c r="P4" s="111"/>
      <c r="R4" s="109"/>
      <c r="S4" s="111"/>
      <c r="U4" s="109"/>
      <c r="V4" s="111"/>
      <c r="X4" s="109"/>
      <c r="Y4" s="111"/>
    </row>
    <row r="5" spans="1:26" ht="55.15" customHeight="1" thickBot="1" x14ac:dyDescent="0.3">
      <c r="C5" s="113" t="s">
        <v>361</v>
      </c>
      <c r="D5" s="114" t="s">
        <v>362</v>
      </c>
      <c r="E5" s="116" t="s">
        <v>363</v>
      </c>
      <c r="F5" s="116" t="s">
        <v>364</v>
      </c>
      <c r="G5" s="115" t="s">
        <v>365</v>
      </c>
      <c r="H5" s="117" t="s">
        <v>366</v>
      </c>
      <c r="I5" s="115" t="s">
        <v>367</v>
      </c>
      <c r="J5" s="115" t="s">
        <v>368</v>
      </c>
      <c r="K5" s="118" t="s">
        <v>366</v>
      </c>
      <c r="L5" s="115" t="s">
        <v>369</v>
      </c>
      <c r="M5" s="115" t="s">
        <v>370</v>
      </c>
      <c r="N5" s="118" t="s">
        <v>366</v>
      </c>
      <c r="O5" s="115" t="s">
        <v>371</v>
      </c>
      <c r="P5" s="115" t="s">
        <v>372</v>
      </c>
      <c r="Q5" s="118" t="s">
        <v>366</v>
      </c>
      <c r="R5" s="115" t="s">
        <v>373</v>
      </c>
      <c r="S5" s="115" t="s">
        <v>374</v>
      </c>
      <c r="T5" s="118" t="s">
        <v>366</v>
      </c>
      <c r="U5" s="115" t="s">
        <v>375</v>
      </c>
      <c r="V5" s="115" t="s">
        <v>376</v>
      </c>
      <c r="W5" s="118" t="s">
        <v>366</v>
      </c>
      <c r="X5" s="115" t="s">
        <v>1185</v>
      </c>
      <c r="Y5" s="115" t="s">
        <v>377</v>
      </c>
      <c r="Z5" s="118" t="s">
        <v>366</v>
      </c>
    </row>
    <row r="6" spans="1:26" x14ac:dyDescent="0.25">
      <c r="C6" s="119" t="s">
        <v>378</v>
      </c>
      <c r="D6" s="120" t="s">
        <v>379</v>
      </c>
      <c r="E6" s="121">
        <v>38074624</v>
      </c>
      <c r="F6" s="121">
        <f t="shared" ref="F6" si="1">ROUND((F7+F10+F13+F16+F19),0)</f>
        <v>38074624</v>
      </c>
      <c r="G6" s="122">
        <f>F6-E6</f>
        <v>0</v>
      </c>
      <c r="H6" s="123"/>
      <c r="I6" s="121">
        <f>ROUND((I7+I10+I13+I16+I19),0)</f>
        <v>38519847</v>
      </c>
      <c r="J6" s="122">
        <f>I6-F6</f>
        <v>445223</v>
      </c>
      <c r="K6" s="124"/>
      <c r="L6" s="121">
        <f>ROUND((L7+L10+L13+L16+L19),0)</f>
        <v>38519847</v>
      </c>
      <c r="M6" s="122">
        <f>L6-I6</f>
        <v>0</v>
      </c>
      <c r="N6" s="124"/>
      <c r="O6" s="121">
        <f>ROUND((O7+O10+O13+O16+O19),0)</f>
        <v>38519847</v>
      </c>
      <c r="P6" s="122">
        <f>O6-L6</f>
        <v>0</v>
      </c>
      <c r="Q6" s="124"/>
      <c r="R6" s="121">
        <f>ROUND((R7+R10+R13+R16+R19),0)</f>
        <v>38539687</v>
      </c>
      <c r="S6" s="122">
        <f>R6-O6</f>
        <v>19840</v>
      </c>
      <c r="T6" s="124"/>
      <c r="U6" s="121">
        <f>ROUND((U7+U10+U13+U16+U19),0)</f>
        <v>38539687</v>
      </c>
      <c r="V6" s="122">
        <f>U6-R6</f>
        <v>0</v>
      </c>
      <c r="W6" s="124"/>
      <c r="X6" s="121">
        <f>ROUND((X7+X10+X13+X16+X19),0)</f>
        <v>38539687</v>
      </c>
      <c r="Y6" s="122">
        <f>X6-U6</f>
        <v>0</v>
      </c>
      <c r="Z6" s="124"/>
    </row>
    <row r="7" spans="1:26" x14ac:dyDescent="0.25">
      <c r="B7" s="95" t="s">
        <v>380</v>
      </c>
      <c r="C7" s="125" t="s">
        <v>381</v>
      </c>
      <c r="D7" s="126" t="s">
        <v>382</v>
      </c>
      <c r="E7" s="128">
        <v>34831773</v>
      </c>
      <c r="F7" s="128">
        <f t="shared" ref="F7" si="2">SUM(F8:F8)</f>
        <v>34831773</v>
      </c>
      <c r="G7" s="127">
        <f t="shared" ref="G7:G71" si="3">F7-E7</f>
        <v>0</v>
      </c>
      <c r="H7" s="129"/>
      <c r="I7" s="127">
        <f>SUM(I8:I8)</f>
        <v>35276996</v>
      </c>
      <c r="J7" s="127">
        <f>I7-F7</f>
        <v>445223</v>
      </c>
      <c r="K7" s="130"/>
      <c r="L7" s="127">
        <f>SUM(L8:L8)</f>
        <v>35276996</v>
      </c>
      <c r="M7" s="127">
        <f>L7-I7</f>
        <v>0</v>
      </c>
      <c r="N7" s="130"/>
      <c r="O7" s="127">
        <f>SUM(O8:O8)</f>
        <v>35276996</v>
      </c>
      <c r="P7" s="127">
        <f>O7-L7</f>
        <v>0</v>
      </c>
      <c r="Q7" s="130"/>
      <c r="R7" s="127">
        <f>SUM(R8:R8)</f>
        <v>35296836</v>
      </c>
      <c r="S7" s="127">
        <f>R7-O7</f>
        <v>19840</v>
      </c>
      <c r="T7" s="130"/>
      <c r="U7" s="127">
        <f>SUM(U8:U8)</f>
        <v>35296836</v>
      </c>
      <c r="V7" s="127">
        <f>U7-R7</f>
        <v>0</v>
      </c>
      <c r="W7" s="130"/>
      <c r="X7" s="127">
        <f>SUM(X8:X8)</f>
        <v>35296836</v>
      </c>
      <c r="Y7" s="127">
        <f>X7-U7</f>
        <v>0</v>
      </c>
      <c r="Z7" s="130"/>
    </row>
    <row r="8" spans="1:26" ht="43.5" customHeight="1" x14ac:dyDescent="0.25">
      <c r="A8" s="95" t="s">
        <v>383</v>
      </c>
      <c r="B8" s="131" t="s">
        <v>384</v>
      </c>
      <c r="C8" s="132" t="s">
        <v>385</v>
      </c>
      <c r="D8" s="133" t="s">
        <v>386</v>
      </c>
      <c r="E8" s="135">
        <v>34831773</v>
      </c>
      <c r="F8" s="135">
        <f>ROUND(E8,0)</f>
        <v>34831773</v>
      </c>
      <c r="G8" s="134">
        <f t="shared" si="3"/>
        <v>0</v>
      </c>
      <c r="H8" s="136"/>
      <c r="I8" s="134">
        <f>ROUND(F8,0)+331540+113683</f>
        <v>35276996</v>
      </c>
      <c r="J8" s="134">
        <f>I8-F8</f>
        <v>445223</v>
      </c>
      <c r="K8" s="137" t="s">
        <v>387</v>
      </c>
      <c r="L8" s="134">
        <f>ROUND(I8,0)</f>
        <v>35276996</v>
      </c>
      <c r="M8" s="134">
        <f>L8-I8</f>
        <v>0</v>
      </c>
      <c r="N8" s="137"/>
      <c r="O8" s="134">
        <f>ROUND(L8,0)</f>
        <v>35276996</v>
      </c>
      <c r="P8" s="134">
        <f>O8-L8</f>
        <v>0</v>
      </c>
      <c r="Q8" s="137"/>
      <c r="R8" s="134">
        <f>ROUND(O8,0)+19840</f>
        <v>35296836</v>
      </c>
      <c r="S8" s="134">
        <f>R8-O8</f>
        <v>19840</v>
      </c>
      <c r="T8" s="138" t="s">
        <v>388</v>
      </c>
      <c r="U8" s="134">
        <f>ROUND(R8,0)</f>
        <v>35296836</v>
      </c>
      <c r="V8" s="134">
        <f>U8-R8</f>
        <v>0</v>
      </c>
      <c r="W8" s="138"/>
      <c r="X8" s="134">
        <f>ROUND(U8,0)</f>
        <v>35296836</v>
      </c>
      <c r="Y8" s="134">
        <f>X8-U8</f>
        <v>0</v>
      </c>
      <c r="Z8" s="138"/>
    </row>
    <row r="9" spans="1:26" ht="32.450000000000003" customHeight="1" x14ac:dyDescent="0.25">
      <c r="C9" s="119" t="s">
        <v>389</v>
      </c>
      <c r="D9" s="120" t="s">
        <v>390</v>
      </c>
      <c r="E9" s="121">
        <v>3172850.61</v>
      </c>
      <c r="F9" s="121">
        <f>F10+F13+F16</f>
        <v>3172851</v>
      </c>
      <c r="G9" s="122">
        <f t="shared" si="3"/>
        <v>0.39000000013038516</v>
      </c>
      <c r="H9" s="123"/>
      <c r="I9" s="121">
        <f>I10+I13+I16</f>
        <v>3172851</v>
      </c>
      <c r="J9" s="122">
        <f t="shared" ref="J9:J76" si="4">I9-F9</f>
        <v>0</v>
      </c>
      <c r="K9" s="124"/>
      <c r="L9" s="121">
        <f>L10+L13+L16</f>
        <v>3172851</v>
      </c>
      <c r="M9" s="122">
        <f t="shared" ref="M9:M76" si="5">L9-I9</f>
        <v>0</v>
      </c>
      <c r="N9" s="124"/>
      <c r="O9" s="121">
        <f>O10+O13+O16</f>
        <v>3172851</v>
      </c>
      <c r="P9" s="122">
        <f t="shared" ref="P9:P76" si="6">O9-L9</f>
        <v>0</v>
      </c>
      <c r="Q9" s="124"/>
      <c r="R9" s="121">
        <f>R10+R13+R16</f>
        <v>3172851</v>
      </c>
      <c r="S9" s="122">
        <f t="shared" ref="S9:S63" si="7">R9-O9</f>
        <v>0</v>
      </c>
      <c r="T9" s="124"/>
      <c r="U9" s="121">
        <f>U10+U13+U16</f>
        <v>3172851</v>
      </c>
      <c r="V9" s="122">
        <f t="shared" ref="V9:V63" si="8">U9-R9</f>
        <v>0</v>
      </c>
      <c r="W9" s="124"/>
      <c r="X9" s="121">
        <f>X10+X13+X16</f>
        <v>3172851</v>
      </c>
      <c r="Y9" s="122">
        <f t="shared" ref="Y9:Y63" si="9">X9-U9</f>
        <v>0</v>
      </c>
      <c r="Z9" s="124"/>
    </row>
    <row r="10" spans="1:26" x14ac:dyDescent="0.25">
      <c r="B10" s="95" t="s">
        <v>391</v>
      </c>
      <c r="C10" s="139" t="s">
        <v>392</v>
      </c>
      <c r="D10" s="140" t="s">
        <v>393</v>
      </c>
      <c r="E10" s="142">
        <v>2040017.74</v>
      </c>
      <c r="F10" s="142">
        <f>SUM(F11:F12)</f>
        <v>2040018</v>
      </c>
      <c r="G10" s="141">
        <f t="shared" si="3"/>
        <v>0.26000000000931323</v>
      </c>
      <c r="H10" s="143"/>
      <c r="I10" s="141">
        <f>SUM(I11:I12)</f>
        <v>2040018</v>
      </c>
      <c r="J10" s="141">
        <f t="shared" si="4"/>
        <v>0</v>
      </c>
      <c r="K10" s="144"/>
      <c r="L10" s="141">
        <f>SUM(L11:L12)</f>
        <v>2040018</v>
      </c>
      <c r="M10" s="141">
        <f t="shared" si="5"/>
        <v>0</v>
      </c>
      <c r="N10" s="144"/>
      <c r="O10" s="141">
        <f>SUM(O11:O12)</f>
        <v>2040018</v>
      </c>
      <c r="P10" s="141">
        <f t="shared" si="6"/>
        <v>0</v>
      </c>
      <c r="Q10" s="144"/>
      <c r="R10" s="141">
        <f>SUM(R11:R12)</f>
        <v>2040018</v>
      </c>
      <c r="S10" s="141">
        <f t="shared" si="7"/>
        <v>0</v>
      </c>
      <c r="T10" s="144"/>
      <c r="U10" s="141">
        <f>SUM(U11:U12)</f>
        <v>2040018</v>
      </c>
      <c r="V10" s="141">
        <f t="shared" si="8"/>
        <v>0</v>
      </c>
      <c r="W10" s="144"/>
      <c r="X10" s="141">
        <f>SUM(X11:X12)</f>
        <v>2040018</v>
      </c>
      <c r="Y10" s="141">
        <f t="shared" si="9"/>
        <v>0</v>
      </c>
      <c r="Z10" s="144"/>
    </row>
    <row r="11" spans="1:26" x14ac:dyDescent="0.25">
      <c r="A11" s="95" t="s">
        <v>383</v>
      </c>
      <c r="B11" s="131" t="s">
        <v>394</v>
      </c>
      <c r="C11" s="132" t="s">
        <v>395</v>
      </c>
      <c r="D11" s="133" t="s">
        <v>386</v>
      </c>
      <c r="E11" s="135">
        <v>1900000</v>
      </c>
      <c r="F11" s="135">
        <f>ROUND(E11,0)</f>
        <v>1900000</v>
      </c>
      <c r="G11" s="134">
        <f t="shared" si="3"/>
        <v>0</v>
      </c>
      <c r="H11" s="146"/>
      <c r="I11" s="134">
        <f>ROUND(F11,0)</f>
        <v>1900000</v>
      </c>
      <c r="J11" s="134">
        <f t="shared" si="4"/>
        <v>0</v>
      </c>
      <c r="K11" s="147"/>
      <c r="L11" s="134">
        <f>ROUND(I11,0)</f>
        <v>1900000</v>
      </c>
      <c r="M11" s="134">
        <f t="shared" si="5"/>
        <v>0</v>
      </c>
      <c r="N11" s="147"/>
      <c r="O11" s="134">
        <f>ROUND(L11,0)</f>
        <v>1900000</v>
      </c>
      <c r="P11" s="134">
        <f t="shared" si="6"/>
        <v>0</v>
      </c>
      <c r="Q11" s="147"/>
      <c r="R11" s="134">
        <f>ROUND(O11,0)</f>
        <v>1900000</v>
      </c>
      <c r="S11" s="134">
        <f t="shared" si="7"/>
        <v>0</v>
      </c>
      <c r="T11" s="147"/>
      <c r="U11" s="134">
        <f>ROUND(R11,0)</f>
        <v>1900000</v>
      </c>
      <c r="V11" s="134">
        <f t="shared" si="8"/>
        <v>0</v>
      </c>
      <c r="W11" s="147"/>
      <c r="X11" s="134">
        <f>ROUND(U11,0)</f>
        <v>1900000</v>
      </c>
      <c r="Y11" s="134">
        <f t="shared" si="9"/>
        <v>0</v>
      </c>
      <c r="Z11" s="147"/>
    </row>
    <row r="12" spans="1:26" x14ac:dyDescent="0.25">
      <c r="A12" s="95" t="s">
        <v>383</v>
      </c>
      <c r="B12" s="131" t="s">
        <v>396</v>
      </c>
      <c r="C12" s="132" t="s">
        <v>397</v>
      </c>
      <c r="D12" s="133" t="s">
        <v>398</v>
      </c>
      <c r="E12" s="135">
        <v>140017.74</v>
      </c>
      <c r="F12" s="135">
        <f>ROUND(E12,0)</f>
        <v>140018</v>
      </c>
      <c r="G12" s="134">
        <f t="shared" si="3"/>
        <v>0.26000000000931323</v>
      </c>
      <c r="H12" s="136"/>
      <c r="I12" s="134">
        <f>ROUND(F12,0)</f>
        <v>140018</v>
      </c>
      <c r="J12" s="134">
        <f t="shared" si="4"/>
        <v>0</v>
      </c>
      <c r="K12" s="137"/>
      <c r="L12" s="134">
        <f>ROUND(I12,0)</f>
        <v>140018</v>
      </c>
      <c r="M12" s="134">
        <f t="shared" si="5"/>
        <v>0</v>
      </c>
      <c r="N12" s="137"/>
      <c r="O12" s="134">
        <f>ROUND(L12,0)</f>
        <v>140018</v>
      </c>
      <c r="P12" s="134">
        <f t="shared" si="6"/>
        <v>0</v>
      </c>
      <c r="Q12" s="137"/>
      <c r="R12" s="134">
        <f>ROUND(O12,0)</f>
        <v>140018</v>
      </c>
      <c r="S12" s="134">
        <f t="shared" si="7"/>
        <v>0</v>
      </c>
      <c r="T12" s="137"/>
      <c r="U12" s="134">
        <f>ROUND(R12,0)</f>
        <v>140018</v>
      </c>
      <c r="V12" s="134">
        <f t="shared" si="8"/>
        <v>0</v>
      </c>
      <c r="W12" s="137"/>
      <c r="X12" s="134">
        <f>ROUND(U12,0)</f>
        <v>140018</v>
      </c>
      <c r="Y12" s="134">
        <f t="shared" si="9"/>
        <v>0</v>
      </c>
      <c r="Z12" s="137"/>
    </row>
    <row r="13" spans="1:26" x14ac:dyDescent="0.25">
      <c r="B13" s="95" t="s">
        <v>399</v>
      </c>
      <c r="C13" s="139" t="s">
        <v>400</v>
      </c>
      <c r="D13" s="140" t="s">
        <v>401</v>
      </c>
      <c r="E13" s="142">
        <v>410966.93</v>
      </c>
      <c r="F13" s="142">
        <f>SUM(F14:F15)</f>
        <v>410967</v>
      </c>
      <c r="G13" s="141">
        <f t="shared" si="3"/>
        <v>7.0000000006984919E-2</v>
      </c>
      <c r="H13" s="143"/>
      <c r="I13" s="141">
        <f>SUM(I14:I15)</f>
        <v>410967</v>
      </c>
      <c r="J13" s="141">
        <f t="shared" si="4"/>
        <v>0</v>
      </c>
      <c r="K13" s="144"/>
      <c r="L13" s="141">
        <f>SUM(L14:L15)</f>
        <v>410967</v>
      </c>
      <c r="M13" s="141">
        <f t="shared" si="5"/>
        <v>0</v>
      </c>
      <c r="N13" s="144"/>
      <c r="O13" s="141">
        <f>SUM(O14:O15)</f>
        <v>410967</v>
      </c>
      <c r="P13" s="141">
        <f t="shared" si="6"/>
        <v>0</v>
      </c>
      <c r="Q13" s="144"/>
      <c r="R13" s="141">
        <f>SUM(R14:R15)</f>
        <v>410967</v>
      </c>
      <c r="S13" s="141">
        <f t="shared" si="7"/>
        <v>0</v>
      </c>
      <c r="T13" s="144"/>
      <c r="U13" s="141">
        <f>SUM(U14:U15)</f>
        <v>410967</v>
      </c>
      <c r="V13" s="141">
        <f t="shared" si="8"/>
        <v>0</v>
      </c>
      <c r="W13" s="144"/>
      <c r="X13" s="141">
        <f>SUM(X14:X15)</f>
        <v>410967</v>
      </c>
      <c r="Y13" s="141">
        <f t="shared" si="9"/>
        <v>0</v>
      </c>
      <c r="Z13" s="144"/>
    </row>
    <row r="14" spans="1:26" x14ac:dyDescent="0.25">
      <c r="A14" s="95" t="s">
        <v>383</v>
      </c>
      <c r="B14" s="131" t="s">
        <v>402</v>
      </c>
      <c r="C14" s="132" t="s">
        <v>403</v>
      </c>
      <c r="D14" s="133" t="s">
        <v>404</v>
      </c>
      <c r="E14" s="135">
        <v>350989</v>
      </c>
      <c r="F14" s="135">
        <f>ROUND(E14,0)</f>
        <v>350989</v>
      </c>
      <c r="G14" s="134">
        <f t="shared" si="3"/>
        <v>0</v>
      </c>
      <c r="H14" s="149"/>
      <c r="I14" s="134">
        <f>ROUND(F14,0)</f>
        <v>350989</v>
      </c>
      <c r="J14" s="134">
        <f t="shared" si="4"/>
        <v>0</v>
      </c>
      <c r="K14" s="150"/>
      <c r="L14" s="134">
        <f>ROUND(I14,0)</f>
        <v>350989</v>
      </c>
      <c r="M14" s="134">
        <f t="shared" si="5"/>
        <v>0</v>
      </c>
      <c r="N14" s="150"/>
      <c r="O14" s="134">
        <f>ROUND(L14,0)</f>
        <v>350989</v>
      </c>
      <c r="P14" s="134">
        <f t="shared" si="6"/>
        <v>0</v>
      </c>
      <c r="Q14" s="150"/>
      <c r="R14" s="134">
        <f>ROUND(O14,0)</f>
        <v>350989</v>
      </c>
      <c r="S14" s="134">
        <f t="shared" si="7"/>
        <v>0</v>
      </c>
      <c r="T14" s="150"/>
      <c r="U14" s="134">
        <f>ROUND(R14,0)</f>
        <v>350989</v>
      </c>
      <c r="V14" s="134">
        <f t="shared" si="8"/>
        <v>0</v>
      </c>
      <c r="W14" s="150"/>
      <c r="X14" s="134">
        <f>ROUND(U14,0)</f>
        <v>350989</v>
      </c>
      <c r="Y14" s="134">
        <f t="shared" si="9"/>
        <v>0</v>
      </c>
      <c r="Z14" s="150"/>
    </row>
    <row r="15" spans="1:26" x14ac:dyDescent="0.25">
      <c r="A15" s="95" t="s">
        <v>383</v>
      </c>
      <c r="B15" s="131" t="s">
        <v>405</v>
      </c>
      <c r="C15" s="132" t="s">
        <v>406</v>
      </c>
      <c r="D15" s="133" t="s">
        <v>398</v>
      </c>
      <c r="E15" s="135">
        <v>59977.93</v>
      </c>
      <c r="F15" s="135">
        <f>ROUND(E15,0)</f>
        <v>59978</v>
      </c>
      <c r="G15" s="134">
        <f t="shared" si="3"/>
        <v>6.9999999999708962E-2</v>
      </c>
      <c r="H15" s="136"/>
      <c r="I15" s="134">
        <f>ROUND(F15,0)</f>
        <v>59978</v>
      </c>
      <c r="J15" s="134">
        <f t="shared" si="4"/>
        <v>0</v>
      </c>
      <c r="K15" s="137"/>
      <c r="L15" s="134">
        <f>ROUND(I15,0)</f>
        <v>59978</v>
      </c>
      <c r="M15" s="134">
        <f t="shared" si="5"/>
        <v>0</v>
      </c>
      <c r="N15" s="137"/>
      <c r="O15" s="134">
        <f>ROUND(L15,0)</f>
        <v>59978</v>
      </c>
      <c r="P15" s="134">
        <f t="shared" si="6"/>
        <v>0</v>
      </c>
      <c r="Q15" s="137"/>
      <c r="R15" s="134">
        <f>ROUND(O15,0)</f>
        <v>59978</v>
      </c>
      <c r="S15" s="134">
        <f t="shared" si="7"/>
        <v>0</v>
      </c>
      <c r="T15" s="137"/>
      <c r="U15" s="134">
        <f>ROUND(R15,0)</f>
        <v>59978</v>
      </c>
      <c r="V15" s="134">
        <f t="shared" si="8"/>
        <v>0</v>
      </c>
      <c r="W15" s="137"/>
      <c r="X15" s="134">
        <f>ROUND(U15,0)</f>
        <v>59978</v>
      </c>
      <c r="Y15" s="134">
        <f t="shared" si="9"/>
        <v>0</v>
      </c>
      <c r="Z15" s="137"/>
    </row>
    <row r="16" spans="1:26" ht="29.25" x14ac:dyDescent="0.25">
      <c r="B16" s="95" t="s">
        <v>407</v>
      </c>
      <c r="C16" s="139" t="s">
        <v>408</v>
      </c>
      <c r="D16" s="140" t="s">
        <v>409</v>
      </c>
      <c r="E16" s="142">
        <v>721865.94</v>
      </c>
      <c r="F16" s="142">
        <f>SUM(F17:F18)</f>
        <v>721866</v>
      </c>
      <c r="G16" s="141">
        <f t="shared" si="3"/>
        <v>6.0000000055879354E-2</v>
      </c>
      <c r="H16" s="143"/>
      <c r="I16" s="141">
        <f>SUM(I17:I18)</f>
        <v>721866</v>
      </c>
      <c r="J16" s="141">
        <f t="shared" si="4"/>
        <v>0</v>
      </c>
      <c r="K16" s="144"/>
      <c r="L16" s="141">
        <f>SUM(L17:L18)</f>
        <v>721866</v>
      </c>
      <c r="M16" s="141">
        <f t="shared" si="5"/>
        <v>0</v>
      </c>
      <c r="N16" s="144"/>
      <c r="O16" s="141">
        <f>SUM(O17:O18)</f>
        <v>721866</v>
      </c>
      <c r="P16" s="141">
        <f t="shared" si="6"/>
        <v>0</v>
      </c>
      <c r="Q16" s="144"/>
      <c r="R16" s="141">
        <f>SUM(R17:R18)</f>
        <v>721866</v>
      </c>
      <c r="S16" s="141">
        <f t="shared" si="7"/>
        <v>0</v>
      </c>
      <c r="T16" s="144"/>
      <c r="U16" s="141">
        <f>SUM(U17:U18)</f>
        <v>721866</v>
      </c>
      <c r="V16" s="141">
        <f t="shared" si="8"/>
        <v>0</v>
      </c>
      <c r="W16" s="144"/>
      <c r="X16" s="141">
        <f>SUM(X17:X18)</f>
        <v>721866</v>
      </c>
      <c r="Y16" s="141">
        <f t="shared" si="9"/>
        <v>0</v>
      </c>
      <c r="Z16" s="144"/>
    </row>
    <row r="17" spans="1:26" ht="18.75" customHeight="1" x14ac:dyDescent="0.25">
      <c r="A17" s="95" t="s">
        <v>383</v>
      </c>
      <c r="B17" s="131" t="s">
        <v>410</v>
      </c>
      <c r="C17" s="132" t="s">
        <v>411</v>
      </c>
      <c r="D17" s="133" t="s">
        <v>404</v>
      </c>
      <c r="E17" s="135">
        <v>650000</v>
      </c>
      <c r="F17" s="135">
        <f>ROUND(E17,0)</f>
        <v>650000</v>
      </c>
      <c r="G17" s="134">
        <f t="shared" si="3"/>
        <v>0</v>
      </c>
      <c r="H17" s="149"/>
      <c r="I17" s="134">
        <f>ROUND(F17,0)</f>
        <v>650000</v>
      </c>
      <c r="J17" s="134">
        <f t="shared" si="4"/>
        <v>0</v>
      </c>
      <c r="K17" s="150"/>
      <c r="L17" s="134">
        <f>ROUND(I17,0)</f>
        <v>650000</v>
      </c>
      <c r="M17" s="134">
        <f t="shared" si="5"/>
        <v>0</v>
      </c>
      <c r="N17" s="150"/>
      <c r="O17" s="134">
        <f>ROUND(L17,0)</f>
        <v>650000</v>
      </c>
      <c r="P17" s="134">
        <f t="shared" si="6"/>
        <v>0</v>
      </c>
      <c r="Q17" s="150"/>
      <c r="R17" s="134">
        <f>ROUND(O17,0)</f>
        <v>650000</v>
      </c>
      <c r="S17" s="134">
        <f t="shared" si="7"/>
        <v>0</v>
      </c>
      <c r="T17" s="150"/>
      <c r="U17" s="134">
        <f>ROUND(R17,0)</f>
        <v>650000</v>
      </c>
      <c r="V17" s="134">
        <f t="shared" si="8"/>
        <v>0</v>
      </c>
      <c r="W17" s="150"/>
      <c r="X17" s="134">
        <f>ROUND(U17,0)</f>
        <v>650000</v>
      </c>
      <c r="Y17" s="134">
        <f t="shared" si="9"/>
        <v>0</v>
      </c>
      <c r="Z17" s="150"/>
    </row>
    <row r="18" spans="1:26" x14ac:dyDescent="0.25">
      <c r="A18" s="95" t="s">
        <v>383</v>
      </c>
      <c r="B18" s="131" t="s">
        <v>412</v>
      </c>
      <c r="C18" s="132" t="s">
        <v>413</v>
      </c>
      <c r="D18" s="133" t="s">
        <v>398</v>
      </c>
      <c r="E18" s="135">
        <v>71865.94</v>
      </c>
      <c r="F18" s="135">
        <f>ROUND(E18,0)</f>
        <v>71866</v>
      </c>
      <c r="G18" s="134">
        <f t="shared" si="3"/>
        <v>5.9999999997671694E-2</v>
      </c>
      <c r="H18" s="146"/>
      <c r="I18" s="134">
        <f>ROUND(F18,0)</f>
        <v>71866</v>
      </c>
      <c r="J18" s="134">
        <f t="shared" si="4"/>
        <v>0</v>
      </c>
      <c r="K18" s="147"/>
      <c r="L18" s="134">
        <f>ROUND(I18,0)</f>
        <v>71866</v>
      </c>
      <c r="M18" s="134">
        <f t="shared" si="5"/>
        <v>0</v>
      </c>
      <c r="N18" s="147"/>
      <c r="O18" s="134">
        <f>ROUND(L18,0)</f>
        <v>71866</v>
      </c>
      <c r="P18" s="134">
        <f t="shared" si="6"/>
        <v>0</v>
      </c>
      <c r="Q18" s="147"/>
      <c r="R18" s="134">
        <f>ROUND(O18,0)</f>
        <v>71866</v>
      </c>
      <c r="S18" s="134">
        <f t="shared" si="7"/>
        <v>0</v>
      </c>
      <c r="T18" s="147"/>
      <c r="U18" s="134">
        <f>ROUND(R18,0)</f>
        <v>71866</v>
      </c>
      <c r="V18" s="134">
        <f t="shared" si="8"/>
        <v>0</v>
      </c>
      <c r="W18" s="147"/>
      <c r="X18" s="134">
        <f>ROUND(U18,0)</f>
        <v>71866</v>
      </c>
      <c r="Y18" s="134">
        <f t="shared" si="9"/>
        <v>0</v>
      </c>
      <c r="Z18" s="147"/>
    </row>
    <row r="19" spans="1:26" ht="29.25" x14ac:dyDescent="0.25">
      <c r="B19" s="151"/>
      <c r="C19" s="139" t="s">
        <v>414</v>
      </c>
      <c r="D19" s="140" t="s">
        <v>415</v>
      </c>
      <c r="E19" s="142">
        <v>70000</v>
      </c>
      <c r="F19" s="142">
        <f t="shared" ref="F19" si="10">SUM(F20:F21)</f>
        <v>70000</v>
      </c>
      <c r="G19" s="141">
        <f t="shared" si="3"/>
        <v>0</v>
      </c>
      <c r="H19" s="143"/>
      <c r="I19" s="141">
        <f>SUM(I20:I21)</f>
        <v>70000</v>
      </c>
      <c r="J19" s="141">
        <f t="shared" si="4"/>
        <v>0</v>
      </c>
      <c r="K19" s="144"/>
      <c r="L19" s="141">
        <f>SUM(L20:L21)</f>
        <v>70000</v>
      </c>
      <c r="M19" s="141">
        <f t="shared" si="5"/>
        <v>0</v>
      </c>
      <c r="N19" s="144"/>
      <c r="O19" s="141">
        <f>SUM(O20:O21)</f>
        <v>70000</v>
      </c>
      <c r="P19" s="141">
        <f t="shared" si="6"/>
        <v>0</v>
      </c>
      <c r="Q19" s="144"/>
      <c r="R19" s="141">
        <f>SUM(R20:R21)</f>
        <v>70000</v>
      </c>
      <c r="S19" s="141">
        <f t="shared" si="7"/>
        <v>0</v>
      </c>
      <c r="T19" s="144"/>
      <c r="U19" s="141">
        <f>SUM(U20:U21)</f>
        <v>70000</v>
      </c>
      <c r="V19" s="141">
        <f t="shared" si="8"/>
        <v>0</v>
      </c>
      <c r="W19" s="144"/>
      <c r="X19" s="141">
        <f>SUM(X20:X21)</f>
        <v>70000</v>
      </c>
      <c r="Y19" s="141">
        <f t="shared" si="9"/>
        <v>0</v>
      </c>
      <c r="Z19" s="144"/>
    </row>
    <row r="20" spans="1:26" ht="14.45" customHeight="1" outlineLevel="1" x14ac:dyDescent="0.25">
      <c r="B20" s="131" t="s">
        <v>416</v>
      </c>
      <c r="C20" s="132" t="s">
        <v>417</v>
      </c>
      <c r="D20" s="133" t="s">
        <v>418</v>
      </c>
      <c r="E20" s="135">
        <v>0</v>
      </c>
      <c r="F20" s="135">
        <f>ROUND(E20,0)</f>
        <v>0</v>
      </c>
      <c r="G20" s="134">
        <f t="shared" si="3"/>
        <v>0</v>
      </c>
      <c r="H20" s="149"/>
      <c r="I20" s="134">
        <f>ROUND(F20,0)</f>
        <v>0</v>
      </c>
      <c r="J20" s="134">
        <f t="shared" si="4"/>
        <v>0</v>
      </c>
      <c r="K20" s="150"/>
      <c r="L20" s="134">
        <f>ROUND(I20,0)</f>
        <v>0</v>
      </c>
      <c r="M20" s="134">
        <f t="shared" si="5"/>
        <v>0</v>
      </c>
      <c r="N20" s="150"/>
      <c r="O20" s="134">
        <f>ROUND(L20,0)</f>
        <v>0</v>
      </c>
      <c r="P20" s="134">
        <f t="shared" si="6"/>
        <v>0</v>
      </c>
      <c r="Q20" s="150"/>
      <c r="R20" s="134">
        <f>ROUND(O20,0)</f>
        <v>0</v>
      </c>
      <c r="S20" s="134">
        <f t="shared" si="7"/>
        <v>0</v>
      </c>
      <c r="T20" s="150"/>
      <c r="U20" s="134">
        <f>ROUND(R20,0)</f>
        <v>0</v>
      </c>
      <c r="V20" s="134">
        <f t="shared" si="8"/>
        <v>0</v>
      </c>
      <c r="W20" s="150"/>
      <c r="X20" s="134">
        <f>ROUND(U20,0)</f>
        <v>0</v>
      </c>
      <c r="Y20" s="134">
        <f t="shared" si="9"/>
        <v>0</v>
      </c>
      <c r="Z20" s="150"/>
    </row>
    <row r="21" spans="1:26" ht="15.6" customHeight="1" x14ac:dyDescent="0.25">
      <c r="B21" s="131" t="s">
        <v>419</v>
      </c>
      <c r="C21" s="132" t="s">
        <v>417</v>
      </c>
      <c r="D21" s="133" t="s">
        <v>420</v>
      </c>
      <c r="E21" s="135">
        <v>70000</v>
      </c>
      <c r="F21" s="135">
        <f>ROUND(E21,0)</f>
        <v>70000</v>
      </c>
      <c r="G21" s="134">
        <f t="shared" si="3"/>
        <v>0</v>
      </c>
      <c r="H21" s="152"/>
      <c r="I21" s="134">
        <f>ROUND(F21,0)</f>
        <v>70000</v>
      </c>
      <c r="J21" s="134">
        <f t="shared" si="4"/>
        <v>0</v>
      </c>
      <c r="K21" s="153"/>
      <c r="L21" s="134">
        <f>ROUND(I21,0)</f>
        <v>70000</v>
      </c>
      <c r="M21" s="134">
        <f t="shared" si="5"/>
        <v>0</v>
      </c>
      <c r="N21" s="153"/>
      <c r="O21" s="134">
        <f>ROUND(L21,0)</f>
        <v>70000</v>
      </c>
      <c r="P21" s="134">
        <f t="shared" si="6"/>
        <v>0</v>
      </c>
      <c r="Q21" s="153"/>
      <c r="R21" s="134">
        <f>ROUND(O21,0)</f>
        <v>70000</v>
      </c>
      <c r="S21" s="134">
        <f t="shared" si="7"/>
        <v>0</v>
      </c>
      <c r="T21" s="153"/>
      <c r="U21" s="134">
        <f>ROUND(R21,0)</f>
        <v>70000</v>
      </c>
      <c r="V21" s="134">
        <f t="shared" si="8"/>
        <v>0</v>
      </c>
      <c r="W21" s="153"/>
      <c r="X21" s="134">
        <f>ROUND(U21,0)</f>
        <v>70000</v>
      </c>
      <c r="Y21" s="134">
        <f t="shared" si="9"/>
        <v>0</v>
      </c>
      <c r="Z21" s="153"/>
    </row>
    <row r="22" spans="1:26" ht="15.75" customHeight="1" x14ac:dyDescent="0.25">
      <c r="B22" s="95" t="s">
        <v>421</v>
      </c>
      <c r="C22" s="139" t="s">
        <v>422</v>
      </c>
      <c r="D22" s="140" t="s">
        <v>423</v>
      </c>
      <c r="E22" s="142">
        <v>160000</v>
      </c>
      <c r="F22" s="142">
        <f t="shared" ref="F22" si="11">F23+F27</f>
        <v>160000</v>
      </c>
      <c r="G22" s="141">
        <f t="shared" si="3"/>
        <v>0</v>
      </c>
      <c r="H22" s="143"/>
      <c r="I22" s="141">
        <f>I23+I27</f>
        <v>160000</v>
      </c>
      <c r="J22" s="141">
        <f t="shared" si="4"/>
        <v>0</v>
      </c>
      <c r="K22" s="144"/>
      <c r="L22" s="141">
        <f>L23+L27</f>
        <v>160000</v>
      </c>
      <c r="M22" s="141">
        <f t="shared" si="5"/>
        <v>0</v>
      </c>
      <c r="N22" s="144"/>
      <c r="O22" s="141">
        <f>O23+O27</f>
        <v>167000</v>
      </c>
      <c r="P22" s="141">
        <f t="shared" si="6"/>
        <v>7000</v>
      </c>
      <c r="Q22" s="144"/>
      <c r="R22" s="141">
        <f>R23+R27</f>
        <v>167000</v>
      </c>
      <c r="S22" s="141">
        <f t="shared" si="7"/>
        <v>0</v>
      </c>
      <c r="T22" s="144"/>
      <c r="U22" s="141">
        <f>U23+U27</f>
        <v>167000</v>
      </c>
      <c r="V22" s="141">
        <f t="shared" si="8"/>
        <v>0</v>
      </c>
      <c r="W22" s="144"/>
      <c r="X22" s="141">
        <f>X23+X27</f>
        <v>167000</v>
      </c>
      <c r="Y22" s="141">
        <f t="shared" si="9"/>
        <v>0</v>
      </c>
      <c r="Z22" s="144"/>
    </row>
    <row r="23" spans="1:26" x14ac:dyDescent="0.25">
      <c r="A23" s="95" t="s">
        <v>383</v>
      </c>
      <c r="B23" s="95" t="s">
        <v>424</v>
      </c>
      <c r="C23" s="132" t="s">
        <v>425</v>
      </c>
      <c r="D23" s="133" t="s">
        <v>426</v>
      </c>
      <c r="E23" s="135">
        <v>6700</v>
      </c>
      <c r="F23" s="135">
        <f>F24+F25+F26</f>
        <v>6700</v>
      </c>
      <c r="G23" s="134">
        <f>F23-E23</f>
        <v>0</v>
      </c>
      <c r="H23" s="146"/>
      <c r="I23" s="134">
        <f>I24+I25+I26</f>
        <v>6700</v>
      </c>
      <c r="J23" s="134">
        <f t="shared" si="4"/>
        <v>0</v>
      </c>
      <c r="K23" s="147"/>
      <c r="L23" s="134">
        <f>L24+L25+L26</f>
        <v>6700</v>
      </c>
      <c r="M23" s="134">
        <f t="shared" si="5"/>
        <v>0</v>
      </c>
      <c r="N23" s="147"/>
      <c r="O23" s="134">
        <f>O24+O25+O26</f>
        <v>6700</v>
      </c>
      <c r="P23" s="134">
        <f t="shared" si="6"/>
        <v>0</v>
      </c>
      <c r="Q23" s="147"/>
      <c r="R23" s="134">
        <f>R24+R25+R26</f>
        <v>6700</v>
      </c>
      <c r="S23" s="134">
        <f t="shared" si="7"/>
        <v>0</v>
      </c>
      <c r="T23" s="147"/>
      <c r="U23" s="134">
        <f>U24+U25+U26</f>
        <v>6700</v>
      </c>
      <c r="V23" s="134">
        <f t="shared" si="8"/>
        <v>0</v>
      </c>
      <c r="W23" s="147"/>
      <c r="X23" s="134">
        <f>X24+X25+X26</f>
        <v>6700</v>
      </c>
      <c r="Y23" s="134">
        <f t="shared" si="9"/>
        <v>0</v>
      </c>
      <c r="Z23" s="147"/>
    </row>
    <row r="24" spans="1:26" ht="26.25" x14ac:dyDescent="0.25">
      <c r="B24" s="131" t="s">
        <v>427</v>
      </c>
      <c r="C24" s="154" t="s">
        <v>428</v>
      </c>
      <c r="D24" s="155" t="s">
        <v>429</v>
      </c>
      <c r="E24" s="135">
        <v>1700</v>
      </c>
      <c r="F24" s="135">
        <f>ROUND(E24,0)</f>
        <v>1700</v>
      </c>
      <c r="G24" s="134">
        <f t="shared" si="3"/>
        <v>0</v>
      </c>
      <c r="H24" s="146"/>
      <c r="I24" s="134">
        <f>ROUND(F24,0)</f>
        <v>1700</v>
      </c>
      <c r="J24" s="134">
        <f t="shared" si="4"/>
        <v>0</v>
      </c>
      <c r="K24" s="147"/>
      <c r="L24" s="134">
        <f>ROUND(I24,0)</f>
        <v>1700</v>
      </c>
      <c r="M24" s="134">
        <f t="shared" si="5"/>
        <v>0</v>
      </c>
      <c r="N24" s="147"/>
      <c r="O24" s="134">
        <f>ROUND(L24,0)</f>
        <v>1700</v>
      </c>
      <c r="P24" s="134">
        <f t="shared" si="6"/>
        <v>0</v>
      </c>
      <c r="Q24" s="147"/>
      <c r="R24" s="134">
        <f>ROUND(O24,0)</f>
        <v>1700</v>
      </c>
      <c r="S24" s="134">
        <f t="shared" si="7"/>
        <v>0</v>
      </c>
      <c r="T24" s="147"/>
      <c r="U24" s="134">
        <f>ROUND(R24,0)</f>
        <v>1700</v>
      </c>
      <c r="V24" s="134">
        <f t="shared" si="8"/>
        <v>0</v>
      </c>
      <c r="W24" s="147"/>
      <c r="X24" s="134">
        <f>ROUND(U24,0)</f>
        <v>1700</v>
      </c>
      <c r="Y24" s="134">
        <f t="shared" si="9"/>
        <v>0</v>
      </c>
      <c r="Z24" s="147"/>
    </row>
    <row r="25" spans="1:26" ht="26.25" x14ac:dyDescent="0.25">
      <c r="B25" s="131" t="s">
        <v>430</v>
      </c>
      <c r="C25" s="154" t="s">
        <v>431</v>
      </c>
      <c r="D25" s="155" t="s">
        <v>432</v>
      </c>
      <c r="E25" s="135">
        <v>4500</v>
      </c>
      <c r="F25" s="135">
        <f>ROUND(E25,0)</f>
        <v>4500</v>
      </c>
      <c r="G25" s="134">
        <f t="shared" si="3"/>
        <v>0</v>
      </c>
      <c r="H25" s="146"/>
      <c r="I25" s="134">
        <f>ROUND(F25,0)</f>
        <v>4500</v>
      </c>
      <c r="J25" s="134">
        <f t="shared" si="4"/>
        <v>0</v>
      </c>
      <c r="K25" s="147"/>
      <c r="L25" s="134">
        <f>ROUND(I25,0)</f>
        <v>4500</v>
      </c>
      <c r="M25" s="134">
        <f t="shared" si="5"/>
        <v>0</v>
      </c>
      <c r="N25" s="147"/>
      <c r="O25" s="134">
        <f>ROUND(L25,0)</f>
        <v>4500</v>
      </c>
      <c r="P25" s="134">
        <f t="shared" si="6"/>
        <v>0</v>
      </c>
      <c r="Q25" s="147"/>
      <c r="R25" s="134">
        <f>ROUND(O25,0)</f>
        <v>4500</v>
      </c>
      <c r="S25" s="134">
        <f t="shared" si="7"/>
        <v>0</v>
      </c>
      <c r="T25" s="147"/>
      <c r="U25" s="134">
        <f>ROUND(R25,0)</f>
        <v>4500</v>
      </c>
      <c r="V25" s="134">
        <f t="shared" si="8"/>
        <v>0</v>
      </c>
      <c r="W25" s="147"/>
      <c r="X25" s="134">
        <f>ROUND(U25,0)</f>
        <v>4500</v>
      </c>
      <c r="Y25" s="134">
        <f t="shared" si="9"/>
        <v>0</v>
      </c>
      <c r="Z25" s="147"/>
    </row>
    <row r="26" spans="1:26" ht="26.25" x14ac:dyDescent="0.25">
      <c r="B26" s="131" t="s">
        <v>433</v>
      </c>
      <c r="C26" s="154" t="s">
        <v>434</v>
      </c>
      <c r="D26" s="155" t="s">
        <v>435</v>
      </c>
      <c r="E26" s="135">
        <v>500</v>
      </c>
      <c r="F26" s="135">
        <f>ROUND(E26,0)</f>
        <v>500</v>
      </c>
      <c r="G26" s="134">
        <f t="shared" si="3"/>
        <v>0</v>
      </c>
      <c r="H26" s="146"/>
      <c r="I26" s="134">
        <f>ROUND(F26,0)</f>
        <v>500</v>
      </c>
      <c r="J26" s="134">
        <f t="shared" si="4"/>
        <v>0</v>
      </c>
      <c r="K26" s="147"/>
      <c r="L26" s="134">
        <f>ROUND(I26,0)</f>
        <v>500</v>
      </c>
      <c r="M26" s="134">
        <f t="shared" si="5"/>
        <v>0</v>
      </c>
      <c r="N26" s="147"/>
      <c r="O26" s="134">
        <f>ROUND(L26,0)</f>
        <v>500</v>
      </c>
      <c r="P26" s="134">
        <f t="shared" si="6"/>
        <v>0</v>
      </c>
      <c r="Q26" s="147"/>
      <c r="R26" s="134">
        <f>ROUND(O26,0)</f>
        <v>500</v>
      </c>
      <c r="S26" s="134">
        <f t="shared" si="7"/>
        <v>0</v>
      </c>
      <c r="T26" s="147"/>
      <c r="U26" s="134">
        <f>ROUND(R26,0)</f>
        <v>500</v>
      </c>
      <c r="V26" s="134">
        <f t="shared" si="8"/>
        <v>0</v>
      </c>
      <c r="W26" s="147"/>
      <c r="X26" s="134">
        <f>ROUND(U26,0)</f>
        <v>500</v>
      </c>
      <c r="Y26" s="134">
        <f t="shared" si="9"/>
        <v>0</v>
      </c>
      <c r="Z26" s="147"/>
    </row>
    <row r="27" spans="1:26" x14ac:dyDescent="0.25">
      <c r="A27" s="95" t="s">
        <v>383</v>
      </c>
      <c r="B27" s="95" t="s">
        <v>436</v>
      </c>
      <c r="C27" s="132" t="s">
        <v>437</v>
      </c>
      <c r="D27" s="133" t="s">
        <v>438</v>
      </c>
      <c r="E27" s="135">
        <v>153300</v>
      </c>
      <c r="F27" s="135">
        <f t="shared" ref="F27" si="12">SUM(F28:F33)</f>
        <v>153300</v>
      </c>
      <c r="G27" s="134">
        <f t="shared" si="3"/>
        <v>0</v>
      </c>
      <c r="H27" s="146"/>
      <c r="I27" s="134">
        <f>SUM(I28:I33)</f>
        <v>153300</v>
      </c>
      <c r="J27" s="134">
        <f t="shared" si="4"/>
        <v>0</v>
      </c>
      <c r="K27" s="147"/>
      <c r="L27" s="134">
        <f>SUM(L28:L33)</f>
        <v>153300</v>
      </c>
      <c r="M27" s="134">
        <f t="shared" si="5"/>
        <v>0</v>
      </c>
      <c r="N27" s="147"/>
      <c r="O27" s="134">
        <f>SUM(O28:O33)</f>
        <v>160300</v>
      </c>
      <c r="P27" s="134">
        <f t="shared" si="6"/>
        <v>7000</v>
      </c>
      <c r="Q27" s="147"/>
      <c r="R27" s="134">
        <f>SUM(R28:R33)</f>
        <v>160300</v>
      </c>
      <c r="S27" s="134">
        <f t="shared" si="7"/>
        <v>0</v>
      </c>
      <c r="T27" s="147"/>
      <c r="U27" s="134">
        <f>SUM(U28:U33)</f>
        <v>160300</v>
      </c>
      <c r="V27" s="134">
        <f t="shared" si="8"/>
        <v>0</v>
      </c>
      <c r="W27" s="147"/>
      <c r="X27" s="134">
        <f>SUM(X28:X33)</f>
        <v>160300</v>
      </c>
      <c r="Y27" s="134">
        <f t="shared" si="9"/>
        <v>0</v>
      </c>
      <c r="Z27" s="147"/>
    </row>
    <row r="28" spans="1:26" ht="26.25" x14ac:dyDescent="0.25">
      <c r="B28" s="131" t="s">
        <v>439</v>
      </c>
      <c r="C28" s="154" t="s">
        <v>440</v>
      </c>
      <c r="D28" s="155" t="s">
        <v>441</v>
      </c>
      <c r="E28" s="135">
        <v>350</v>
      </c>
      <c r="F28" s="135">
        <f t="shared" ref="F28:F33" si="13">ROUND(E28,0)</f>
        <v>350</v>
      </c>
      <c r="G28" s="134">
        <f t="shared" si="3"/>
        <v>0</v>
      </c>
      <c r="H28" s="146"/>
      <c r="I28" s="134">
        <f t="shared" ref="I28:I33" si="14">ROUND(F28,0)</f>
        <v>350</v>
      </c>
      <c r="J28" s="134">
        <f t="shared" si="4"/>
        <v>0</v>
      </c>
      <c r="K28" s="147"/>
      <c r="L28" s="134">
        <f t="shared" ref="L28:L33" si="15">ROUND(I28,0)</f>
        <v>350</v>
      </c>
      <c r="M28" s="134">
        <f t="shared" si="5"/>
        <v>0</v>
      </c>
      <c r="N28" s="147"/>
      <c r="O28" s="134">
        <f t="shared" ref="O28:O33" si="16">ROUND(L28,0)</f>
        <v>350</v>
      </c>
      <c r="P28" s="134">
        <f t="shared" si="6"/>
        <v>0</v>
      </c>
      <c r="Q28" s="147"/>
      <c r="R28" s="134">
        <f t="shared" ref="R28:R33" si="17">ROUND(O28,0)</f>
        <v>350</v>
      </c>
      <c r="S28" s="134">
        <f t="shared" si="7"/>
        <v>0</v>
      </c>
      <c r="T28" s="147"/>
      <c r="U28" s="134">
        <f t="shared" ref="U28:U33" si="18">ROUND(R28,0)</f>
        <v>350</v>
      </c>
      <c r="V28" s="134">
        <f t="shared" si="8"/>
        <v>0</v>
      </c>
      <c r="W28" s="147"/>
      <c r="X28" s="134">
        <f t="shared" ref="X28:X33" si="19">ROUND(U28,0)</f>
        <v>350</v>
      </c>
      <c r="Y28" s="134">
        <f t="shared" si="9"/>
        <v>0</v>
      </c>
      <c r="Z28" s="147"/>
    </row>
    <row r="29" spans="1:26" ht="26.25" x14ac:dyDescent="0.25">
      <c r="B29" s="156" t="s">
        <v>442</v>
      </c>
      <c r="C29" s="154" t="s">
        <v>443</v>
      </c>
      <c r="D29" s="155" t="s">
        <v>444</v>
      </c>
      <c r="E29" s="135">
        <v>1100</v>
      </c>
      <c r="F29" s="135">
        <f t="shared" si="13"/>
        <v>1100</v>
      </c>
      <c r="G29" s="134">
        <f t="shared" si="3"/>
        <v>0</v>
      </c>
      <c r="H29" s="146"/>
      <c r="I29" s="134">
        <f t="shared" si="14"/>
        <v>1100</v>
      </c>
      <c r="J29" s="134">
        <f t="shared" si="4"/>
        <v>0</v>
      </c>
      <c r="K29" s="147"/>
      <c r="L29" s="134">
        <f t="shared" si="15"/>
        <v>1100</v>
      </c>
      <c r="M29" s="134">
        <f t="shared" si="5"/>
        <v>0</v>
      </c>
      <c r="N29" s="147"/>
      <c r="O29" s="134">
        <f t="shared" si="16"/>
        <v>1100</v>
      </c>
      <c r="P29" s="134">
        <f t="shared" si="6"/>
        <v>0</v>
      </c>
      <c r="Q29" s="147"/>
      <c r="R29" s="134">
        <f t="shared" si="17"/>
        <v>1100</v>
      </c>
      <c r="S29" s="134">
        <f t="shared" si="7"/>
        <v>0</v>
      </c>
      <c r="T29" s="147"/>
      <c r="U29" s="134">
        <f t="shared" si="18"/>
        <v>1100</v>
      </c>
      <c r="V29" s="134">
        <f t="shared" si="8"/>
        <v>0</v>
      </c>
      <c r="W29" s="147"/>
      <c r="X29" s="134">
        <f t="shared" si="19"/>
        <v>1100</v>
      </c>
      <c r="Y29" s="134">
        <f t="shared" si="9"/>
        <v>0</v>
      </c>
      <c r="Z29" s="147"/>
    </row>
    <row r="30" spans="1:26" ht="60" x14ac:dyDescent="0.25">
      <c r="B30" s="131" t="s">
        <v>445</v>
      </c>
      <c r="C30" s="154" t="s">
        <v>446</v>
      </c>
      <c r="D30" s="155" t="s">
        <v>447</v>
      </c>
      <c r="E30" s="135">
        <v>27000</v>
      </c>
      <c r="F30" s="135">
        <f t="shared" si="13"/>
        <v>27000</v>
      </c>
      <c r="G30" s="134">
        <f t="shared" si="3"/>
        <v>0</v>
      </c>
      <c r="H30" s="146"/>
      <c r="I30" s="134">
        <f t="shared" si="14"/>
        <v>27000</v>
      </c>
      <c r="J30" s="134">
        <f t="shared" si="4"/>
        <v>0</v>
      </c>
      <c r="K30" s="147"/>
      <c r="L30" s="134">
        <f t="shared" si="15"/>
        <v>27000</v>
      </c>
      <c r="M30" s="134">
        <f t="shared" si="5"/>
        <v>0</v>
      </c>
      <c r="N30" s="147"/>
      <c r="O30" s="134">
        <f>ROUND(L30,0)+7000</f>
        <v>34000</v>
      </c>
      <c r="P30" s="134">
        <f t="shared" si="6"/>
        <v>7000</v>
      </c>
      <c r="Q30" s="157" t="s">
        <v>448</v>
      </c>
      <c r="R30" s="134">
        <f t="shared" si="17"/>
        <v>34000</v>
      </c>
      <c r="S30" s="134">
        <f t="shared" si="7"/>
        <v>0</v>
      </c>
      <c r="T30" s="157"/>
      <c r="U30" s="134">
        <f t="shared" si="18"/>
        <v>34000</v>
      </c>
      <c r="V30" s="134">
        <f t="shared" si="8"/>
        <v>0</v>
      </c>
      <c r="W30" s="157"/>
      <c r="X30" s="134">
        <f t="shared" si="19"/>
        <v>34000</v>
      </c>
      <c r="Y30" s="134">
        <f t="shared" si="9"/>
        <v>0</v>
      </c>
      <c r="Z30" s="157"/>
    </row>
    <row r="31" spans="1:26" ht="26.25" x14ac:dyDescent="0.25">
      <c r="B31" s="131" t="s">
        <v>449</v>
      </c>
      <c r="C31" s="154" t="s">
        <v>450</v>
      </c>
      <c r="D31" s="155" t="s">
        <v>451</v>
      </c>
      <c r="E31" s="135">
        <v>11500</v>
      </c>
      <c r="F31" s="135">
        <f t="shared" si="13"/>
        <v>11500</v>
      </c>
      <c r="G31" s="134">
        <f t="shared" si="3"/>
        <v>0</v>
      </c>
      <c r="H31" s="146"/>
      <c r="I31" s="134">
        <f t="shared" si="14"/>
        <v>11500</v>
      </c>
      <c r="J31" s="134">
        <f t="shared" si="4"/>
        <v>0</v>
      </c>
      <c r="K31" s="147"/>
      <c r="L31" s="134">
        <f t="shared" si="15"/>
        <v>11500</v>
      </c>
      <c r="M31" s="134">
        <f t="shared" si="5"/>
        <v>0</v>
      </c>
      <c r="N31" s="147"/>
      <c r="O31" s="134">
        <f t="shared" si="16"/>
        <v>11500</v>
      </c>
      <c r="P31" s="134">
        <f t="shared" si="6"/>
        <v>0</v>
      </c>
      <c r="Q31" s="147"/>
      <c r="R31" s="134">
        <f t="shared" si="17"/>
        <v>11500</v>
      </c>
      <c r="S31" s="134">
        <f t="shared" si="7"/>
        <v>0</v>
      </c>
      <c r="T31" s="147"/>
      <c r="U31" s="134">
        <f t="shared" si="18"/>
        <v>11500</v>
      </c>
      <c r="V31" s="134">
        <f t="shared" si="8"/>
        <v>0</v>
      </c>
      <c r="W31" s="147"/>
      <c r="X31" s="134">
        <f t="shared" si="19"/>
        <v>11500</v>
      </c>
      <c r="Y31" s="134">
        <f t="shared" si="9"/>
        <v>0</v>
      </c>
      <c r="Z31" s="147"/>
    </row>
    <row r="32" spans="1:26" x14ac:dyDescent="0.25">
      <c r="B32" s="131" t="s">
        <v>452</v>
      </c>
      <c r="C32" s="154" t="s">
        <v>453</v>
      </c>
      <c r="D32" s="155" t="s">
        <v>454</v>
      </c>
      <c r="E32" s="135">
        <v>106350</v>
      </c>
      <c r="F32" s="135">
        <f t="shared" si="13"/>
        <v>106350</v>
      </c>
      <c r="G32" s="134">
        <f t="shared" si="3"/>
        <v>0</v>
      </c>
      <c r="H32" s="146"/>
      <c r="I32" s="134">
        <f t="shared" si="14"/>
        <v>106350</v>
      </c>
      <c r="J32" s="134">
        <f t="shared" si="4"/>
        <v>0</v>
      </c>
      <c r="K32" s="147"/>
      <c r="L32" s="134">
        <f t="shared" si="15"/>
        <v>106350</v>
      </c>
      <c r="M32" s="134">
        <f t="shared" si="5"/>
        <v>0</v>
      </c>
      <c r="N32" s="147"/>
      <c r="O32" s="134">
        <f t="shared" si="16"/>
        <v>106350</v>
      </c>
      <c r="P32" s="134">
        <f t="shared" si="6"/>
        <v>0</v>
      </c>
      <c r="Q32" s="147"/>
      <c r="R32" s="134">
        <f t="shared" si="17"/>
        <v>106350</v>
      </c>
      <c r="S32" s="134">
        <f t="shared" si="7"/>
        <v>0</v>
      </c>
      <c r="T32" s="147"/>
      <c r="U32" s="134">
        <f t="shared" si="18"/>
        <v>106350</v>
      </c>
      <c r="V32" s="134">
        <f t="shared" si="8"/>
        <v>0</v>
      </c>
      <c r="W32" s="147"/>
      <c r="X32" s="134">
        <f t="shared" si="19"/>
        <v>106350</v>
      </c>
      <c r="Y32" s="134">
        <f t="shared" si="9"/>
        <v>0</v>
      </c>
      <c r="Z32" s="147"/>
    </row>
    <row r="33" spans="1:26" x14ac:dyDescent="0.25">
      <c r="B33" s="131" t="s">
        <v>455</v>
      </c>
      <c r="C33" s="154" t="s">
        <v>456</v>
      </c>
      <c r="D33" s="155" t="s">
        <v>457</v>
      </c>
      <c r="E33" s="135">
        <v>7000</v>
      </c>
      <c r="F33" s="135">
        <f t="shared" si="13"/>
        <v>7000</v>
      </c>
      <c r="G33" s="134">
        <f t="shared" si="3"/>
        <v>0</v>
      </c>
      <c r="H33" s="146"/>
      <c r="I33" s="134">
        <f t="shared" si="14"/>
        <v>7000</v>
      </c>
      <c r="J33" s="134">
        <f t="shared" si="4"/>
        <v>0</v>
      </c>
      <c r="K33" s="147"/>
      <c r="L33" s="134">
        <f t="shared" si="15"/>
        <v>7000</v>
      </c>
      <c r="M33" s="134">
        <f t="shared" si="5"/>
        <v>0</v>
      </c>
      <c r="N33" s="147"/>
      <c r="O33" s="134">
        <f t="shared" si="16"/>
        <v>7000</v>
      </c>
      <c r="P33" s="134">
        <f t="shared" si="6"/>
        <v>0</v>
      </c>
      <c r="Q33" s="147"/>
      <c r="R33" s="134">
        <f t="shared" si="17"/>
        <v>7000</v>
      </c>
      <c r="S33" s="134">
        <f t="shared" si="7"/>
        <v>0</v>
      </c>
      <c r="T33" s="147"/>
      <c r="U33" s="134">
        <f t="shared" si="18"/>
        <v>7000</v>
      </c>
      <c r="V33" s="134">
        <f t="shared" si="8"/>
        <v>0</v>
      </c>
      <c r="W33" s="147"/>
      <c r="X33" s="134">
        <f t="shared" si="19"/>
        <v>7000</v>
      </c>
      <c r="Y33" s="134">
        <f t="shared" si="9"/>
        <v>0</v>
      </c>
      <c r="Z33" s="147"/>
    </row>
    <row r="34" spans="1:26" ht="18" customHeight="1" x14ac:dyDescent="0.25">
      <c r="B34" s="95" t="s">
        <v>458</v>
      </c>
      <c r="C34" s="139" t="s">
        <v>459</v>
      </c>
      <c r="D34" s="140" t="s">
        <v>460</v>
      </c>
      <c r="E34" s="142">
        <v>65000</v>
      </c>
      <c r="F34" s="142">
        <f>F35+F36</f>
        <v>65000</v>
      </c>
      <c r="G34" s="141">
        <f t="shared" si="3"/>
        <v>0</v>
      </c>
      <c r="H34" s="158"/>
      <c r="I34" s="141">
        <f>I35+I36</f>
        <v>65000</v>
      </c>
      <c r="J34" s="141">
        <f t="shared" si="4"/>
        <v>0</v>
      </c>
      <c r="K34" s="159"/>
      <c r="L34" s="141">
        <f>L35+L36</f>
        <v>65000</v>
      </c>
      <c r="M34" s="141">
        <f t="shared" si="5"/>
        <v>0</v>
      </c>
      <c r="N34" s="159"/>
      <c r="O34" s="141">
        <f>O35+O36</f>
        <v>65000</v>
      </c>
      <c r="P34" s="141">
        <f t="shared" si="6"/>
        <v>0</v>
      </c>
      <c r="Q34" s="159"/>
      <c r="R34" s="141">
        <f>R35+R36</f>
        <v>110000</v>
      </c>
      <c r="S34" s="141">
        <f t="shared" si="7"/>
        <v>45000</v>
      </c>
      <c r="T34" s="159"/>
      <c r="U34" s="141">
        <f>U35+U36</f>
        <v>150000</v>
      </c>
      <c r="V34" s="141">
        <f t="shared" si="8"/>
        <v>40000</v>
      </c>
      <c r="W34" s="159"/>
      <c r="X34" s="141">
        <f>X35+X36</f>
        <v>150000</v>
      </c>
      <c r="Y34" s="141">
        <f t="shared" si="9"/>
        <v>0</v>
      </c>
      <c r="Z34" s="159"/>
    </row>
    <row r="35" spans="1:26" ht="16.5" customHeight="1" x14ac:dyDescent="0.25">
      <c r="B35" s="151" t="s">
        <v>461</v>
      </c>
      <c r="C35" s="132" t="s">
        <v>462</v>
      </c>
      <c r="D35" s="133" t="s">
        <v>460</v>
      </c>
      <c r="E35" s="135">
        <v>31000</v>
      </c>
      <c r="F35" s="135">
        <f>ROUND(E35,0)</f>
        <v>31000</v>
      </c>
      <c r="G35" s="134">
        <f t="shared" si="3"/>
        <v>0</v>
      </c>
      <c r="H35" s="136"/>
      <c r="I35" s="134">
        <f>ROUND(F35,0)</f>
        <v>31000</v>
      </c>
      <c r="J35" s="134">
        <f t="shared" si="4"/>
        <v>0</v>
      </c>
      <c r="K35" s="137"/>
      <c r="L35" s="134">
        <f>ROUND(I35,0)</f>
        <v>31000</v>
      </c>
      <c r="M35" s="134">
        <f t="shared" si="5"/>
        <v>0</v>
      </c>
      <c r="N35" s="137"/>
      <c r="O35" s="134">
        <f>ROUND(L35,0)</f>
        <v>31000</v>
      </c>
      <c r="P35" s="134">
        <f t="shared" si="6"/>
        <v>0</v>
      </c>
      <c r="Q35" s="137"/>
      <c r="R35" s="134">
        <f>ROUND(O35,0)+45000</f>
        <v>76000</v>
      </c>
      <c r="S35" s="134">
        <f t="shared" si="7"/>
        <v>45000</v>
      </c>
      <c r="T35" s="137" t="s">
        <v>463</v>
      </c>
      <c r="U35" s="134">
        <f>ROUND(R35,0)+40000</f>
        <v>116000</v>
      </c>
      <c r="V35" s="134">
        <f t="shared" si="8"/>
        <v>40000</v>
      </c>
      <c r="W35" s="137" t="s">
        <v>464</v>
      </c>
      <c r="X35" s="134">
        <f>ROUND(U35,0)</f>
        <v>116000</v>
      </c>
      <c r="Y35" s="134">
        <f t="shared" si="9"/>
        <v>0</v>
      </c>
      <c r="Z35" s="137"/>
    </row>
    <row r="36" spans="1:26" ht="30" x14ac:dyDescent="0.25">
      <c r="B36" s="151" t="s">
        <v>465</v>
      </c>
      <c r="C36" s="132" t="s">
        <v>466</v>
      </c>
      <c r="D36" s="133" t="s">
        <v>467</v>
      </c>
      <c r="E36" s="135">
        <v>34000</v>
      </c>
      <c r="F36" s="135">
        <f>ROUND(E36,0)</f>
        <v>34000</v>
      </c>
      <c r="G36" s="134">
        <f t="shared" si="3"/>
        <v>0</v>
      </c>
      <c r="H36" s="136"/>
      <c r="I36" s="134">
        <f>ROUND(F36,0)</f>
        <v>34000</v>
      </c>
      <c r="J36" s="134">
        <f t="shared" si="4"/>
        <v>0</v>
      </c>
      <c r="K36" s="137"/>
      <c r="L36" s="134">
        <f>ROUND(I36,0)</f>
        <v>34000</v>
      </c>
      <c r="M36" s="134">
        <f t="shared" si="5"/>
        <v>0</v>
      </c>
      <c r="N36" s="137"/>
      <c r="O36" s="134">
        <f>ROUND(L36,0)</f>
        <v>34000</v>
      </c>
      <c r="P36" s="134">
        <f t="shared" si="6"/>
        <v>0</v>
      </c>
      <c r="Q36" s="137"/>
      <c r="R36" s="134">
        <f>ROUND(O36,0)</f>
        <v>34000</v>
      </c>
      <c r="S36" s="134">
        <f t="shared" si="7"/>
        <v>0</v>
      </c>
      <c r="T36" s="137"/>
      <c r="U36" s="134">
        <f>ROUND(R36,0)</f>
        <v>34000</v>
      </c>
      <c r="V36" s="134">
        <f t="shared" si="8"/>
        <v>0</v>
      </c>
      <c r="W36" s="137"/>
      <c r="X36" s="134">
        <f>ROUND(U36,0)</f>
        <v>34000</v>
      </c>
      <c r="Y36" s="134">
        <f t="shared" si="9"/>
        <v>0</v>
      </c>
      <c r="Z36" s="137"/>
    </row>
    <row r="37" spans="1:26" x14ac:dyDescent="0.25">
      <c r="B37" s="95" t="s">
        <v>468</v>
      </c>
      <c r="C37" s="139" t="s">
        <v>469</v>
      </c>
      <c r="D37" s="140" t="s">
        <v>470</v>
      </c>
      <c r="E37" s="142">
        <v>6453</v>
      </c>
      <c r="F37" s="142">
        <f>F38+F39+F40</f>
        <v>6453</v>
      </c>
      <c r="G37" s="141">
        <f t="shared" si="3"/>
        <v>0</v>
      </c>
      <c r="H37" s="143"/>
      <c r="I37" s="141">
        <f>I38+I39+I40</f>
        <v>25797</v>
      </c>
      <c r="J37" s="141">
        <f t="shared" si="4"/>
        <v>19344</v>
      </c>
      <c r="K37" s="144"/>
      <c r="L37" s="141">
        <f>L38+L39+L40</f>
        <v>35106</v>
      </c>
      <c r="M37" s="141">
        <f t="shared" si="5"/>
        <v>9309</v>
      </c>
      <c r="N37" s="144"/>
      <c r="O37" s="141">
        <f>O38+O39+O40</f>
        <v>57106</v>
      </c>
      <c r="P37" s="141">
        <f t="shared" si="6"/>
        <v>22000</v>
      </c>
      <c r="Q37" s="144"/>
      <c r="R37" s="141">
        <f>R38+R39+R40</f>
        <v>124631</v>
      </c>
      <c r="S37" s="141">
        <f t="shared" si="7"/>
        <v>67525</v>
      </c>
      <c r="T37" s="144"/>
      <c r="U37" s="141">
        <f>U38+U39+U40</f>
        <v>161431</v>
      </c>
      <c r="V37" s="141">
        <f t="shared" si="8"/>
        <v>36800</v>
      </c>
      <c r="W37" s="144"/>
      <c r="X37" s="141">
        <f>X38+X39+X40</f>
        <v>161431</v>
      </c>
      <c r="Y37" s="141">
        <f t="shared" si="9"/>
        <v>0</v>
      </c>
      <c r="Z37" s="144"/>
    </row>
    <row r="38" spans="1:26" ht="60" customHeight="1" x14ac:dyDescent="0.25">
      <c r="A38" s="95" t="s">
        <v>383</v>
      </c>
      <c r="B38" s="98" t="s">
        <v>471</v>
      </c>
      <c r="C38" s="132" t="s">
        <v>472</v>
      </c>
      <c r="D38" s="160" t="s">
        <v>473</v>
      </c>
      <c r="E38" s="135">
        <v>0</v>
      </c>
      <c r="F38" s="135">
        <f>ROUND(E38,0)</f>
        <v>0</v>
      </c>
      <c r="G38" s="134">
        <f t="shared" si="3"/>
        <v>0</v>
      </c>
      <c r="H38" s="161"/>
      <c r="I38" s="134">
        <f>ROUND(F38,0)+19344</f>
        <v>19344</v>
      </c>
      <c r="J38" s="134">
        <f t="shared" si="4"/>
        <v>19344</v>
      </c>
      <c r="K38" s="138" t="s">
        <v>474</v>
      </c>
      <c r="L38" s="134">
        <f>ROUND(I38,0)+9309</f>
        <v>28653</v>
      </c>
      <c r="M38" s="134">
        <f t="shared" si="5"/>
        <v>9309</v>
      </c>
      <c r="N38" s="138" t="s">
        <v>475</v>
      </c>
      <c r="O38" s="134">
        <f>ROUND(L38,0)+22000</f>
        <v>50653</v>
      </c>
      <c r="P38" s="134">
        <f t="shared" si="6"/>
        <v>22000</v>
      </c>
      <c r="Q38" s="138" t="s">
        <v>476</v>
      </c>
      <c r="R38" s="134">
        <f>ROUND(O38,0)+(10000+20000)+31000</f>
        <v>111653</v>
      </c>
      <c r="S38" s="134">
        <f t="shared" si="7"/>
        <v>61000</v>
      </c>
      <c r="T38" s="138" t="s">
        <v>477</v>
      </c>
      <c r="U38" s="134">
        <f>ROUND(R38,0)+10000+20000</f>
        <v>141653</v>
      </c>
      <c r="V38" s="162">
        <f t="shared" si="8"/>
        <v>30000</v>
      </c>
      <c r="W38" s="138" t="s">
        <v>478</v>
      </c>
      <c r="X38" s="134">
        <f>ROUND(U38,0)</f>
        <v>141653</v>
      </c>
      <c r="Y38" s="134">
        <f t="shared" si="9"/>
        <v>0</v>
      </c>
      <c r="Z38" s="138"/>
    </row>
    <row r="39" spans="1:26" ht="27.75" customHeight="1" x14ac:dyDescent="0.25">
      <c r="B39" s="95" t="s">
        <v>479</v>
      </c>
      <c r="C39" s="132" t="s">
        <v>480</v>
      </c>
      <c r="D39" s="133" t="s">
        <v>481</v>
      </c>
      <c r="E39" s="135">
        <v>500</v>
      </c>
      <c r="F39" s="135">
        <f>ROUND(E39,0)</f>
        <v>500</v>
      </c>
      <c r="G39" s="134">
        <f t="shared" si="3"/>
        <v>0</v>
      </c>
      <c r="H39" s="161"/>
      <c r="I39" s="134">
        <f>ROUND(F39,0)</f>
        <v>500</v>
      </c>
      <c r="J39" s="134">
        <f t="shared" si="4"/>
        <v>0</v>
      </c>
      <c r="K39" s="138"/>
      <c r="L39" s="134">
        <f>ROUND(I39,0)</f>
        <v>500</v>
      </c>
      <c r="M39" s="134">
        <f t="shared" si="5"/>
        <v>0</v>
      </c>
      <c r="N39" s="138"/>
      <c r="O39" s="134">
        <f>ROUND(L39,0)</f>
        <v>500</v>
      </c>
      <c r="P39" s="134">
        <f t="shared" si="6"/>
        <v>0</v>
      </c>
      <c r="Q39" s="138"/>
      <c r="R39" s="134">
        <f>ROUND(O39,0)</f>
        <v>500</v>
      </c>
      <c r="S39" s="134">
        <f t="shared" si="7"/>
        <v>0</v>
      </c>
      <c r="T39" s="138"/>
      <c r="U39" s="134">
        <f>ROUND(R39,0)+6800</f>
        <v>7300</v>
      </c>
      <c r="V39" s="162">
        <f t="shared" si="8"/>
        <v>6800</v>
      </c>
      <c r="W39" s="138" t="s">
        <v>464</v>
      </c>
      <c r="X39" s="134">
        <f>ROUND(U39,0)</f>
        <v>7300</v>
      </c>
      <c r="Y39" s="134">
        <f t="shared" si="9"/>
        <v>0</v>
      </c>
      <c r="Z39" s="138"/>
    </row>
    <row r="40" spans="1:26" x14ac:dyDescent="0.25">
      <c r="C40" s="132" t="s">
        <v>482</v>
      </c>
      <c r="D40" s="133" t="s">
        <v>483</v>
      </c>
      <c r="E40" s="135">
        <v>5953</v>
      </c>
      <c r="F40" s="135">
        <f>ROUND(E40,0)</f>
        <v>5953</v>
      </c>
      <c r="G40" s="134">
        <f t="shared" si="3"/>
        <v>0</v>
      </c>
      <c r="H40" s="136"/>
      <c r="I40" s="134">
        <f>ROUND(F40,0)</f>
        <v>5953</v>
      </c>
      <c r="J40" s="134">
        <f t="shared" si="4"/>
        <v>0</v>
      </c>
      <c r="K40" s="137"/>
      <c r="L40" s="134">
        <f>ROUND(I40,0)</f>
        <v>5953</v>
      </c>
      <c r="M40" s="134">
        <f t="shared" si="5"/>
        <v>0</v>
      </c>
      <c r="N40" s="137"/>
      <c r="O40" s="134">
        <f>ROUND(L40,0)</f>
        <v>5953</v>
      </c>
      <c r="P40" s="134">
        <f t="shared" si="6"/>
        <v>0</v>
      </c>
      <c r="Q40" s="137"/>
      <c r="R40" s="134">
        <f>ROUND(O40,0)+6525</f>
        <v>12478</v>
      </c>
      <c r="S40" s="134">
        <f t="shared" si="7"/>
        <v>6525</v>
      </c>
      <c r="T40" s="137" t="s">
        <v>463</v>
      </c>
      <c r="U40" s="134">
        <f>ROUND(R40,0)</f>
        <v>12478</v>
      </c>
      <c r="V40" s="134">
        <f t="shared" si="8"/>
        <v>0</v>
      </c>
      <c r="W40" s="137"/>
      <c r="X40" s="134">
        <f>ROUND(U40,0)</f>
        <v>12478</v>
      </c>
      <c r="Y40" s="134">
        <f t="shared" si="9"/>
        <v>0</v>
      </c>
      <c r="Z40" s="137"/>
    </row>
    <row r="41" spans="1:26" ht="26.45" customHeight="1" x14ac:dyDescent="0.25">
      <c r="B41" s="95" t="s">
        <v>484</v>
      </c>
      <c r="C41" s="163" t="s">
        <v>485</v>
      </c>
      <c r="D41" s="140" t="s">
        <v>486</v>
      </c>
      <c r="E41" s="142">
        <v>5856</v>
      </c>
      <c r="F41" s="142">
        <f>ROUND(E41,0)</f>
        <v>5856</v>
      </c>
      <c r="G41" s="141">
        <f t="shared" si="3"/>
        <v>0</v>
      </c>
      <c r="H41" s="158"/>
      <c r="I41" s="141">
        <f>ROUND(F41,0)</f>
        <v>5856</v>
      </c>
      <c r="J41" s="141">
        <f t="shared" si="4"/>
        <v>0</v>
      </c>
      <c r="K41" s="159"/>
      <c r="L41" s="141">
        <f>ROUND(I41,0)+23095</f>
        <v>28951</v>
      </c>
      <c r="M41" s="141">
        <f t="shared" si="5"/>
        <v>23095</v>
      </c>
      <c r="N41" s="159" t="s">
        <v>487</v>
      </c>
      <c r="O41" s="141">
        <f>ROUND(L41,0)</f>
        <v>28951</v>
      </c>
      <c r="P41" s="141">
        <f t="shared" si="6"/>
        <v>0</v>
      </c>
      <c r="Q41" s="159"/>
      <c r="R41" s="141">
        <f>ROUND(O41,0)+30205</f>
        <v>59156</v>
      </c>
      <c r="S41" s="141">
        <f t="shared" si="7"/>
        <v>30205</v>
      </c>
      <c r="T41" s="159" t="s">
        <v>463</v>
      </c>
      <c r="U41" s="141">
        <f>ROUND(R41,0)</f>
        <v>59156</v>
      </c>
      <c r="V41" s="141">
        <f t="shared" si="8"/>
        <v>0</v>
      </c>
      <c r="W41" s="159"/>
      <c r="X41" s="141">
        <f>ROUND(U41,0)</f>
        <v>59156</v>
      </c>
      <c r="Y41" s="141">
        <f t="shared" si="9"/>
        <v>0</v>
      </c>
      <c r="Z41" s="159"/>
    </row>
    <row r="42" spans="1:26" ht="31.5" customHeight="1" x14ac:dyDescent="0.25">
      <c r="C42" s="163" t="s">
        <v>488</v>
      </c>
      <c r="D42" s="140" t="s">
        <v>489</v>
      </c>
      <c r="E42" s="142">
        <v>10153512</v>
      </c>
      <c r="F42" s="142">
        <f t="shared" ref="F42" si="20">F43+F66+F87</f>
        <v>10611779</v>
      </c>
      <c r="G42" s="141">
        <f t="shared" si="3"/>
        <v>458267</v>
      </c>
      <c r="H42" s="145"/>
      <c r="I42" s="141">
        <f>I43+I66+I87</f>
        <v>10715183</v>
      </c>
      <c r="J42" s="141">
        <f t="shared" si="4"/>
        <v>103404</v>
      </c>
      <c r="K42" s="141"/>
      <c r="L42" s="141">
        <f>L43+L66+L87</f>
        <v>10765964</v>
      </c>
      <c r="M42" s="141">
        <f t="shared" si="5"/>
        <v>50781</v>
      </c>
      <c r="N42" s="141"/>
      <c r="O42" s="141">
        <f>O43+O66+O87</f>
        <v>10765964</v>
      </c>
      <c r="P42" s="141">
        <f t="shared" si="6"/>
        <v>0</v>
      </c>
      <c r="Q42" s="141"/>
      <c r="R42" s="141">
        <f>R43+R66+R87</f>
        <v>10824662</v>
      </c>
      <c r="S42" s="141">
        <f t="shared" si="7"/>
        <v>58698</v>
      </c>
      <c r="T42" s="141"/>
      <c r="U42" s="141">
        <f>U43+U66+U87</f>
        <v>10941175</v>
      </c>
      <c r="V42" s="141">
        <f t="shared" si="8"/>
        <v>116513</v>
      </c>
      <c r="W42" s="141"/>
      <c r="X42" s="141">
        <f>X43+X66+X87</f>
        <v>11037175</v>
      </c>
      <c r="Y42" s="141">
        <f t="shared" si="9"/>
        <v>96000</v>
      </c>
      <c r="Z42" s="141"/>
    </row>
    <row r="43" spans="1:26" ht="17.45" customHeight="1" x14ac:dyDescent="0.25">
      <c r="B43" s="131"/>
      <c r="C43" s="164" t="s">
        <v>490</v>
      </c>
      <c r="D43" s="165" t="s">
        <v>491</v>
      </c>
      <c r="E43" s="167">
        <v>8993696</v>
      </c>
      <c r="F43" s="167">
        <f t="shared" ref="F43" si="21">SUM(F44:F47)+F50+SUM(F54:F65)</f>
        <v>9340698</v>
      </c>
      <c r="G43" s="168">
        <f t="shared" si="3"/>
        <v>347002</v>
      </c>
      <c r="H43" s="169"/>
      <c r="I43" s="168">
        <f>SUM(I44:I47)+I50+SUM(I54:I65)</f>
        <v>9468249</v>
      </c>
      <c r="J43" s="168">
        <f t="shared" si="4"/>
        <v>127551</v>
      </c>
      <c r="K43" s="168"/>
      <c r="L43" s="168">
        <f>SUM(L44:L47)+L50+SUM(L54:L65)</f>
        <v>9519030</v>
      </c>
      <c r="M43" s="168">
        <f t="shared" si="5"/>
        <v>50781</v>
      </c>
      <c r="N43" s="168"/>
      <c r="O43" s="168">
        <f>SUM(O44:O47)+O50+SUM(O54:O65)</f>
        <v>9519030</v>
      </c>
      <c r="P43" s="168">
        <f t="shared" si="6"/>
        <v>0</v>
      </c>
      <c r="Q43" s="168"/>
      <c r="R43" s="168">
        <f>SUM(R44:R47)+R50+SUM(R54:R65)</f>
        <v>9519030</v>
      </c>
      <c r="S43" s="168">
        <f t="shared" si="7"/>
        <v>0</v>
      </c>
      <c r="T43" s="168"/>
      <c r="U43" s="168">
        <f>SUM(U44:U47)+U50+SUM(U54:U65)</f>
        <v>9635543</v>
      </c>
      <c r="V43" s="168">
        <f t="shared" si="8"/>
        <v>116513</v>
      </c>
      <c r="W43" s="168"/>
      <c r="X43" s="168">
        <f>SUM(X44:X47)+X50+SUM(X54:X65)</f>
        <v>9731543</v>
      </c>
      <c r="Y43" s="168">
        <f t="shared" si="9"/>
        <v>96000</v>
      </c>
      <c r="Z43" s="168"/>
    </row>
    <row r="44" spans="1:26" ht="16.899999999999999" customHeight="1" x14ac:dyDescent="0.25">
      <c r="A44" s="95" t="s">
        <v>492</v>
      </c>
      <c r="B44" s="95" t="s">
        <v>493</v>
      </c>
      <c r="C44" s="154" t="s">
        <v>494</v>
      </c>
      <c r="D44" s="133" t="s">
        <v>495</v>
      </c>
      <c r="E44" s="135">
        <v>651116</v>
      </c>
      <c r="F44" s="135">
        <f>ROUND(E44,0)+142597</f>
        <v>793713</v>
      </c>
      <c r="G44" s="134">
        <f t="shared" si="3"/>
        <v>142597</v>
      </c>
      <c r="H44" s="138" t="s">
        <v>496</v>
      </c>
      <c r="I44" s="134">
        <f>ROUND(F44,0)</f>
        <v>793713</v>
      </c>
      <c r="J44" s="134">
        <f t="shared" si="4"/>
        <v>0</v>
      </c>
      <c r="K44" s="138"/>
      <c r="L44" s="134">
        <f>ROUND(I44,0)</f>
        <v>793713</v>
      </c>
      <c r="M44" s="134">
        <f t="shared" si="5"/>
        <v>0</v>
      </c>
      <c r="N44" s="138"/>
      <c r="O44" s="134">
        <f>ROUND(L44,0)</f>
        <v>793713</v>
      </c>
      <c r="P44" s="134">
        <f t="shared" si="6"/>
        <v>0</v>
      </c>
      <c r="Q44" s="138"/>
      <c r="R44" s="134">
        <f>ROUND(O44,0)</f>
        <v>793713</v>
      </c>
      <c r="S44" s="134">
        <f t="shared" si="7"/>
        <v>0</v>
      </c>
      <c r="T44" s="138"/>
      <c r="U44" s="134">
        <f>ROUND(R44,0)-4534</f>
        <v>789179</v>
      </c>
      <c r="V44" s="134">
        <f t="shared" si="8"/>
        <v>-4534</v>
      </c>
      <c r="W44" s="138" t="s">
        <v>497</v>
      </c>
      <c r="X44" s="134">
        <f>ROUND(U44,0)</f>
        <v>789179</v>
      </c>
      <c r="Y44" s="134">
        <f t="shared" si="9"/>
        <v>0</v>
      </c>
      <c r="Z44" s="138"/>
    </row>
    <row r="45" spans="1:26" ht="13.9" customHeight="1" x14ac:dyDescent="0.25">
      <c r="A45" s="95" t="s">
        <v>492</v>
      </c>
      <c r="B45" s="151" t="s">
        <v>498</v>
      </c>
      <c r="C45" s="154" t="s">
        <v>499</v>
      </c>
      <c r="D45" s="133" t="s">
        <v>500</v>
      </c>
      <c r="E45" s="135">
        <v>314606</v>
      </c>
      <c r="F45" s="135">
        <f>ROUND(E45,0)</f>
        <v>314606</v>
      </c>
      <c r="G45" s="134">
        <f t="shared" si="3"/>
        <v>0</v>
      </c>
      <c r="H45" s="136"/>
      <c r="I45" s="134">
        <f>ROUND(F45,0)-22981</f>
        <v>291625</v>
      </c>
      <c r="J45" s="134">
        <f t="shared" si="4"/>
        <v>-22981</v>
      </c>
      <c r="K45" s="137" t="s">
        <v>501</v>
      </c>
      <c r="L45" s="134">
        <f>ROUND(I45,0)</f>
        <v>291625</v>
      </c>
      <c r="M45" s="134">
        <f t="shared" si="5"/>
        <v>0</v>
      </c>
      <c r="N45" s="137"/>
      <c r="O45" s="134">
        <f>ROUND(L45,0)</f>
        <v>291625</v>
      </c>
      <c r="P45" s="134">
        <f t="shared" si="6"/>
        <v>0</v>
      </c>
      <c r="Q45" s="137"/>
      <c r="R45" s="134">
        <f>ROUND(O45,0)</f>
        <v>291625</v>
      </c>
      <c r="S45" s="134">
        <f t="shared" si="7"/>
        <v>0</v>
      </c>
      <c r="T45" s="137"/>
      <c r="U45" s="134">
        <f>ROUND(R45,0)+3904</f>
        <v>295529</v>
      </c>
      <c r="V45" s="134">
        <f t="shared" si="8"/>
        <v>3904</v>
      </c>
      <c r="W45" s="137" t="s">
        <v>502</v>
      </c>
      <c r="X45" s="134">
        <f>ROUND(U45,0)</f>
        <v>295529</v>
      </c>
      <c r="Y45" s="134">
        <f t="shared" si="9"/>
        <v>0</v>
      </c>
      <c r="Z45" s="137"/>
    </row>
    <row r="46" spans="1:26" ht="45" x14ac:dyDescent="0.25">
      <c r="B46" s="151" t="s">
        <v>503</v>
      </c>
      <c r="C46" s="154" t="s">
        <v>504</v>
      </c>
      <c r="D46" s="133" t="s">
        <v>505</v>
      </c>
      <c r="E46" s="135">
        <v>249276</v>
      </c>
      <c r="F46" s="135">
        <f>ROUND(E46,0)</f>
        <v>249276</v>
      </c>
      <c r="G46" s="134">
        <f t="shared" si="3"/>
        <v>0</v>
      </c>
      <c r="H46" s="161"/>
      <c r="I46" s="134">
        <f>ROUND(F46,0)</f>
        <v>249276</v>
      </c>
      <c r="J46" s="134">
        <f t="shared" si="4"/>
        <v>0</v>
      </c>
      <c r="K46" s="138"/>
      <c r="L46" s="134">
        <f>ROUND(I46,0)</f>
        <v>249276</v>
      </c>
      <c r="M46" s="134">
        <f t="shared" si="5"/>
        <v>0</v>
      </c>
      <c r="N46" s="138"/>
      <c r="O46" s="134">
        <f>ROUND(L46,0)</f>
        <v>249276</v>
      </c>
      <c r="P46" s="134">
        <f t="shared" si="6"/>
        <v>0</v>
      </c>
      <c r="Q46" s="138"/>
      <c r="R46" s="134">
        <f>ROUND(O46,0)</f>
        <v>249276</v>
      </c>
      <c r="S46" s="134">
        <f t="shared" si="7"/>
        <v>0</v>
      </c>
      <c r="T46" s="138"/>
      <c r="U46" s="134">
        <f>ROUND(R46,0)</f>
        <v>249276</v>
      </c>
      <c r="V46" s="134">
        <f t="shared" si="8"/>
        <v>0</v>
      </c>
      <c r="W46" s="138"/>
      <c r="X46" s="134">
        <f>ROUND(U46,0)+53000+28000+15000</f>
        <v>345276</v>
      </c>
      <c r="Y46" s="134">
        <f t="shared" si="9"/>
        <v>96000</v>
      </c>
      <c r="Z46" s="138" t="s">
        <v>506</v>
      </c>
    </row>
    <row r="47" spans="1:26" ht="14.25" customHeight="1" x14ac:dyDescent="0.25">
      <c r="A47" s="95" t="s">
        <v>492</v>
      </c>
      <c r="B47" s="151" t="s">
        <v>507</v>
      </c>
      <c r="C47" s="154" t="s">
        <v>508</v>
      </c>
      <c r="D47" s="133" t="s">
        <v>509</v>
      </c>
      <c r="E47" s="134">
        <v>0</v>
      </c>
      <c r="F47" s="135">
        <f t="shared" ref="F47" si="22">F48+F49</f>
        <v>0</v>
      </c>
      <c r="G47" s="134">
        <f t="shared" si="3"/>
        <v>0</v>
      </c>
      <c r="H47" s="148"/>
      <c r="I47" s="134">
        <f>I48+I49</f>
        <v>112839</v>
      </c>
      <c r="J47" s="134">
        <f t="shared" si="4"/>
        <v>112839</v>
      </c>
      <c r="K47" s="134" t="s">
        <v>510</v>
      </c>
      <c r="L47" s="134">
        <f>L48+L49</f>
        <v>112839</v>
      </c>
      <c r="M47" s="134">
        <f t="shared" si="5"/>
        <v>0</v>
      </c>
      <c r="N47" s="134"/>
      <c r="O47" s="134">
        <f>O48+O49</f>
        <v>112839</v>
      </c>
      <c r="P47" s="134">
        <f t="shared" si="6"/>
        <v>0</v>
      </c>
      <c r="Q47" s="134"/>
      <c r="R47" s="134">
        <f>R48+R49</f>
        <v>112839</v>
      </c>
      <c r="S47" s="134">
        <f t="shared" si="7"/>
        <v>0</v>
      </c>
      <c r="T47" s="134"/>
      <c r="U47" s="134">
        <f>U48+U49</f>
        <v>112839</v>
      </c>
      <c r="V47" s="134">
        <f t="shared" si="8"/>
        <v>0</v>
      </c>
      <c r="W47" s="134"/>
      <c r="X47" s="134">
        <f>X48+X49</f>
        <v>112839</v>
      </c>
      <c r="Y47" s="134">
        <f t="shared" si="9"/>
        <v>0</v>
      </c>
      <c r="Z47" s="134"/>
    </row>
    <row r="48" spans="1:26" ht="14.25" customHeight="1" x14ac:dyDescent="0.25">
      <c r="B48" s="151"/>
      <c r="C48" s="154" t="s">
        <v>511</v>
      </c>
      <c r="D48" s="155" t="s">
        <v>512</v>
      </c>
      <c r="E48" s="170"/>
      <c r="F48" s="135"/>
      <c r="G48" s="134">
        <f t="shared" si="3"/>
        <v>0</v>
      </c>
      <c r="H48" s="161"/>
      <c r="I48" s="134">
        <f>3025+2989+4538+2468+7380+112+71355+538+851+19583</f>
        <v>112839</v>
      </c>
      <c r="J48" s="134">
        <f t="shared" si="4"/>
        <v>112839</v>
      </c>
      <c r="K48" s="138"/>
      <c r="L48" s="134">
        <f>ROUND(I48,0)</f>
        <v>112839</v>
      </c>
      <c r="M48" s="134">
        <f t="shared" si="5"/>
        <v>0</v>
      </c>
      <c r="N48" s="138"/>
      <c r="O48" s="134">
        <f>ROUND(L48,0)</f>
        <v>112839</v>
      </c>
      <c r="P48" s="134">
        <f t="shared" si="6"/>
        <v>0</v>
      </c>
      <c r="Q48" s="138"/>
      <c r="R48" s="134">
        <f>ROUND(O48,0)</f>
        <v>112839</v>
      </c>
      <c r="S48" s="134">
        <f t="shared" si="7"/>
        <v>0</v>
      </c>
      <c r="T48" s="138"/>
      <c r="U48" s="134">
        <f>ROUND(R48,0)</f>
        <v>112839</v>
      </c>
      <c r="V48" s="134">
        <f t="shared" si="8"/>
        <v>0</v>
      </c>
      <c r="W48" s="138"/>
      <c r="X48" s="134">
        <f>ROUND(U48,0)</f>
        <v>112839</v>
      </c>
      <c r="Y48" s="134">
        <f t="shared" si="9"/>
        <v>0</v>
      </c>
      <c r="Z48" s="138"/>
    </row>
    <row r="49" spans="1:26" ht="17.45" customHeight="1" x14ac:dyDescent="0.25">
      <c r="B49" s="151"/>
      <c r="C49" s="154" t="s">
        <v>513</v>
      </c>
      <c r="D49" s="155" t="s">
        <v>514</v>
      </c>
      <c r="E49" s="170"/>
      <c r="F49" s="135"/>
      <c r="G49" s="134">
        <f t="shared" si="3"/>
        <v>0</v>
      </c>
      <c r="H49" s="161"/>
      <c r="I49" s="134"/>
      <c r="J49" s="134">
        <f t="shared" si="4"/>
        <v>0</v>
      </c>
      <c r="K49" s="138"/>
      <c r="L49" s="134">
        <f>ROUND(I49,0)</f>
        <v>0</v>
      </c>
      <c r="M49" s="134">
        <f t="shared" si="5"/>
        <v>0</v>
      </c>
      <c r="N49" s="138"/>
      <c r="O49" s="134"/>
      <c r="P49" s="134">
        <f t="shared" si="6"/>
        <v>0</v>
      </c>
      <c r="Q49" s="138"/>
      <c r="R49" s="134"/>
      <c r="S49" s="134">
        <f t="shared" si="7"/>
        <v>0</v>
      </c>
      <c r="T49" s="138"/>
      <c r="U49" s="134"/>
      <c r="V49" s="134">
        <f t="shared" si="8"/>
        <v>0</v>
      </c>
      <c r="W49" s="138"/>
      <c r="X49" s="134"/>
      <c r="Y49" s="134">
        <f t="shared" si="9"/>
        <v>0</v>
      </c>
      <c r="Z49" s="138"/>
    </row>
    <row r="50" spans="1:26" ht="13.9" customHeight="1" x14ac:dyDescent="0.25">
      <c r="B50" s="95" t="s">
        <v>515</v>
      </c>
      <c r="C50" s="154" t="s">
        <v>516</v>
      </c>
      <c r="D50" s="133" t="s">
        <v>517</v>
      </c>
      <c r="E50" s="172">
        <v>6510554</v>
      </c>
      <c r="F50" s="172">
        <f>F51+F52+F53</f>
        <v>6646187</v>
      </c>
      <c r="G50" s="171">
        <f t="shared" si="3"/>
        <v>135633</v>
      </c>
      <c r="H50" s="173"/>
      <c r="I50" s="171">
        <f>I51+I52+I53</f>
        <v>6646187</v>
      </c>
      <c r="J50" s="171">
        <f t="shared" si="4"/>
        <v>0</v>
      </c>
      <c r="K50" s="174"/>
      <c r="L50" s="171">
        <f>L51+L52+L53</f>
        <v>6646187</v>
      </c>
      <c r="M50" s="171">
        <f t="shared" si="5"/>
        <v>0</v>
      </c>
      <c r="N50" s="174"/>
      <c r="O50" s="171">
        <f>O51+O52+O53</f>
        <v>6646187</v>
      </c>
      <c r="P50" s="171">
        <f t="shared" si="6"/>
        <v>0</v>
      </c>
      <c r="Q50" s="174"/>
      <c r="R50" s="171">
        <f>R51+R52+R53</f>
        <v>6646187</v>
      </c>
      <c r="S50" s="171">
        <f t="shared" si="7"/>
        <v>0</v>
      </c>
      <c r="T50" s="174"/>
      <c r="U50" s="171">
        <f>U51+U52+U53</f>
        <v>6727374</v>
      </c>
      <c r="V50" s="171">
        <f t="shared" si="8"/>
        <v>81187</v>
      </c>
      <c r="W50" s="174" t="s">
        <v>497</v>
      </c>
      <c r="X50" s="171">
        <f>X51+X52+X53</f>
        <v>6727374</v>
      </c>
      <c r="Y50" s="171">
        <f t="shared" si="9"/>
        <v>0</v>
      </c>
      <c r="Z50" s="174"/>
    </row>
    <row r="51" spans="1:26" s="179" customFormat="1" x14ac:dyDescent="0.25">
      <c r="A51" s="95" t="s">
        <v>492</v>
      </c>
      <c r="B51" s="151" t="s">
        <v>518</v>
      </c>
      <c r="C51" s="154" t="s">
        <v>519</v>
      </c>
      <c r="D51" s="155" t="s">
        <v>520</v>
      </c>
      <c r="E51" s="176">
        <v>1100762</v>
      </c>
      <c r="F51" s="176">
        <f t="shared" ref="F51:F64" si="23">ROUND(E51,0)</f>
        <v>1100762</v>
      </c>
      <c r="G51" s="175">
        <f t="shared" si="3"/>
        <v>0</v>
      </c>
      <c r="H51" s="177"/>
      <c r="I51" s="175">
        <f t="shared" ref="I51:I58" si="24">ROUND(F51,0)</f>
        <v>1100762</v>
      </c>
      <c r="J51" s="175">
        <f t="shared" si="4"/>
        <v>0</v>
      </c>
      <c r="K51" s="178"/>
      <c r="L51" s="175">
        <f t="shared" ref="L51:L58" si="25">ROUND(I51,0)</f>
        <v>1100762</v>
      </c>
      <c r="M51" s="175">
        <f t="shared" si="5"/>
        <v>0</v>
      </c>
      <c r="N51" s="178"/>
      <c r="O51" s="175">
        <f t="shared" ref="O51:O58" si="26">ROUND(L51,0)</f>
        <v>1100762</v>
      </c>
      <c r="P51" s="175">
        <f t="shared" si="6"/>
        <v>0</v>
      </c>
      <c r="Q51" s="178"/>
      <c r="R51" s="175">
        <f t="shared" ref="R51:R58" si="27">ROUND(O51,0)</f>
        <v>1100762</v>
      </c>
      <c r="S51" s="175">
        <f t="shared" si="7"/>
        <v>0</v>
      </c>
      <c r="T51" s="178"/>
      <c r="U51" s="175">
        <f>ROUND(R51,0)-15145+33858-18775-2065-5439-13078</f>
        <v>1080118</v>
      </c>
      <c r="V51" s="175">
        <f t="shared" si="8"/>
        <v>-20644</v>
      </c>
      <c r="W51" s="178"/>
      <c r="X51" s="175">
        <f>ROUND(U51,0)</f>
        <v>1080118</v>
      </c>
      <c r="Y51" s="175">
        <f t="shared" si="9"/>
        <v>0</v>
      </c>
      <c r="Z51" s="178"/>
    </row>
    <row r="52" spans="1:26" s="179" customFormat="1" x14ac:dyDescent="0.25">
      <c r="A52" s="95" t="s">
        <v>492</v>
      </c>
      <c r="B52" s="151" t="s">
        <v>521</v>
      </c>
      <c r="C52" s="154" t="s">
        <v>522</v>
      </c>
      <c r="D52" s="155" t="s">
        <v>523</v>
      </c>
      <c r="E52" s="176">
        <v>5092428</v>
      </c>
      <c r="F52" s="176">
        <f>ROUND(E52,0)+17418</f>
        <v>5109846</v>
      </c>
      <c r="G52" s="175">
        <f t="shared" si="3"/>
        <v>17418</v>
      </c>
      <c r="H52" s="180" t="s">
        <v>496</v>
      </c>
      <c r="I52" s="175">
        <f t="shared" si="24"/>
        <v>5109846</v>
      </c>
      <c r="J52" s="175">
        <f t="shared" si="4"/>
        <v>0</v>
      </c>
      <c r="K52" s="178"/>
      <c r="L52" s="175">
        <f t="shared" si="25"/>
        <v>5109846</v>
      </c>
      <c r="M52" s="175">
        <f t="shared" si="5"/>
        <v>0</v>
      </c>
      <c r="N52" s="178"/>
      <c r="O52" s="175">
        <f t="shared" si="26"/>
        <v>5109846</v>
      </c>
      <c r="P52" s="175">
        <f t="shared" si="6"/>
        <v>0</v>
      </c>
      <c r="Q52" s="178"/>
      <c r="R52" s="175">
        <f t="shared" si="27"/>
        <v>5109846</v>
      </c>
      <c r="S52" s="175">
        <f t="shared" si="7"/>
        <v>0</v>
      </c>
      <c r="T52" s="178"/>
      <c r="U52" s="175">
        <f>ROUND(R52,0)+(14311-2258)+85381</f>
        <v>5207280</v>
      </c>
      <c r="V52" s="175">
        <f t="shared" si="8"/>
        <v>97434</v>
      </c>
      <c r="W52" s="178"/>
      <c r="X52" s="175">
        <f>ROUND(U52,0)</f>
        <v>5207280</v>
      </c>
      <c r="Y52" s="175">
        <f t="shared" si="9"/>
        <v>0</v>
      </c>
      <c r="Z52" s="178"/>
    </row>
    <row r="53" spans="1:26" s="179" customFormat="1" x14ac:dyDescent="0.25">
      <c r="A53" s="95" t="s">
        <v>492</v>
      </c>
      <c r="B53" s="95"/>
      <c r="C53" s="154" t="s">
        <v>524</v>
      </c>
      <c r="D53" s="155" t="s">
        <v>525</v>
      </c>
      <c r="E53" s="176">
        <v>317364</v>
      </c>
      <c r="F53" s="176">
        <f>ROUND(E53,0)-44403+110614+52004</f>
        <v>435579</v>
      </c>
      <c r="G53" s="181">
        <f t="shared" si="3"/>
        <v>118215</v>
      </c>
      <c r="H53" s="180" t="s">
        <v>496</v>
      </c>
      <c r="I53" s="175">
        <f t="shared" si="24"/>
        <v>435579</v>
      </c>
      <c r="J53" s="181">
        <f t="shared" si="4"/>
        <v>0</v>
      </c>
      <c r="K53" s="182"/>
      <c r="L53" s="175">
        <f t="shared" si="25"/>
        <v>435579</v>
      </c>
      <c r="M53" s="181">
        <f t="shared" si="5"/>
        <v>0</v>
      </c>
      <c r="N53" s="182"/>
      <c r="O53" s="175">
        <f t="shared" si="26"/>
        <v>435579</v>
      </c>
      <c r="P53" s="181">
        <f t="shared" si="6"/>
        <v>0</v>
      </c>
      <c r="Q53" s="182"/>
      <c r="R53" s="175">
        <f t="shared" si="27"/>
        <v>435579</v>
      </c>
      <c r="S53" s="181">
        <f t="shared" si="7"/>
        <v>0</v>
      </c>
      <c r="T53" s="182"/>
      <c r="U53" s="175">
        <f>ROUND(R53,0)-4668-2660+30088-18363</f>
        <v>439976</v>
      </c>
      <c r="V53" s="181">
        <f t="shared" si="8"/>
        <v>4397</v>
      </c>
      <c r="W53" s="182"/>
      <c r="X53" s="175">
        <f>ROUND(U53,0)</f>
        <v>439976</v>
      </c>
      <c r="Y53" s="175">
        <f t="shared" si="9"/>
        <v>0</v>
      </c>
      <c r="Z53" s="178"/>
    </row>
    <row r="54" spans="1:26" ht="31.5" customHeight="1" x14ac:dyDescent="0.25">
      <c r="A54" s="95" t="s">
        <v>492</v>
      </c>
      <c r="B54" s="95" t="s">
        <v>526</v>
      </c>
      <c r="C54" s="154" t="s">
        <v>527</v>
      </c>
      <c r="D54" s="133" t="s">
        <v>528</v>
      </c>
      <c r="E54" s="135">
        <v>13088</v>
      </c>
      <c r="F54" s="135">
        <f t="shared" si="23"/>
        <v>13088</v>
      </c>
      <c r="G54" s="134">
        <f t="shared" si="3"/>
        <v>0</v>
      </c>
      <c r="H54" s="146"/>
      <c r="I54" s="134">
        <f t="shared" si="24"/>
        <v>13088</v>
      </c>
      <c r="J54" s="134">
        <f t="shared" si="4"/>
        <v>0</v>
      </c>
      <c r="K54" s="147"/>
      <c r="L54" s="134">
        <f t="shared" si="25"/>
        <v>13088</v>
      </c>
      <c r="M54" s="134">
        <f t="shared" si="5"/>
        <v>0</v>
      </c>
      <c r="N54" s="147"/>
      <c r="O54" s="134">
        <f t="shared" si="26"/>
        <v>13088</v>
      </c>
      <c r="P54" s="134">
        <f t="shared" si="6"/>
        <v>0</v>
      </c>
      <c r="Q54" s="147"/>
      <c r="R54" s="134">
        <f t="shared" si="27"/>
        <v>13088</v>
      </c>
      <c r="S54" s="134">
        <f t="shared" si="7"/>
        <v>0</v>
      </c>
      <c r="T54" s="147"/>
      <c r="U54" s="134">
        <f>ROUND(R54,0)+7079+7679</f>
        <v>27846</v>
      </c>
      <c r="V54" s="134">
        <f t="shared" si="8"/>
        <v>14758</v>
      </c>
      <c r="W54" s="137" t="s">
        <v>529</v>
      </c>
      <c r="X54" s="134">
        <f>ROUND(U54,0)</f>
        <v>27846</v>
      </c>
      <c r="Y54" s="134">
        <f t="shared" si="9"/>
        <v>0</v>
      </c>
      <c r="Z54" s="137"/>
    </row>
    <row r="55" spans="1:26" ht="19.149999999999999" customHeight="1" x14ac:dyDescent="0.25">
      <c r="A55" s="95" t="s">
        <v>492</v>
      </c>
      <c r="B55" s="151" t="s">
        <v>530</v>
      </c>
      <c r="C55" s="154" t="s">
        <v>531</v>
      </c>
      <c r="D55" s="133" t="s">
        <v>532</v>
      </c>
      <c r="E55" s="135">
        <v>14485</v>
      </c>
      <c r="F55" s="135">
        <f>ROUND(E55,0)</f>
        <v>14485</v>
      </c>
      <c r="G55" s="134">
        <f t="shared" si="3"/>
        <v>0</v>
      </c>
      <c r="H55" s="136"/>
      <c r="I55" s="134">
        <f>ROUND(F55,0)+26175</f>
        <v>40660</v>
      </c>
      <c r="J55" s="134">
        <f t="shared" si="4"/>
        <v>26175</v>
      </c>
      <c r="K55" s="137" t="s">
        <v>533</v>
      </c>
      <c r="L55" s="134">
        <f t="shared" si="25"/>
        <v>40660</v>
      </c>
      <c r="M55" s="134">
        <f t="shared" si="5"/>
        <v>0</v>
      </c>
      <c r="N55" s="137"/>
      <c r="O55" s="134">
        <f t="shared" si="26"/>
        <v>40660</v>
      </c>
      <c r="P55" s="134">
        <f t="shared" si="6"/>
        <v>0</v>
      </c>
      <c r="Q55" s="137"/>
      <c r="R55" s="134">
        <f t="shared" si="27"/>
        <v>40660</v>
      </c>
      <c r="S55" s="134">
        <f t="shared" si="7"/>
        <v>0</v>
      </c>
      <c r="T55" s="137"/>
      <c r="U55" s="134">
        <f>ROUND(R55,0)</f>
        <v>40660</v>
      </c>
      <c r="V55" s="134">
        <f t="shared" si="8"/>
        <v>0</v>
      </c>
      <c r="W55" s="137"/>
      <c r="X55" s="134">
        <f>ROUND(U55,0)</f>
        <v>40660</v>
      </c>
      <c r="Y55" s="134">
        <f t="shared" si="9"/>
        <v>0</v>
      </c>
      <c r="Z55" s="137"/>
    </row>
    <row r="56" spans="1:26" ht="19.149999999999999" customHeight="1" x14ac:dyDescent="0.25">
      <c r="B56" s="151"/>
      <c r="C56" s="154" t="s">
        <v>534</v>
      </c>
      <c r="D56" s="133" t="s">
        <v>535</v>
      </c>
      <c r="E56" s="135">
        <v>3668</v>
      </c>
      <c r="F56" s="135">
        <f>ROUND(E56,0)</f>
        <v>3668</v>
      </c>
      <c r="G56" s="134">
        <f t="shared" si="3"/>
        <v>0</v>
      </c>
      <c r="H56" s="136"/>
      <c r="I56" s="134">
        <f>ROUND(F56,0)+7552</f>
        <v>11220</v>
      </c>
      <c r="J56" s="134">
        <f t="shared" si="4"/>
        <v>7552</v>
      </c>
      <c r="K56" s="137" t="s">
        <v>533</v>
      </c>
      <c r="L56" s="134">
        <f t="shared" si="25"/>
        <v>11220</v>
      </c>
      <c r="M56" s="134">
        <f t="shared" si="5"/>
        <v>0</v>
      </c>
      <c r="N56" s="137"/>
      <c r="O56" s="134">
        <f t="shared" si="26"/>
        <v>11220</v>
      </c>
      <c r="P56" s="134">
        <f t="shared" si="6"/>
        <v>0</v>
      </c>
      <c r="Q56" s="137"/>
      <c r="R56" s="134">
        <f t="shared" si="27"/>
        <v>11220</v>
      </c>
      <c r="S56" s="134">
        <f t="shared" si="7"/>
        <v>0</v>
      </c>
      <c r="T56" s="137"/>
      <c r="U56" s="134">
        <f>ROUND(R56,0)</f>
        <v>11220</v>
      </c>
      <c r="V56" s="134">
        <f t="shared" si="8"/>
        <v>0</v>
      </c>
      <c r="W56" s="137"/>
      <c r="X56" s="134">
        <f>ROUND(U56,0)</f>
        <v>11220</v>
      </c>
      <c r="Y56" s="134">
        <f t="shared" si="9"/>
        <v>0</v>
      </c>
      <c r="Z56" s="137"/>
    </row>
    <row r="57" spans="1:26" ht="30.6" customHeight="1" x14ac:dyDescent="0.25">
      <c r="B57" s="95" t="s">
        <v>536</v>
      </c>
      <c r="C57" s="154" t="s">
        <v>537</v>
      </c>
      <c r="D57" s="133" t="s">
        <v>538</v>
      </c>
      <c r="E57" s="135">
        <v>501000</v>
      </c>
      <c r="F57" s="135">
        <f t="shared" si="23"/>
        <v>501000</v>
      </c>
      <c r="G57" s="134">
        <f t="shared" si="3"/>
        <v>0</v>
      </c>
      <c r="H57" s="161"/>
      <c r="I57" s="134">
        <f t="shared" si="24"/>
        <v>501000</v>
      </c>
      <c r="J57" s="134">
        <f t="shared" si="4"/>
        <v>0</v>
      </c>
      <c r="K57" s="138"/>
      <c r="L57" s="134">
        <f t="shared" si="25"/>
        <v>501000</v>
      </c>
      <c r="M57" s="134">
        <f t="shared" si="5"/>
        <v>0</v>
      </c>
      <c r="N57" s="138"/>
      <c r="O57" s="134">
        <f t="shared" si="26"/>
        <v>501000</v>
      </c>
      <c r="P57" s="134">
        <f t="shared" si="6"/>
        <v>0</v>
      </c>
      <c r="Q57" s="138"/>
      <c r="R57" s="134">
        <f t="shared" si="27"/>
        <v>501000</v>
      </c>
      <c r="S57" s="134">
        <f t="shared" si="7"/>
        <v>0</v>
      </c>
      <c r="T57" s="138"/>
      <c r="U57" s="134">
        <f>ROUND(R57,0)</f>
        <v>501000</v>
      </c>
      <c r="V57" s="134">
        <f t="shared" si="8"/>
        <v>0</v>
      </c>
      <c r="W57" s="138"/>
      <c r="X57" s="134">
        <f>ROUND(U57,0)</f>
        <v>501000</v>
      </c>
      <c r="Y57" s="134">
        <f t="shared" si="9"/>
        <v>0</v>
      </c>
      <c r="Z57" s="138"/>
    </row>
    <row r="58" spans="1:26" ht="31.5" customHeight="1" x14ac:dyDescent="0.25">
      <c r="C58" s="154" t="s">
        <v>539</v>
      </c>
      <c r="D58" s="133" t="s">
        <v>540</v>
      </c>
      <c r="E58" s="135">
        <v>0</v>
      </c>
      <c r="F58" s="135">
        <f t="shared" si="23"/>
        <v>0</v>
      </c>
      <c r="G58" s="134">
        <f t="shared" si="3"/>
        <v>0</v>
      </c>
      <c r="H58" s="136"/>
      <c r="I58" s="134">
        <f t="shared" si="24"/>
        <v>0</v>
      </c>
      <c r="J58" s="134">
        <f t="shared" si="4"/>
        <v>0</v>
      </c>
      <c r="K58" s="137"/>
      <c r="L58" s="134">
        <f t="shared" si="25"/>
        <v>0</v>
      </c>
      <c r="M58" s="134">
        <f t="shared" si="5"/>
        <v>0</v>
      </c>
      <c r="N58" s="137"/>
      <c r="O58" s="134">
        <f t="shared" si="26"/>
        <v>0</v>
      </c>
      <c r="P58" s="134">
        <f t="shared" si="6"/>
        <v>0</v>
      </c>
      <c r="Q58" s="137"/>
      <c r="R58" s="134">
        <f t="shared" si="27"/>
        <v>0</v>
      </c>
      <c r="S58" s="134">
        <f t="shared" si="7"/>
        <v>0</v>
      </c>
      <c r="T58" s="137"/>
      <c r="U58" s="134">
        <f>ROUND(R58,0)</f>
        <v>0</v>
      </c>
      <c r="V58" s="134">
        <f t="shared" si="8"/>
        <v>0</v>
      </c>
      <c r="W58" s="137"/>
      <c r="X58" s="134">
        <f>ROUND(U58,0)</f>
        <v>0</v>
      </c>
      <c r="Y58" s="134">
        <f t="shared" si="9"/>
        <v>0</v>
      </c>
      <c r="Z58" s="137"/>
    </row>
    <row r="59" spans="1:26" ht="31.5" customHeight="1" x14ac:dyDescent="0.25">
      <c r="C59" s="154"/>
      <c r="D59" s="133" t="s">
        <v>541</v>
      </c>
      <c r="E59" s="135">
        <v>0</v>
      </c>
      <c r="F59" s="135"/>
      <c r="G59" s="134">
        <f t="shared" si="3"/>
        <v>0</v>
      </c>
      <c r="H59" s="136"/>
      <c r="I59" s="134"/>
      <c r="J59" s="134">
        <f t="shared" si="4"/>
        <v>0</v>
      </c>
      <c r="K59" s="137"/>
      <c r="L59" s="134"/>
      <c r="M59" s="134">
        <f t="shared" si="5"/>
        <v>0</v>
      </c>
      <c r="N59" s="137"/>
      <c r="O59" s="134"/>
      <c r="P59" s="134">
        <f t="shared" si="6"/>
        <v>0</v>
      </c>
      <c r="Q59" s="137"/>
      <c r="R59" s="134"/>
      <c r="S59" s="134">
        <f t="shared" si="7"/>
        <v>0</v>
      </c>
      <c r="T59" s="137"/>
      <c r="U59" s="134"/>
      <c r="V59" s="134">
        <f t="shared" si="8"/>
        <v>0</v>
      </c>
      <c r="W59" s="137"/>
      <c r="X59" s="134"/>
      <c r="Y59" s="134">
        <f t="shared" si="9"/>
        <v>0</v>
      </c>
      <c r="Z59" s="137"/>
    </row>
    <row r="60" spans="1:26" ht="28.15" customHeight="1" x14ac:dyDescent="0.25">
      <c r="B60" s="183" t="s">
        <v>542</v>
      </c>
      <c r="C60" s="154" t="s">
        <v>543</v>
      </c>
      <c r="D60" s="184" t="s">
        <v>544</v>
      </c>
      <c r="E60" s="135">
        <v>342263</v>
      </c>
      <c r="F60" s="135">
        <f>ROUND(E60,0)+59292+1248</f>
        <v>402803</v>
      </c>
      <c r="G60" s="134">
        <f t="shared" si="3"/>
        <v>60540</v>
      </c>
      <c r="H60" s="138" t="s">
        <v>545</v>
      </c>
      <c r="I60" s="134">
        <f>ROUND(F60,0)+3966</f>
        <v>406769</v>
      </c>
      <c r="J60" s="134">
        <f t="shared" si="4"/>
        <v>3966</v>
      </c>
      <c r="K60" s="137" t="s">
        <v>546</v>
      </c>
      <c r="L60" s="134">
        <f>ROUND(I60,0)</f>
        <v>406769</v>
      </c>
      <c r="M60" s="134">
        <f t="shared" si="5"/>
        <v>0</v>
      </c>
      <c r="N60" s="137"/>
      <c r="O60" s="134">
        <f t="shared" ref="O60:O65" si="28">ROUND(L60,0)</f>
        <v>406769</v>
      </c>
      <c r="P60" s="134">
        <f t="shared" si="6"/>
        <v>0</v>
      </c>
      <c r="Q60" s="137"/>
      <c r="R60" s="134">
        <f t="shared" ref="R60:R65" si="29">ROUND(O60,0)</f>
        <v>406769</v>
      </c>
      <c r="S60" s="134">
        <f t="shared" si="7"/>
        <v>0</v>
      </c>
      <c r="T60" s="137"/>
      <c r="U60" s="134">
        <f t="shared" ref="U60:U64" si="30">ROUND(R60,0)</f>
        <v>406769</v>
      </c>
      <c r="V60" s="134">
        <f t="shared" si="8"/>
        <v>0</v>
      </c>
      <c r="W60" s="137"/>
      <c r="X60" s="134">
        <f t="shared" ref="X60:X61" si="31">ROUND(U60,0)</f>
        <v>406769</v>
      </c>
      <c r="Y60" s="134">
        <f t="shared" si="9"/>
        <v>0</v>
      </c>
      <c r="Z60" s="137"/>
    </row>
    <row r="61" spans="1:26" ht="58.9" customHeight="1" x14ac:dyDescent="0.25">
      <c r="C61" s="154"/>
      <c r="D61" s="133" t="s">
        <v>547</v>
      </c>
      <c r="E61" s="135">
        <v>0</v>
      </c>
      <c r="F61" s="135">
        <f t="shared" si="23"/>
        <v>0</v>
      </c>
      <c r="G61" s="134">
        <f t="shared" si="3"/>
        <v>0</v>
      </c>
      <c r="H61" s="161"/>
      <c r="I61" s="134">
        <f>ROUND(F61,0)</f>
        <v>0</v>
      </c>
      <c r="J61" s="134">
        <f t="shared" si="4"/>
        <v>0</v>
      </c>
      <c r="K61" s="138"/>
      <c r="L61" s="134">
        <f>ROUND(I61,0)</f>
        <v>0</v>
      </c>
      <c r="M61" s="134">
        <f t="shared" si="5"/>
        <v>0</v>
      </c>
      <c r="N61" s="138"/>
      <c r="O61" s="134">
        <f t="shared" si="28"/>
        <v>0</v>
      </c>
      <c r="P61" s="134">
        <f t="shared" si="6"/>
        <v>0</v>
      </c>
      <c r="Q61" s="138"/>
      <c r="R61" s="134">
        <f t="shared" si="29"/>
        <v>0</v>
      </c>
      <c r="S61" s="134">
        <f t="shared" si="7"/>
        <v>0</v>
      </c>
      <c r="T61" s="138"/>
      <c r="U61" s="134">
        <f t="shared" si="30"/>
        <v>0</v>
      </c>
      <c r="V61" s="134">
        <f t="shared" si="8"/>
        <v>0</v>
      </c>
      <c r="W61" s="138"/>
      <c r="X61" s="134">
        <f t="shared" si="31"/>
        <v>0</v>
      </c>
      <c r="Y61" s="134">
        <f t="shared" si="9"/>
        <v>0</v>
      </c>
      <c r="Z61" s="138"/>
    </row>
    <row r="62" spans="1:26" ht="33.75" customHeight="1" x14ac:dyDescent="0.25">
      <c r="C62" s="154" t="s">
        <v>548</v>
      </c>
      <c r="D62" s="133" t="s">
        <v>549</v>
      </c>
      <c r="E62" s="135">
        <v>50000</v>
      </c>
      <c r="F62" s="135">
        <f t="shared" si="23"/>
        <v>50000</v>
      </c>
      <c r="G62" s="134">
        <f t="shared" si="3"/>
        <v>0</v>
      </c>
      <c r="H62" s="161"/>
      <c r="I62" s="134">
        <f>ROUND(F62,0)</f>
        <v>50000</v>
      </c>
      <c r="J62" s="134">
        <f t="shared" si="4"/>
        <v>0</v>
      </c>
      <c r="K62" s="138"/>
      <c r="L62" s="134">
        <f>ROUND(I62,0)</f>
        <v>50000</v>
      </c>
      <c r="M62" s="134">
        <f t="shared" si="5"/>
        <v>0</v>
      </c>
      <c r="N62" s="138"/>
      <c r="O62" s="134">
        <f t="shared" si="28"/>
        <v>50000</v>
      </c>
      <c r="P62" s="134">
        <f t="shared" si="6"/>
        <v>0</v>
      </c>
      <c r="Q62" s="138"/>
      <c r="R62" s="134">
        <f t="shared" si="29"/>
        <v>50000</v>
      </c>
      <c r="S62" s="134">
        <f t="shared" si="7"/>
        <v>0</v>
      </c>
      <c r="T62" s="138"/>
      <c r="U62" s="134">
        <f>ROUND(R62,0)+20000</f>
        <v>70000</v>
      </c>
      <c r="V62" s="134">
        <f t="shared" si="8"/>
        <v>20000</v>
      </c>
      <c r="W62" s="138" t="s">
        <v>550</v>
      </c>
      <c r="X62" s="134">
        <f>ROUND(U62,0)</f>
        <v>70000</v>
      </c>
      <c r="Y62" s="134">
        <f t="shared" si="9"/>
        <v>0</v>
      </c>
      <c r="Z62" s="138"/>
    </row>
    <row r="63" spans="1:26" ht="17.45" customHeight="1" x14ac:dyDescent="0.25">
      <c r="B63" s="95" t="s">
        <v>515</v>
      </c>
      <c r="C63" s="154" t="s">
        <v>551</v>
      </c>
      <c r="D63" s="133" t="s">
        <v>552</v>
      </c>
      <c r="E63" s="135">
        <v>200000</v>
      </c>
      <c r="F63" s="135">
        <f t="shared" si="23"/>
        <v>200000</v>
      </c>
      <c r="G63" s="134">
        <f t="shared" si="3"/>
        <v>0</v>
      </c>
      <c r="H63" s="161"/>
      <c r="I63" s="134">
        <f>ROUND(F63,0)</f>
        <v>200000</v>
      </c>
      <c r="J63" s="134">
        <f t="shared" si="4"/>
        <v>0</v>
      </c>
      <c r="K63" s="138"/>
      <c r="L63" s="134">
        <f>ROUND(I63,0)</f>
        <v>200000</v>
      </c>
      <c r="M63" s="134">
        <f t="shared" si="5"/>
        <v>0</v>
      </c>
      <c r="N63" s="138"/>
      <c r="O63" s="134">
        <f t="shared" si="28"/>
        <v>200000</v>
      </c>
      <c r="P63" s="134">
        <f t="shared" si="6"/>
        <v>0</v>
      </c>
      <c r="Q63" s="138"/>
      <c r="R63" s="134">
        <f t="shared" si="29"/>
        <v>200000</v>
      </c>
      <c r="S63" s="134">
        <f t="shared" si="7"/>
        <v>0</v>
      </c>
      <c r="T63" s="138"/>
      <c r="U63" s="134">
        <f t="shared" si="30"/>
        <v>200000</v>
      </c>
      <c r="V63" s="134">
        <f t="shared" si="8"/>
        <v>0</v>
      </c>
      <c r="W63" s="138"/>
      <c r="X63" s="134">
        <f t="shared" ref="X63:X64" si="32">ROUND(U63,0)</f>
        <v>200000</v>
      </c>
      <c r="Y63" s="134">
        <f t="shared" si="9"/>
        <v>0</v>
      </c>
      <c r="Z63" s="138"/>
    </row>
    <row r="64" spans="1:26" x14ac:dyDescent="0.25">
      <c r="A64" s="95" t="s">
        <v>492</v>
      </c>
      <c r="B64" s="151" t="s">
        <v>553</v>
      </c>
      <c r="C64" s="154" t="s">
        <v>554</v>
      </c>
      <c r="D64" s="186" t="s">
        <v>555</v>
      </c>
      <c r="E64" s="135">
        <v>0</v>
      </c>
      <c r="F64" s="135">
        <f t="shared" si="23"/>
        <v>0</v>
      </c>
      <c r="G64" s="134">
        <f>F64-E64</f>
        <v>0</v>
      </c>
      <c r="H64" s="187"/>
      <c r="I64" s="134">
        <f>ROUND(F64,0)</f>
        <v>0</v>
      </c>
      <c r="J64" s="134">
        <f>I64-F64</f>
        <v>0</v>
      </c>
      <c r="K64" s="188"/>
      <c r="L64" s="134">
        <f>ROUND(I64,0)</f>
        <v>0</v>
      </c>
      <c r="M64" s="134">
        <f>L64-I64</f>
        <v>0</v>
      </c>
      <c r="N64" s="188"/>
      <c r="O64" s="134">
        <f t="shared" si="28"/>
        <v>0</v>
      </c>
      <c r="P64" s="134">
        <f>O64-L64</f>
        <v>0</v>
      </c>
      <c r="Q64" s="188"/>
      <c r="R64" s="134">
        <f t="shared" si="29"/>
        <v>0</v>
      </c>
      <c r="S64" s="134">
        <f>R64-O64</f>
        <v>0</v>
      </c>
      <c r="T64" s="188"/>
      <c r="U64" s="134">
        <f t="shared" si="30"/>
        <v>0</v>
      </c>
      <c r="V64" s="134">
        <f>U64-R64</f>
        <v>0</v>
      </c>
      <c r="W64" s="188"/>
      <c r="X64" s="134">
        <f t="shared" si="32"/>
        <v>0</v>
      </c>
      <c r="Y64" s="134">
        <f>X64-U64</f>
        <v>0</v>
      </c>
      <c r="Z64" s="188"/>
    </row>
    <row r="65" spans="1:26" ht="26.45" customHeight="1" x14ac:dyDescent="0.25">
      <c r="A65" s="183" t="s">
        <v>556</v>
      </c>
      <c r="B65" s="95" t="s">
        <v>557</v>
      </c>
      <c r="C65" s="154" t="s">
        <v>558</v>
      </c>
      <c r="D65" s="133" t="s">
        <v>559</v>
      </c>
      <c r="E65" s="135">
        <v>143640</v>
      </c>
      <c r="F65" s="135">
        <f>ROUND(E65,0)+8232</f>
        <v>151872</v>
      </c>
      <c r="G65" s="134">
        <f t="shared" si="3"/>
        <v>8232</v>
      </c>
      <c r="H65" s="189" t="s">
        <v>560</v>
      </c>
      <c r="I65" s="134">
        <f>ROUND(F65,0)</f>
        <v>151872</v>
      </c>
      <c r="J65" s="134">
        <f t="shared" si="4"/>
        <v>0</v>
      </c>
      <c r="K65" s="138"/>
      <c r="L65" s="134">
        <f>ROUND(I65,0)+50781</f>
        <v>202653</v>
      </c>
      <c r="M65" s="134">
        <f t="shared" si="5"/>
        <v>50781</v>
      </c>
      <c r="N65" s="138" t="s">
        <v>561</v>
      </c>
      <c r="O65" s="134">
        <f t="shared" si="28"/>
        <v>202653</v>
      </c>
      <c r="P65" s="134">
        <f t="shared" si="6"/>
        <v>0</v>
      </c>
      <c r="Q65" s="138"/>
      <c r="R65" s="134">
        <f t="shared" si="29"/>
        <v>202653</v>
      </c>
      <c r="S65" s="134">
        <f t="shared" ref="S65:S124" si="33">R65-O65</f>
        <v>0</v>
      </c>
      <c r="T65" s="138"/>
      <c r="U65" s="134">
        <f>ROUND(R65,0)+1198</f>
        <v>203851</v>
      </c>
      <c r="V65" s="134">
        <f t="shared" ref="V65:V124" si="34">U65-R65</f>
        <v>1198</v>
      </c>
      <c r="W65" s="138" t="s">
        <v>562</v>
      </c>
      <c r="X65" s="134">
        <f>ROUND(U65,0)</f>
        <v>203851</v>
      </c>
      <c r="Y65" s="134">
        <f t="shared" ref="Y65:Y124" si="35">X65-U65</f>
        <v>0</v>
      </c>
      <c r="Z65" s="138"/>
    </row>
    <row r="66" spans="1:26" ht="25.9" customHeight="1" x14ac:dyDescent="0.25">
      <c r="C66" s="164" t="s">
        <v>563</v>
      </c>
      <c r="D66" s="165" t="s">
        <v>564</v>
      </c>
      <c r="E66" s="190">
        <v>1159816</v>
      </c>
      <c r="F66" s="190">
        <f t="shared" ref="F66" si="36">SUM(F67:F86)</f>
        <v>1271081</v>
      </c>
      <c r="G66" s="166">
        <f t="shared" si="3"/>
        <v>111265</v>
      </c>
      <c r="H66" s="191"/>
      <c r="I66" s="166">
        <f>SUM(I67:I86)</f>
        <v>1246934</v>
      </c>
      <c r="J66" s="166">
        <f t="shared" si="4"/>
        <v>-24147</v>
      </c>
      <c r="K66" s="192"/>
      <c r="L66" s="166">
        <f>SUM(L67:L86)</f>
        <v>1246934</v>
      </c>
      <c r="M66" s="166">
        <f t="shared" si="5"/>
        <v>0</v>
      </c>
      <c r="N66" s="192"/>
      <c r="O66" s="166">
        <f>SUM(O67:O86)</f>
        <v>1246934</v>
      </c>
      <c r="P66" s="166">
        <f t="shared" si="6"/>
        <v>0</v>
      </c>
      <c r="Q66" s="192"/>
      <c r="R66" s="166">
        <f>SUM(R67:R86)</f>
        <v>1305632</v>
      </c>
      <c r="S66" s="166">
        <f t="shared" si="33"/>
        <v>58698</v>
      </c>
      <c r="T66" s="192"/>
      <c r="U66" s="166">
        <f>SUM(U67:U86)</f>
        <v>1305632</v>
      </c>
      <c r="V66" s="166">
        <f t="shared" si="34"/>
        <v>0</v>
      </c>
      <c r="W66" s="192"/>
      <c r="X66" s="166">
        <f>SUM(X67:X86)</f>
        <v>1305632</v>
      </c>
      <c r="Y66" s="166">
        <f t="shared" si="35"/>
        <v>0</v>
      </c>
      <c r="Z66" s="192"/>
    </row>
    <row r="67" spans="1:26" x14ac:dyDescent="0.25">
      <c r="A67" s="95" t="s">
        <v>565</v>
      </c>
      <c r="B67" s="95" t="s">
        <v>566</v>
      </c>
      <c r="C67" s="154" t="s">
        <v>567</v>
      </c>
      <c r="D67" s="186" t="s">
        <v>568</v>
      </c>
      <c r="E67" s="135">
        <v>0</v>
      </c>
      <c r="F67" s="135">
        <f>ROUND(E67,0)+(109839-16873)</f>
        <v>92966</v>
      </c>
      <c r="G67" s="134">
        <f t="shared" si="3"/>
        <v>92966</v>
      </c>
      <c r="H67" s="150" t="s">
        <v>569</v>
      </c>
      <c r="I67" s="134">
        <f t="shared" ref="I67:I87" si="37">ROUND(F67,0)</f>
        <v>92966</v>
      </c>
      <c r="J67" s="134">
        <f t="shared" si="4"/>
        <v>0</v>
      </c>
      <c r="K67" s="150"/>
      <c r="L67" s="134">
        <f t="shared" ref="L67:L87" si="38">ROUND(I67,0)</f>
        <v>92966</v>
      </c>
      <c r="M67" s="134">
        <f t="shared" si="5"/>
        <v>0</v>
      </c>
      <c r="N67" s="150"/>
      <c r="O67" s="134">
        <f t="shared" ref="O67:O87" si="39">ROUND(L67,0)</f>
        <v>92966</v>
      </c>
      <c r="P67" s="134">
        <f t="shared" si="6"/>
        <v>0</v>
      </c>
      <c r="Q67" s="150"/>
      <c r="R67" s="134">
        <f t="shared" ref="R67:R87" si="40">ROUND(O67,0)</f>
        <v>92966</v>
      </c>
      <c r="S67" s="134">
        <f t="shared" si="33"/>
        <v>0</v>
      </c>
      <c r="T67" s="150"/>
      <c r="U67" s="134">
        <f>ROUND(R67,0)</f>
        <v>92966</v>
      </c>
      <c r="V67" s="134">
        <f t="shared" si="34"/>
        <v>0</v>
      </c>
      <c r="W67" s="150"/>
      <c r="X67" s="134">
        <f>ROUND(U67,0)</f>
        <v>92966</v>
      </c>
      <c r="Y67" s="134">
        <f t="shared" si="35"/>
        <v>0</v>
      </c>
      <c r="Z67" s="150"/>
    </row>
    <row r="68" spans="1:26" ht="14.25" customHeight="1" x14ac:dyDescent="0.25">
      <c r="C68" s="154" t="s">
        <v>570</v>
      </c>
      <c r="D68" s="186" t="s">
        <v>571</v>
      </c>
      <c r="E68" s="135">
        <v>63988</v>
      </c>
      <c r="F68" s="135">
        <f t="shared" ref="F68:F87" si="41">ROUND(E68,0)</f>
        <v>63988</v>
      </c>
      <c r="G68" s="134">
        <f t="shared" si="3"/>
        <v>0</v>
      </c>
      <c r="H68" s="161"/>
      <c r="I68" s="134">
        <f t="shared" si="37"/>
        <v>63988</v>
      </c>
      <c r="J68" s="134">
        <f t="shared" si="4"/>
        <v>0</v>
      </c>
      <c r="K68" s="138"/>
      <c r="L68" s="134">
        <f t="shared" si="38"/>
        <v>63988</v>
      </c>
      <c r="M68" s="134">
        <f t="shared" si="5"/>
        <v>0</v>
      </c>
      <c r="N68" s="138"/>
      <c r="O68" s="134">
        <f t="shared" si="39"/>
        <v>63988</v>
      </c>
      <c r="P68" s="134">
        <f t="shared" si="6"/>
        <v>0</v>
      </c>
      <c r="Q68" s="138"/>
      <c r="R68" s="134">
        <f t="shared" si="40"/>
        <v>63988</v>
      </c>
      <c r="S68" s="134">
        <f t="shared" si="33"/>
        <v>0</v>
      </c>
      <c r="T68" s="138"/>
      <c r="U68" s="134">
        <f>ROUND(R68,0)</f>
        <v>63988</v>
      </c>
      <c r="V68" s="134">
        <f t="shared" si="34"/>
        <v>0</v>
      </c>
      <c r="W68" s="138"/>
      <c r="X68" s="134">
        <f>ROUND(U68,0)</f>
        <v>63988</v>
      </c>
      <c r="Y68" s="134">
        <f t="shared" si="35"/>
        <v>0</v>
      </c>
      <c r="Z68" s="138"/>
    </row>
    <row r="69" spans="1:26" ht="30" x14ac:dyDescent="0.25">
      <c r="B69" s="193" t="s">
        <v>572</v>
      </c>
      <c r="C69" s="154" t="s">
        <v>573</v>
      </c>
      <c r="D69" s="186" t="s">
        <v>574</v>
      </c>
      <c r="E69" s="135">
        <v>2532</v>
      </c>
      <c r="F69" s="135">
        <f t="shared" si="41"/>
        <v>2532</v>
      </c>
      <c r="G69" s="134">
        <f t="shared" si="3"/>
        <v>0</v>
      </c>
      <c r="H69" s="149"/>
      <c r="I69" s="134">
        <f t="shared" si="37"/>
        <v>2532</v>
      </c>
      <c r="J69" s="134">
        <f t="shared" si="4"/>
        <v>0</v>
      </c>
      <c r="K69" s="150"/>
      <c r="L69" s="134">
        <f t="shared" si="38"/>
        <v>2532</v>
      </c>
      <c r="M69" s="134">
        <f t="shared" si="5"/>
        <v>0</v>
      </c>
      <c r="N69" s="150"/>
      <c r="O69" s="134">
        <f t="shared" si="39"/>
        <v>2532</v>
      </c>
      <c r="P69" s="134">
        <f t="shared" si="6"/>
        <v>0</v>
      </c>
      <c r="Q69" s="150"/>
      <c r="R69" s="134">
        <f t="shared" si="40"/>
        <v>2532</v>
      </c>
      <c r="S69" s="134">
        <f t="shared" si="33"/>
        <v>0</v>
      </c>
      <c r="T69" s="150"/>
      <c r="U69" s="134">
        <f>ROUND(R69,0)</f>
        <v>2532</v>
      </c>
      <c r="V69" s="134">
        <f t="shared" si="34"/>
        <v>0</v>
      </c>
      <c r="W69" s="150"/>
      <c r="X69" s="134">
        <f>ROUND(U69,0)</f>
        <v>2532</v>
      </c>
      <c r="Y69" s="134">
        <f t="shared" si="35"/>
        <v>0</v>
      </c>
      <c r="Z69" s="150"/>
    </row>
    <row r="70" spans="1:26" ht="30" x14ac:dyDescent="0.25">
      <c r="B70" s="193"/>
      <c r="C70" s="154" t="s">
        <v>575</v>
      </c>
      <c r="D70" s="186" t="s">
        <v>576</v>
      </c>
      <c r="E70" s="135">
        <v>5135</v>
      </c>
      <c r="F70" s="135">
        <f t="shared" si="41"/>
        <v>5135</v>
      </c>
      <c r="G70" s="134">
        <f t="shared" si="3"/>
        <v>0</v>
      </c>
      <c r="H70" s="149"/>
      <c r="I70" s="134">
        <f t="shared" si="37"/>
        <v>5135</v>
      </c>
      <c r="J70" s="134">
        <f t="shared" si="4"/>
        <v>0</v>
      </c>
      <c r="K70" s="150"/>
      <c r="L70" s="134">
        <f t="shared" si="38"/>
        <v>5135</v>
      </c>
      <c r="M70" s="134">
        <f t="shared" si="5"/>
        <v>0</v>
      </c>
      <c r="N70" s="150"/>
      <c r="O70" s="134">
        <f t="shared" si="39"/>
        <v>5135</v>
      </c>
      <c r="P70" s="134">
        <f t="shared" si="6"/>
        <v>0</v>
      </c>
      <c r="Q70" s="150"/>
      <c r="R70" s="134">
        <f>ROUND(O70,0)+12598</f>
        <v>17733</v>
      </c>
      <c r="S70" s="134">
        <f t="shared" si="33"/>
        <v>12598</v>
      </c>
      <c r="T70" s="150" t="s">
        <v>577</v>
      </c>
      <c r="U70" s="134">
        <f>ROUND(R70,0)</f>
        <v>17733</v>
      </c>
      <c r="V70" s="134">
        <f t="shared" si="34"/>
        <v>0</v>
      </c>
      <c r="W70" s="150"/>
      <c r="X70" s="134">
        <f>ROUND(U70,0)</f>
        <v>17733</v>
      </c>
      <c r="Y70" s="134">
        <f t="shared" si="35"/>
        <v>0</v>
      </c>
      <c r="Z70" s="150"/>
    </row>
    <row r="71" spans="1:26" x14ac:dyDescent="0.25">
      <c r="B71" s="193"/>
      <c r="C71" s="154" t="s">
        <v>578</v>
      </c>
      <c r="D71" s="186" t="s">
        <v>579</v>
      </c>
      <c r="E71" s="135">
        <v>9000</v>
      </c>
      <c r="F71" s="135">
        <f t="shared" si="41"/>
        <v>9000</v>
      </c>
      <c r="G71" s="134">
        <f t="shared" si="3"/>
        <v>0</v>
      </c>
      <c r="H71" s="149"/>
      <c r="I71" s="134">
        <f t="shared" si="37"/>
        <v>9000</v>
      </c>
      <c r="J71" s="134">
        <f t="shared" si="4"/>
        <v>0</v>
      </c>
      <c r="K71" s="150"/>
      <c r="L71" s="134">
        <f t="shared" si="38"/>
        <v>9000</v>
      </c>
      <c r="M71" s="134">
        <f t="shared" si="5"/>
        <v>0</v>
      </c>
      <c r="N71" s="150"/>
      <c r="O71" s="134">
        <f t="shared" si="39"/>
        <v>9000</v>
      </c>
      <c r="P71" s="134">
        <f t="shared" si="6"/>
        <v>0</v>
      </c>
      <c r="Q71" s="150"/>
      <c r="R71" s="134">
        <f t="shared" si="40"/>
        <v>9000</v>
      </c>
      <c r="S71" s="134">
        <f t="shared" si="33"/>
        <v>0</v>
      </c>
      <c r="T71" s="150"/>
      <c r="U71" s="134">
        <f t="shared" ref="U71:U87" si="42">ROUND(R71,0)</f>
        <v>9000</v>
      </c>
      <c r="V71" s="134">
        <f t="shared" si="34"/>
        <v>0</v>
      </c>
      <c r="W71" s="150"/>
      <c r="X71" s="134">
        <f t="shared" ref="X71:X87" si="43">ROUND(U71,0)</f>
        <v>9000</v>
      </c>
      <c r="Y71" s="134">
        <f t="shared" si="35"/>
        <v>0</v>
      </c>
      <c r="Z71" s="150"/>
    </row>
    <row r="72" spans="1:26" ht="60" x14ac:dyDescent="0.25">
      <c r="B72" s="193"/>
      <c r="C72" s="154" t="s">
        <v>580</v>
      </c>
      <c r="D72" s="186" t="s">
        <v>581</v>
      </c>
      <c r="E72" s="135">
        <v>6010</v>
      </c>
      <c r="F72" s="135">
        <f t="shared" si="41"/>
        <v>6010</v>
      </c>
      <c r="G72" s="134">
        <f>F72-E72</f>
        <v>0</v>
      </c>
      <c r="H72" s="149"/>
      <c r="I72" s="134">
        <f t="shared" si="37"/>
        <v>6010</v>
      </c>
      <c r="J72" s="134">
        <f t="shared" si="4"/>
        <v>0</v>
      </c>
      <c r="K72" s="150"/>
      <c r="L72" s="134">
        <f t="shared" si="38"/>
        <v>6010</v>
      </c>
      <c r="M72" s="134">
        <f t="shared" si="5"/>
        <v>0</v>
      </c>
      <c r="N72" s="150"/>
      <c r="O72" s="134">
        <f t="shared" si="39"/>
        <v>6010</v>
      </c>
      <c r="P72" s="134">
        <f t="shared" si="6"/>
        <v>0</v>
      </c>
      <c r="Q72" s="150"/>
      <c r="R72" s="134">
        <f t="shared" si="40"/>
        <v>6010</v>
      </c>
      <c r="S72" s="134">
        <f t="shared" si="33"/>
        <v>0</v>
      </c>
      <c r="T72" s="150"/>
      <c r="U72" s="134">
        <f t="shared" si="42"/>
        <v>6010</v>
      </c>
      <c r="V72" s="134">
        <f t="shared" si="34"/>
        <v>0</v>
      </c>
      <c r="W72" s="150"/>
      <c r="X72" s="134">
        <f t="shared" si="43"/>
        <v>6010</v>
      </c>
      <c r="Y72" s="134">
        <f t="shared" si="35"/>
        <v>0</v>
      </c>
      <c r="Z72" s="150"/>
    </row>
    <row r="73" spans="1:26" ht="45" x14ac:dyDescent="0.25">
      <c r="B73" s="193"/>
      <c r="C73" s="154" t="s">
        <v>582</v>
      </c>
      <c r="D73" s="186" t="s">
        <v>583</v>
      </c>
      <c r="E73" s="135">
        <v>30655</v>
      </c>
      <c r="F73" s="135">
        <f>ROUND(E73,0)</f>
        <v>30655</v>
      </c>
      <c r="G73" s="134">
        <f>F73-E73</f>
        <v>0</v>
      </c>
      <c r="H73" s="149"/>
      <c r="I73" s="134">
        <f t="shared" si="37"/>
        <v>30655</v>
      </c>
      <c r="J73" s="134">
        <f t="shared" si="4"/>
        <v>0</v>
      </c>
      <c r="K73" s="150"/>
      <c r="L73" s="134">
        <f t="shared" si="38"/>
        <v>30655</v>
      </c>
      <c r="M73" s="134">
        <f t="shared" si="5"/>
        <v>0</v>
      </c>
      <c r="N73" s="150"/>
      <c r="O73" s="134">
        <f t="shared" si="39"/>
        <v>30655</v>
      </c>
      <c r="P73" s="134">
        <f t="shared" si="6"/>
        <v>0</v>
      </c>
      <c r="Q73" s="150"/>
      <c r="R73" s="134">
        <f t="shared" si="40"/>
        <v>30655</v>
      </c>
      <c r="S73" s="134">
        <f t="shared" si="33"/>
        <v>0</v>
      </c>
      <c r="T73" s="150"/>
      <c r="U73" s="134">
        <f t="shared" si="42"/>
        <v>30655</v>
      </c>
      <c r="V73" s="134">
        <f t="shared" si="34"/>
        <v>0</v>
      </c>
      <c r="W73" s="150"/>
      <c r="X73" s="134">
        <f t="shared" si="43"/>
        <v>30655</v>
      </c>
      <c r="Y73" s="134">
        <f t="shared" si="35"/>
        <v>0</v>
      </c>
      <c r="Z73" s="150"/>
    </row>
    <row r="74" spans="1:26" x14ac:dyDescent="0.25">
      <c r="A74" s="183" t="s">
        <v>584</v>
      </c>
      <c r="B74" s="193"/>
      <c r="C74" s="154" t="s">
        <v>585</v>
      </c>
      <c r="D74" s="186" t="s">
        <v>586</v>
      </c>
      <c r="E74" s="135">
        <v>0</v>
      </c>
      <c r="F74" s="135">
        <f>ROUND(E74,0)</f>
        <v>0</v>
      </c>
      <c r="G74" s="134">
        <f>F74-E74</f>
        <v>0</v>
      </c>
      <c r="H74" s="149"/>
      <c r="I74" s="134">
        <f t="shared" si="37"/>
        <v>0</v>
      </c>
      <c r="J74" s="134">
        <f t="shared" si="4"/>
        <v>0</v>
      </c>
      <c r="K74" s="150"/>
      <c r="L74" s="134">
        <f t="shared" si="38"/>
        <v>0</v>
      </c>
      <c r="M74" s="134">
        <f t="shared" si="5"/>
        <v>0</v>
      </c>
      <c r="N74" s="150"/>
      <c r="O74" s="134">
        <f t="shared" si="39"/>
        <v>0</v>
      </c>
      <c r="P74" s="134">
        <f t="shared" si="6"/>
        <v>0</v>
      </c>
      <c r="Q74" s="150"/>
      <c r="R74" s="134">
        <f t="shared" si="40"/>
        <v>0</v>
      </c>
      <c r="S74" s="134">
        <f t="shared" si="33"/>
        <v>0</v>
      </c>
      <c r="T74" s="150"/>
      <c r="U74" s="134">
        <f t="shared" si="42"/>
        <v>0</v>
      </c>
      <c r="V74" s="134">
        <f t="shared" si="34"/>
        <v>0</v>
      </c>
      <c r="W74" s="150"/>
      <c r="X74" s="134">
        <f t="shared" si="43"/>
        <v>0</v>
      </c>
      <c r="Y74" s="134">
        <f t="shared" si="35"/>
        <v>0</v>
      </c>
      <c r="Z74" s="150"/>
    </row>
    <row r="75" spans="1:26" ht="58.15" customHeight="1" x14ac:dyDescent="0.25">
      <c r="A75" s="183" t="s">
        <v>587</v>
      </c>
      <c r="B75" s="193"/>
      <c r="C75" s="154" t="s">
        <v>588</v>
      </c>
      <c r="D75" s="186" t="s">
        <v>589</v>
      </c>
      <c r="E75" s="135">
        <v>0</v>
      </c>
      <c r="F75" s="135">
        <f>ROUND(E75,0)+18299</f>
        <v>18299</v>
      </c>
      <c r="G75" s="134">
        <f>F75-E75</f>
        <v>18299</v>
      </c>
      <c r="H75" s="194" t="s">
        <v>590</v>
      </c>
      <c r="I75" s="134">
        <f t="shared" si="37"/>
        <v>18299</v>
      </c>
      <c r="J75" s="134">
        <f t="shared" si="4"/>
        <v>0</v>
      </c>
      <c r="K75" s="150"/>
      <c r="L75" s="134">
        <f t="shared" si="38"/>
        <v>18299</v>
      </c>
      <c r="M75" s="134">
        <f t="shared" si="5"/>
        <v>0</v>
      </c>
      <c r="N75" s="150"/>
      <c r="O75" s="134">
        <f t="shared" si="39"/>
        <v>18299</v>
      </c>
      <c r="P75" s="134">
        <f t="shared" si="6"/>
        <v>0</v>
      </c>
      <c r="Q75" s="150"/>
      <c r="R75" s="134">
        <f t="shared" si="40"/>
        <v>18299</v>
      </c>
      <c r="S75" s="134">
        <f t="shared" si="33"/>
        <v>0</v>
      </c>
      <c r="T75" s="150"/>
      <c r="U75" s="134">
        <f t="shared" si="42"/>
        <v>18299</v>
      </c>
      <c r="V75" s="134">
        <f t="shared" si="34"/>
        <v>0</v>
      </c>
      <c r="W75" s="150"/>
      <c r="X75" s="134">
        <f t="shared" si="43"/>
        <v>18299</v>
      </c>
      <c r="Y75" s="134">
        <f t="shared" si="35"/>
        <v>0</v>
      </c>
      <c r="Z75" s="150"/>
    </row>
    <row r="76" spans="1:26" ht="45" x14ac:dyDescent="0.25">
      <c r="B76" s="95" t="s">
        <v>591</v>
      </c>
      <c r="C76" s="154" t="s">
        <v>592</v>
      </c>
      <c r="D76" s="186" t="s">
        <v>593</v>
      </c>
      <c r="E76" s="135">
        <v>0</v>
      </c>
      <c r="F76" s="135">
        <f t="shared" si="41"/>
        <v>0</v>
      </c>
      <c r="G76" s="134">
        <f t="shared" ref="G76:G124" si="44">F76-E76</f>
        <v>0</v>
      </c>
      <c r="H76" s="152"/>
      <c r="I76" s="134">
        <f t="shared" si="37"/>
        <v>0</v>
      </c>
      <c r="J76" s="134">
        <f t="shared" si="4"/>
        <v>0</v>
      </c>
      <c r="K76" s="153"/>
      <c r="L76" s="134">
        <f t="shared" si="38"/>
        <v>0</v>
      </c>
      <c r="M76" s="134">
        <f t="shared" si="5"/>
        <v>0</v>
      </c>
      <c r="N76" s="153"/>
      <c r="O76" s="134">
        <f t="shared" si="39"/>
        <v>0</v>
      </c>
      <c r="P76" s="134">
        <f t="shared" si="6"/>
        <v>0</v>
      </c>
      <c r="Q76" s="153"/>
      <c r="R76" s="134">
        <f t="shared" si="40"/>
        <v>0</v>
      </c>
      <c r="S76" s="134">
        <f t="shared" si="33"/>
        <v>0</v>
      </c>
      <c r="T76" s="153"/>
      <c r="U76" s="134">
        <f t="shared" si="42"/>
        <v>0</v>
      </c>
      <c r="V76" s="134">
        <f t="shared" si="34"/>
        <v>0</v>
      </c>
      <c r="W76" s="153"/>
      <c r="X76" s="134">
        <f t="shared" si="43"/>
        <v>0</v>
      </c>
      <c r="Y76" s="134">
        <f t="shared" si="35"/>
        <v>0</v>
      </c>
      <c r="Z76" s="153"/>
    </row>
    <row r="77" spans="1:26" ht="30" x14ac:dyDescent="0.25">
      <c r="B77" s="151" t="s">
        <v>594</v>
      </c>
      <c r="C77" s="154" t="s">
        <v>595</v>
      </c>
      <c r="D77" s="186" t="s">
        <v>596</v>
      </c>
      <c r="E77" s="135">
        <v>0</v>
      </c>
      <c r="F77" s="135">
        <f t="shared" si="41"/>
        <v>0</v>
      </c>
      <c r="G77" s="134">
        <f t="shared" si="44"/>
        <v>0</v>
      </c>
      <c r="H77" s="195"/>
      <c r="I77" s="134">
        <f t="shared" si="37"/>
        <v>0</v>
      </c>
      <c r="J77" s="134">
        <f t="shared" ref="J77:J124" si="45">I77-F77</f>
        <v>0</v>
      </c>
      <c r="K77" s="196"/>
      <c r="L77" s="134">
        <f t="shared" si="38"/>
        <v>0</v>
      </c>
      <c r="M77" s="134">
        <f t="shared" ref="M77:M124" si="46">L77-I77</f>
        <v>0</v>
      </c>
      <c r="N77" s="196"/>
      <c r="O77" s="134">
        <f t="shared" si="39"/>
        <v>0</v>
      </c>
      <c r="P77" s="134">
        <f t="shared" ref="P77:P124" si="47">O77-L77</f>
        <v>0</v>
      </c>
      <c r="Q77" s="196"/>
      <c r="R77" s="134">
        <f t="shared" si="40"/>
        <v>0</v>
      </c>
      <c r="S77" s="134">
        <f t="shared" si="33"/>
        <v>0</v>
      </c>
      <c r="T77" s="196"/>
      <c r="U77" s="134">
        <f t="shared" si="42"/>
        <v>0</v>
      </c>
      <c r="V77" s="134">
        <f t="shared" si="34"/>
        <v>0</v>
      </c>
      <c r="W77" s="196"/>
      <c r="X77" s="134">
        <f t="shared" si="43"/>
        <v>0</v>
      </c>
      <c r="Y77" s="134">
        <f t="shared" si="35"/>
        <v>0</v>
      </c>
      <c r="Z77" s="196"/>
    </row>
    <row r="78" spans="1:26" ht="30" x14ac:dyDescent="0.25">
      <c r="B78" s="151"/>
      <c r="C78" s="154" t="s">
        <v>597</v>
      </c>
      <c r="D78" s="186" t="s">
        <v>598</v>
      </c>
      <c r="E78" s="135">
        <v>0</v>
      </c>
      <c r="F78" s="135">
        <f t="shared" si="41"/>
        <v>0</v>
      </c>
      <c r="G78" s="134">
        <f t="shared" si="44"/>
        <v>0</v>
      </c>
      <c r="H78" s="195"/>
      <c r="I78" s="134">
        <f t="shared" si="37"/>
        <v>0</v>
      </c>
      <c r="J78" s="134">
        <f t="shared" si="45"/>
        <v>0</v>
      </c>
      <c r="K78" s="196"/>
      <c r="L78" s="134">
        <f t="shared" si="38"/>
        <v>0</v>
      </c>
      <c r="M78" s="134">
        <f t="shared" si="46"/>
        <v>0</v>
      </c>
      <c r="N78" s="196"/>
      <c r="O78" s="134">
        <f t="shared" si="39"/>
        <v>0</v>
      </c>
      <c r="P78" s="134">
        <f t="shared" si="47"/>
        <v>0</v>
      </c>
      <c r="Q78" s="196"/>
      <c r="R78" s="134">
        <f t="shared" si="40"/>
        <v>0</v>
      </c>
      <c r="S78" s="134">
        <f t="shared" si="33"/>
        <v>0</v>
      </c>
      <c r="T78" s="196"/>
      <c r="U78" s="134">
        <f t="shared" si="42"/>
        <v>0</v>
      </c>
      <c r="V78" s="134">
        <f t="shared" si="34"/>
        <v>0</v>
      </c>
      <c r="W78" s="196"/>
      <c r="X78" s="134">
        <f t="shared" si="43"/>
        <v>0</v>
      </c>
      <c r="Y78" s="134">
        <f t="shared" si="35"/>
        <v>0</v>
      </c>
      <c r="Z78" s="196"/>
    </row>
    <row r="79" spans="1:26" x14ac:dyDescent="0.25">
      <c r="B79" s="151"/>
      <c r="C79" s="154" t="s">
        <v>599</v>
      </c>
      <c r="D79" s="186" t="s">
        <v>600</v>
      </c>
      <c r="E79" s="135">
        <v>0</v>
      </c>
      <c r="F79" s="135">
        <f t="shared" si="41"/>
        <v>0</v>
      </c>
      <c r="G79" s="134">
        <f t="shared" si="44"/>
        <v>0</v>
      </c>
      <c r="H79" s="195"/>
      <c r="I79" s="134">
        <f t="shared" si="37"/>
        <v>0</v>
      </c>
      <c r="J79" s="134">
        <f t="shared" si="45"/>
        <v>0</v>
      </c>
      <c r="K79" s="196"/>
      <c r="L79" s="134">
        <f t="shared" si="38"/>
        <v>0</v>
      </c>
      <c r="M79" s="134">
        <f t="shared" si="46"/>
        <v>0</v>
      </c>
      <c r="N79" s="196"/>
      <c r="O79" s="134">
        <f t="shared" si="39"/>
        <v>0</v>
      </c>
      <c r="P79" s="134">
        <f t="shared" si="47"/>
        <v>0</v>
      </c>
      <c r="Q79" s="196"/>
      <c r="R79" s="134">
        <f t="shared" si="40"/>
        <v>0</v>
      </c>
      <c r="S79" s="134">
        <f t="shared" si="33"/>
        <v>0</v>
      </c>
      <c r="T79" s="196"/>
      <c r="U79" s="134">
        <f t="shared" si="42"/>
        <v>0</v>
      </c>
      <c r="V79" s="134">
        <f t="shared" si="34"/>
        <v>0</v>
      </c>
      <c r="W79" s="196"/>
      <c r="X79" s="134">
        <f t="shared" si="43"/>
        <v>0</v>
      </c>
      <c r="Y79" s="134">
        <f t="shared" si="35"/>
        <v>0</v>
      </c>
      <c r="Z79" s="196"/>
    </row>
    <row r="80" spans="1:26" ht="30" x14ac:dyDescent="0.25">
      <c r="B80" s="151"/>
      <c r="C80" s="154" t="s">
        <v>601</v>
      </c>
      <c r="D80" s="186" t="s">
        <v>602</v>
      </c>
      <c r="E80" s="135">
        <v>0</v>
      </c>
      <c r="F80" s="135">
        <f t="shared" si="41"/>
        <v>0</v>
      </c>
      <c r="G80" s="134">
        <f t="shared" si="44"/>
        <v>0</v>
      </c>
      <c r="H80" s="195"/>
      <c r="I80" s="134">
        <f t="shared" si="37"/>
        <v>0</v>
      </c>
      <c r="J80" s="134">
        <f t="shared" si="45"/>
        <v>0</v>
      </c>
      <c r="K80" s="196"/>
      <c r="L80" s="134">
        <f t="shared" si="38"/>
        <v>0</v>
      </c>
      <c r="M80" s="134">
        <f t="shared" si="46"/>
        <v>0</v>
      </c>
      <c r="N80" s="196"/>
      <c r="O80" s="134">
        <f t="shared" si="39"/>
        <v>0</v>
      </c>
      <c r="P80" s="134">
        <f t="shared" si="47"/>
        <v>0</v>
      </c>
      <c r="Q80" s="196"/>
      <c r="R80" s="134">
        <f t="shared" si="40"/>
        <v>0</v>
      </c>
      <c r="S80" s="134">
        <f t="shared" si="33"/>
        <v>0</v>
      </c>
      <c r="T80" s="196"/>
      <c r="U80" s="134">
        <f t="shared" si="42"/>
        <v>0</v>
      </c>
      <c r="V80" s="134">
        <f t="shared" si="34"/>
        <v>0</v>
      </c>
      <c r="W80" s="196"/>
      <c r="X80" s="134">
        <f t="shared" si="43"/>
        <v>0</v>
      </c>
      <c r="Y80" s="134">
        <f t="shared" si="35"/>
        <v>0</v>
      </c>
      <c r="Z80" s="196"/>
    </row>
    <row r="81" spans="1:26" x14ac:dyDescent="0.25">
      <c r="B81" s="197" t="s">
        <v>603</v>
      </c>
      <c r="C81" s="154" t="s">
        <v>604</v>
      </c>
      <c r="D81" s="186" t="s">
        <v>605</v>
      </c>
      <c r="E81" s="135">
        <v>0</v>
      </c>
      <c r="F81" s="135">
        <f t="shared" si="41"/>
        <v>0</v>
      </c>
      <c r="G81" s="134">
        <f t="shared" si="44"/>
        <v>0</v>
      </c>
      <c r="H81" s="195"/>
      <c r="I81" s="134">
        <f t="shared" si="37"/>
        <v>0</v>
      </c>
      <c r="J81" s="134">
        <f t="shared" si="45"/>
        <v>0</v>
      </c>
      <c r="K81" s="196"/>
      <c r="L81" s="134">
        <f t="shared" si="38"/>
        <v>0</v>
      </c>
      <c r="M81" s="134">
        <f t="shared" si="46"/>
        <v>0</v>
      </c>
      <c r="N81" s="196"/>
      <c r="O81" s="134">
        <f t="shared" si="39"/>
        <v>0</v>
      </c>
      <c r="P81" s="134">
        <f t="shared" si="47"/>
        <v>0</v>
      </c>
      <c r="Q81" s="196"/>
      <c r="R81" s="134">
        <f t="shared" si="40"/>
        <v>0</v>
      </c>
      <c r="S81" s="134">
        <f t="shared" si="33"/>
        <v>0</v>
      </c>
      <c r="T81" s="196"/>
      <c r="U81" s="134">
        <f t="shared" si="42"/>
        <v>0</v>
      </c>
      <c r="V81" s="134">
        <f t="shared" si="34"/>
        <v>0</v>
      </c>
      <c r="W81" s="196"/>
      <c r="X81" s="134">
        <f t="shared" si="43"/>
        <v>0</v>
      </c>
      <c r="Y81" s="134">
        <f t="shared" si="35"/>
        <v>0</v>
      </c>
      <c r="Z81" s="196"/>
    </row>
    <row r="82" spans="1:26" ht="30" x14ac:dyDescent="0.25">
      <c r="B82" s="151"/>
      <c r="C82" s="154" t="s">
        <v>606</v>
      </c>
      <c r="D82" s="186" t="s">
        <v>607</v>
      </c>
      <c r="E82" s="135">
        <v>150645</v>
      </c>
      <c r="F82" s="135">
        <f t="shared" si="41"/>
        <v>150645</v>
      </c>
      <c r="G82" s="134">
        <f t="shared" si="44"/>
        <v>0</v>
      </c>
      <c r="H82" s="195"/>
      <c r="I82" s="134">
        <f t="shared" si="37"/>
        <v>150645</v>
      </c>
      <c r="J82" s="134">
        <f t="shared" si="45"/>
        <v>0</v>
      </c>
      <c r="K82" s="196"/>
      <c r="L82" s="134">
        <f t="shared" si="38"/>
        <v>150645</v>
      </c>
      <c r="M82" s="134">
        <f t="shared" si="46"/>
        <v>0</v>
      </c>
      <c r="N82" s="196"/>
      <c r="O82" s="134">
        <f t="shared" si="39"/>
        <v>150645</v>
      </c>
      <c r="P82" s="134">
        <f t="shared" si="47"/>
        <v>0</v>
      </c>
      <c r="Q82" s="196"/>
      <c r="R82" s="134">
        <f>ROUND(O82,0)+16100+30000</f>
        <v>196745</v>
      </c>
      <c r="S82" s="134">
        <f t="shared" si="33"/>
        <v>46100</v>
      </c>
      <c r="T82" s="198" t="s">
        <v>608</v>
      </c>
      <c r="U82" s="134">
        <f t="shared" si="42"/>
        <v>196745</v>
      </c>
      <c r="V82" s="134">
        <f t="shared" si="34"/>
        <v>0</v>
      </c>
      <c r="W82" s="198"/>
      <c r="X82" s="134">
        <f t="shared" si="43"/>
        <v>196745</v>
      </c>
      <c r="Y82" s="134">
        <f t="shared" si="35"/>
        <v>0</v>
      </c>
      <c r="Z82" s="198"/>
    </row>
    <row r="83" spans="1:26" ht="41.45" customHeight="1" x14ac:dyDescent="0.25">
      <c r="B83" s="151"/>
      <c r="C83" s="154" t="s">
        <v>609</v>
      </c>
      <c r="D83" s="186" t="s">
        <v>610</v>
      </c>
      <c r="E83" s="135">
        <v>118650</v>
      </c>
      <c r="F83" s="135">
        <f t="shared" si="41"/>
        <v>118650</v>
      </c>
      <c r="G83" s="134">
        <f t="shared" si="44"/>
        <v>0</v>
      </c>
      <c r="H83" s="195"/>
      <c r="I83" s="134">
        <f t="shared" si="37"/>
        <v>118650</v>
      </c>
      <c r="J83" s="134">
        <f t="shared" si="45"/>
        <v>0</v>
      </c>
      <c r="K83" s="196"/>
      <c r="L83" s="134">
        <f t="shared" si="38"/>
        <v>118650</v>
      </c>
      <c r="M83" s="134">
        <f t="shared" si="46"/>
        <v>0</v>
      </c>
      <c r="N83" s="196"/>
      <c r="O83" s="134">
        <f t="shared" si="39"/>
        <v>118650</v>
      </c>
      <c r="P83" s="134">
        <f t="shared" si="47"/>
        <v>0</v>
      </c>
      <c r="Q83" s="196"/>
      <c r="R83" s="134">
        <f t="shared" si="40"/>
        <v>118650</v>
      </c>
      <c r="S83" s="134">
        <f t="shared" si="33"/>
        <v>0</v>
      </c>
      <c r="T83" s="196"/>
      <c r="U83" s="134">
        <f t="shared" si="42"/>
        <v>118650</v>
      </c>
      <c r="V83" s="134">
        <f t="shared" si="34"/>
        <v>0</v>
      </c>
      <c r="W83" s="196"/>
      <c r="X83" s="134">
        <f t="shared" si="43"/>
        <v>118650</v>
      </c>
      <c r="Y83" s="134">
        <f t="shared" si="35"/>
        <v>0</v>
      </c>
      <c r="Z83" s="196"/>
    </row>
    <row r="84" spans="1:26" x14ac:dyDescent="0.25">
      <c r="B84" s="151"/>
      <c r="C84" s="154" t="s">
        <v>611</v>
      </c>
      <c r="D84" s="186" t="s">
        <v>335</v>
      </c>
      <c r="E84" s="135">
        <v>390462</v>
      </c>
      <c r="F84" s="135">
        <f t="shared" si="41"/>
        <v>390462</v>
      </c>
      <c r="G84" s="134">
        <f t="shared" si="44"/>
        <v>0</v>
      </c>
      <c r="H84" s="195"/>
      <c r="I84" s="134">
        <f t="shared" si="37"/>
        <v>390462</v>
      </c>
      <c r="J84" s="134">
        <f t="shared" si="45"/>
        <v>0</v>
      </c>
      <c r="K84" s="196"/>
      <c r="L84" s="134">
        <f t="shared" si="38"/>
        <v>390462</v>
      </c>
      <c r="M84" s="134">
        <f t="shared" si="46"/>
        <v>0</v>
      </c>
      <c r="N84" s="196"/>
      <c r="O84" s="134">
        <f t="shared" si="39"/>
        <v>390462</v>
      </c>
      <c r="P84" s="134">
        <f t="shared" si="47"/>
        <v>0</v>
      </c>
      <c r="Q84" s="196"/>
      <c r="R84" s="134">
        <f t="shared" si="40"/>
        <v>390462</v>
      </c>
      <c r="S84" s="134">
        <f t="shared" si="33"/>
        <v>0</v>
      </c>
      <c r="T84" s="196"/>
      <c r="U84" s="134">
        <f t="shared" si="42"/>
        <v>390462</v>
      </c>
      <c r="V84" s="134">
        <f t="shared" si="34"/>
        <v>0</v>
      </c>
      <c r="W84" s="196"/>
      <c r="X84" s="134">
        <f t="shared" si="43"/>
        <v>390462</v>
      </c>
      <c r="Y84" s="134">
        <f t="shared" si="35"/>
        <v>0</v>
      </c>
      <c r="Z84" s="196"/>
    </row>
    <row r="85" spans="1:26" ht="30" x14ac:dyDescent="0.25">
      <c r="B85" s="197" t="s">
        <v>603</v>
      </c>
      <c r="C85" s="154" t="s">
        <v>612</v>
      </c>
      <c r="D85" s="186" t="s">
        <v>613</v>
      </c>
      <c r="E85" s="135">
        <v>0</v>
      </c>
      <c r="F85" s="135">
        <f t="shared" si="41"/>
        <v>0</v>
      </c>
      <c r="G85" s="134">
        <f t="shared" si="44"/>
        <v>0</v>
      </c>
      <c r="H85" s="195"/>
      <c r="I85" s="134">
        <f t="shared" si="37"/>
        <v>0</v>
      </c>
      <c r="J85" s="134">
        <f t="shared" si="45"/>
        <v>0</v>
      </c>
      <c r="K85" s="196"/>
      <c r="L85" s="134">
        <f t="shared" si="38"/>
        <v>0</v>
      </c>
      <c r="M85" s="134">
        <f t="shared" si="46"/>
        <v>0</v>
      </c>
      <c r="N85" s="196"/>
      <c r="O85" s="134">
        <f t="shared" si="39"/>
        <v>0</v>
      </c>
      <c r="P85" s="134">
        <f t="shared" si="47"/>
        <v>0</v>
      </c>
      <c r="Q85" s="196"/>
      <c r="R85" s="134">
        <f t="shared" si="40"/>
        <v>0</v>
      </c>
      <c r="S85" s="134">
        <f t="shared" si="33"/>
        <v>0</v>
      </c>
      <c r="T85" s="196"/>
      <c r="U85" s="134">
        <f t="shared" si="42"/>
        <v>0</v>
      </c>
      <c r="V85" s="134">
        <f t="shared" si="34"/>
        <v>0</v>
      </c>
      <c r="W85" s="196"/>
      <c r="X85" s="134">
        <f t="shared" si="43"/>
        <v>0</v>
      </c>
      <c r="Y85" s="134">
        <f t="shared" si="35"/>
        <v>0</v>
      </c>
      <c r="Z85" s="196"/>
    </row>
    <row r="86" spans="1:26" x14ac:dyDescent="0.25">
      <c r="B86" s="183" t="s">
        <v>614</v>
      </c>
      <c r="C86" s="154" t="s">
        <v>615</v>
      </c>
      <c r="D86" s="199" t="s">
        <v>336</v>
      </c>
      <c r="E86" s="135">
        <v>382739</v>
      </c>
      <c r="F86" s="135">
        <f t="shared" si="41"/>
        <v>382739</v>
      </c>
      <c r="G86" s="134">
        <f t="shared" si="44"/>
        <v>0</v>
      </c>
      <c r="H86" s="195"/>
      <c r="I86" s="134">
        <f>ROUND(F86,0)-24147</f>
        <v>358592</v>
      </c>
      <c r="J86" s="134">
        <f t="shared" si="45"/>
        <v>-24147</v>
      </c>
      <c r="K86" s="196" t="s">
        <v>616</v>
      </c>
      <c r="L86" s="134">
        <f t="shared" si="38"/>
        <v>358592</v>
      </c>
      <c r="M86" s="134">
        <f t="shared" si="46"/>
        <v>0</v>
      </c>
      <c r="N86" s="196"/>
      <c r="O86" s="134">
        <f t="shared" si="39"/>
        <v>358592</v>
      </c>
      <c r="P86" s="134">
        <f t="shared" si="47"/>
        <v>0</v>
      </c>
      <c r="Q86" s="196"/>
      <c r="R86" s="134">
        <f t="shared" si="40"/>
        <v>358592</v>
      </c>
      <c r="S86" s="134">
        <f t="shared" si="33"/>
        <v>0</v>
      </c>
      <c r="T86" s="196"/>
      <c r="U86" s="134">
        <f t="shared" si="42"/>
        <v>358592</v>
      </c>
      <c r="V86" s="134">
        <f t="shared" si="34"/>
        <v>0</v>
      </c>
      <c r="W86" s="196"/>
      <c r="X86" s="134">
        <f t="shared" si="43"/>
        <v>358592</v>
      </c>
      <c r="Y86" s="134">
        <f t="shared" si="35"/>
        <v>0</v>
      </c>
      <c r="Z86" s="196"/>
    </row>
    <row r="87" spans="1:26" hidden="1" outlineLevel="1" x14ac:dyDescent="0.25">
      <c r="B87" s="131" t="s">
        <v>617</v>
      </c>
      <c r="C87" s="132" t="s">
        <v>618</v>
      </c>
      <c r="D87" s="200" t="s">
        <v>619</v>
      </c>
      <c r="E87" s="170">
        <v>0</v>
      </c>
      <c r="F87" s="135">
        <f t="shared" si="41"/>
        <v>0</v>
      </c>
      <c r="G87" s="134">
        <f t="shared" si="44"/>
        <v>0</v>
      </c>
      <c r="H87" s="136"/>
      <c r="I87" s="134">
        <f t="shared" si="37"/>
        <v>0</v>
      </c>
      <c r="J87" s="134">
        <f t="shared" si="45"/>
        <v>0</v>
      </c>
      <c r="K87" s="137"/>
      <c r="L87" s="134">
        <f t="shared" si="38"/>
        <v>0</v>
      </c>
      <c r="M87" s="134">
        <f t="shared" si="46"/>
        <v>0</v>
      </c>
      <c r="N87" s="137"/>
      <c r="O87" s="134">
        <f t="shared" si="39"/>
        <v>0</v>
      </c>
      <c r="P87" s="134">
        <f t="shared" si="47"/>
        <v>0</v>
      </c>
      <c r="Q87" s="137"/>
      <c r="R87" s="134">
        <f t="shared" si="40"/>
        <v>0</v>
      </c>
      <c r="S87" s="134">
        <f t="shared" si="33"/>
        <v>0</v>
      </c>
      <c r="T87" s="137"/>
      <c r="U87" s="134">
        <f t="shared" si="42"/>
        <v>0</v>
      </c>
      <c r="V87" s="134">
        <f t="shared" si="34"/>
        <v>0</v>
      </c>
      <c r="W87" s="137"/>
      <c r="X87" s="134">
        <f t="shared" si="43"/>
        <v>0</v>
      </c>
      <c r="Y87" s="134">
        <f t="shared" si="35"/>
        <v>0</v>
      </c>
      <c r="Z87" s="137"/>
    </row>
    <row r="88" spans="1:26" collapsed="1" x14ac:dyDescent="0.25">
      <c r="C88" s="163" t="s">
        <v>620</v>
      </c>
      <c r="D88" s="140" t="s">
        <v>621</v>
      </c>
      <c r="E88" s="142">
        <v>295000</v>
      </c>
      <c r="F88" s="142">
        <f>F89+F90</f>
        <v>295000</v>
      </c>
      <c r="G88" s="141">
        <f t="shared" si="44"/>
        <v>0</v>
      </c>
      <c r="H88" s="143"/>
      <c r="I88" s="141">
        <f>I89+I90</f>
        <v>295000</v>
      </c>
      <c r="J88" s="141">
        <f t="shared" si="45"/>
        <v>0</v>
      </c>
      <c r="K88" s="144"/>
      <c r="L88" s="141">
        <f>L89+L90</f>
        <v>295000</v>
      </c>
      <c r="M88" s="141">
        <f t="shared" si="46"/>
        <v>0</v>
      </c>
      <c r="N88" s="144"/>
      <c r="O88" s="141">
        <f>O89+O90</f>
        <v>295000</v>
      </c>
      <c r="P88" s="141">
        <f t="shared" si="47"/>
        <v>0</v>
      </c>
      <c r="Q88" s="144"/>
      <c r="R88" s="141">
        <f>R89+R90</f>
        <v>375000</v>
      </c>
      <c r="S88" s="141">
        <f t="shared" si="33"/>
        <v>80000</v>
      </c>
      <c r="T88" s="144"/>
      <c r="U88" s="141">
        <f>U89+U90</f>
        <v>375000</v>
      </c>
      <c r="V88" s="141">
        <f t="shared" si="34"/>
        <v>0</v>
      </c>
      <c r="W88" s="144"/>
      <c r="X88" s="141">
        <f>X89+X90</f>
        <v>375000</v>
      </c>
      <c r="Y88" s="141">
        <f t="shared" si="35"/>
        <v>0</v>
      </c>
      <c r="Z88" s="144"/>
    </row>
    <row r="89" spans="1:26" ht="32.25" customHeight="1" x14ac:dyDescent="0.25">
      <c r="B89" s="95" t="s">
        <v>622</v>
      </c>
      <c r="C89" s="132" t="s">
        <v>623</v>
      </c>
      <c r="D89" s="133" t="s">
        <v>624</v>
      </c>
      <c r="E89" s="135">
        <v>295000</v>
      </c>
      <c r="F89" s="135">
        <f>ROUND(E89,0)</f>
        <v>295000</v>
      </c>
      <c r="G89" s="134">
        <f t="shared" si="44"/>
        <v>0</v>
      </c>
      <c r="H89" s="161"/>
      <c r="I89" s="134">
        <f>ROUND(F89,0)</f>
        <v>295000</v>
      </c>
      <c r="J89" s="134">
        <f t="shared" si="45"/>
        <v>0</v>
      </c>
      <c r="K89" s="138"/>
      <c r="L89" s="134">
        <f>ROUND(I89,0)</f>
        <v>295000</v>
      </c>
      <c r="M89" s="134">
        <f t="shared" si="46"/>
        <v>0</v>
      </c>
      <c r="N89" s="138"/>
      <c r="O89" s="134">
        <f>ROUND(L89,0)</f>
        <v>295000</v>
      </c>
      <c r="P89" s="134">
        <f t="shared" si="47"/>
        <v>0</v>
      </c>
      <c r="Q89" s="138"/>
      <c r="R89" s="134">
        <f>ROUND(O89,0)+80000</f>
        <v>375000</v>
      </c>
      <c r="S89" s="134">
        <f t="shared" si="33"/>
        <v>80000</v>
      </c>
      <c r="T89" s="138" t="s">
        <v>625</v>
      </c>
      <c r="U89" s="134">
        <f>ROUND(R89,0)</f>
        <v>375000</v>
      </c>
      <c r="V89" s="134">
        <f t="shared" si="34"/>
        <v>0</v>
      </c>
      <c r="W89" s="138"/>
      <c r="X89" s="134">
        <f>ROUND(U89,0)</f>
        <v>375000</v>
      </c>
      <c r="Y89" s="134">
        <f t="shared" si="35"/>
        <v>0</v>
      </c>
      <c r="Z89" s="138"/>
    </row>
    <row r="90" spans="1:26" ht="16.149999999999999" customHeight="1" x14ac:dyDescent="0.25">
      <c r="B90" s="95" t="s">
        <v>626</v>
      </c>
      <c r="C90" s="132" t="s">
        <v>627</v>
      </c>
      <c r="D90" s="133" t="s">
        <v>628</v>
      </c>
      <c r="E90" s="135">
        <v>0</v>
      </c>
      <c r="F90" s="135">
        <f>ROUND(E90,0)</f>
        <v>0</v>
      </c>
      <c r="G90" s="134">
        <f t="shared" si="44"/>
        <v>0</v>
      </c>
      <c r="H90" s="136"/>
      <c r="I90" s="134">
        <f>ROUND(F90,0)</f>
        <v>0</v>
      </c>
      <c r="J90" s="134">
        <f t="shared" si="45"/>
        <v>0</v>
      </c>
      <c r="K90" s="137"/>
      <c r="L90" s="134">
        <f>ROUND(I90,0)</f>
        <v>0</v>
      </c>
      <c r="M90" s="134">
        <f t="shared" si="46"/>
        <v>0</v>
      </c>
      <c r="N90" s="137"/>
      <c r="O90" s="134">
        <f>ROUND(L90,0)</f>
        <v>0</v>
      </c>
      <c r="P90" s="134">
        <f t="shared" si="47"/>
        <v>0</v>
      </c>
      <c r="Q90" s="137"/>
      <c r="R90" s="134">
        <f>ROUND(O90,0)</f>
        <v>0</v>
      </c>
      <c r="S90" s="134">
        <f t="shared" si="33"/>
        <v>0</v>
      </c>
      <c r="T90" s="137"/>
      <c r="U90" s="134">
        <f>ROUND(R90,0)</f>
        <v>0</v>
      </c>
      <c r="V90" s="134">
        <f t="shared" si="34"/>
        <v>0</v>
      </c>
      <c r="W90" s="137"/>
      <c r="X90" s="134">
        <f>ROUND(U90,0)</f>
        <v>0</v>
      </c>
      <c r="Y90" s="134">
        <f t="shared" si="35"/>
        <v>0</v>
      </c>
      <c r="Z90" s="137"/>
    </row>
    <row r="91" spans="1:26" ht="35.450000000000003" customHeight="1" x14ac:dyDescent="0.25">
      <c r="C91" s="163" t="s">
        <v>629</v>
      </c>
      <c r="D91" s="140" t="s">
        <v>630</v>
      </c>
      <c r="E91" s="142">
        <v>2153758</v>
      </c>
      <c r="F91" s="142">
        <f t="shared" ref="F91" si="48">F92+F95+F98+F102+F106</f>
        <v>1974755</v>
      </c>
      <c r="G91" s="141">
        <f t="shared" si="44"/>
        <v>-179003</v>
      </c>
      <c r="H91" s="143"/>
      <c r="I91" s="141">
        <f>I92+I95+I98+I102+I106</f>
        <v>1974755</v>
      </c>
      <c r="J91" s="141">
        <f t="shared" si="45"/>
        <v>0</v>
      </c>
      <c r="K91" s="144"/>
      <c r="L91" s="141">
        <f>L92+L95+L98+L102+L106</f>
        <v>1974755</v>
      </c>
      <c r="M91" s="141">
        <f t="shared" si="46"/>
        <v>0</v>
      </c>
      <c r="N91" s="144"/>
      <c r="O91" s="141">
        <f>O92+O95+O98+O102+O106</f>
        <v>2675467</v>
      </c>
      <c r="P91" s="141">
        <f t="shared" si="47"/>
        <v>700712</v>
      </c>
      <c r="Q91" s="144"/>
      <c r="R91" s="141">
        <f>R92+R95+R98+R102+R106</f>
        <v>2888467</v>
      </c>
      <c r="S91" s="141">
        <f t="shared" si="33"/>
        <v>213000</v>
      </c>
      <c r="T91" s="144"/>
      <c r="U91" s="141">
        <f>U92+U95+U98+U102+U106</f>
        <v>2908467</v>
      </c>
      <c r="V91" s="141">
        <f t="shared" si="34"/>
        <v>20000</v>
      </c>
      <c r="W91" s="144"/>
      <c r="X91" s="141">
        <f>X92+X95+X98+X102+X106</f>
        <v>2914767</v>
      </c>
      <c r="Y91" s="141">
        <f t="shared" si="35"/>
        <v>6300</v>
      </c>
      <c r="Z91" s="144"/>
    </row>
    <row r="92" spans="1:26" x14ac:dyDescent="0.25">
      <c r="A92" s="95" t="s">
        <v>383</v>
      </c>
      <c r="B92" s="95" t="s">
        <v>631</v>
      </c>
      <c r="C92" s="132" t="s">
        <v>632</v>
      </c>
      <c r="D92" s="133" t="s">
        <v>633</v>
      </c>
      <c r="E92" s="135">
        <v>149000</v>
      </c>
      <c r="F92" s="135">
        <f>SUM(F93:F94)</f>
        <v>149000</v>
      </c>
      <c r="G92" s="134">
        <f t="shared" si="44"/>
        <v>0</v>
      </c>
      <c r="H92" s="136"/>
      <c r="I92" s="134">
        <f>SUM(I93:I94)</f>
        <v>149000</v>
      </c>
      <c r="J92" s="134">
        <f t="shared" si="45"/>
        <v>0</v>
      </c>
      <c r="K92" s="137"/>
      <c r="L92" s="134">
        <f>SUM(L93:L94)</f>
        <v>149000</v>
      </c>
      <c r="M92" s="134">
        <f t="shared" si="46"/>
        <v>0</v>
      </c>
      <c r="N92" s="137"/>
      <c r="O92" s="134">
        <f>SUM(O93:O94)</f>
        <v>149000</v>
      </c>
      <c r="P92" s="134">
        <f t="shared" si="47"/>
        <v>0</v>
      </c>
      <c r="Q92" s="137"/>
      <c r="R92" s="134">
        <f>SUM(R93:R94)</f>
        <v>279000</v>
      </c>
      <c r="S92" s="134">
        <f t="shared" si="33"/>
        <v>130000</v>
      </c>
      <c r="T92" s="137"/>
      <c r="U92" s="134">
        <f>SUM(U93:U94)</f>
        <v>279000</v>
      </c>
      <c r="V92" s="134">
        <f t="shared" si="34"/>
        <v>0</v>
      </c>
      <c r="W92" s="137"/>
      <c r="X92" s="134">
        <f>SUM(X93:X94)</f>
        <v>279000</v>
      </c>
      <c r="Y92" s="134">
        <f t="shared" si="35"/>
        <v>0</v>
      </c>
      <c r="Z92" s="137"/>
    </row>
    <row r="93" spans="1:26" ht="14.25" customHeight="1" x14ac:dyDescent="0.25">
      <c r="B93" s="95" t="s">
        <v>634</v>
      </c>
      <c r="C93" s="201" t="s">
        <v>635</v>
      </c>
      <c r="D93" s="202" t="s">
        <v>636</v>
      </c>
      <c r="E93" s="135">
        <v>24000</v>
      </c>
      <c r="F93" s="135">
        <f>ROUND(E93,0)</f>
        <v>24000</v>
      </c>
      <c r="G93" s="134">
        <f t="shared" si="44"/>
        <v>0</v>
      </c>
      <c r="H93" s="146"/>
      <c r="I93" s="134">
        <f>ROUND(F93,0)</f>
        <v>24000</v>
      </c>
      <c r="J93" s="134">
        <f t="shared" si="45"/>
        <v>0</v>
      </c>
      <c r="K93" s="147"/>
      <c r="L93" s="134">
        <f>ROUND(I93,0)</f>
        <v>24000</v>
      </c>
      <c r="M93" s="134">
        <f t="shared" si="46"/>
        <v>0</v>
      </c>
      <c r="N93" s="147"/>
      <c r="O93" s="134">
        <f>ROUND(L93,0)</f>
        <v>24000</v>
      </c>
      <c r="P93" s="134">
        <f t="shared" si="47"/>
        <v>0</v>
      </c>
      <c r="Q93" s="147"/>
      <c r="R93" s="134">
        <f>ROUND(O93,0)+55000</f>
        <v>79000</v>
      </c>
      <c r="S93" s="134">
        <f t="shared" si="33"/>
        <v>55000</v>
      </c>
      <c r="T93" s="138" t="s">
        <v>625</v>
      </c>
      <c r="U93" s="134">
        <f>ROUND(R93,0)</f>
        <v>79000</v>
      </c>
      <c r="V93" s="134">
        <f t="shared" si="34"/>
        <v>0</v>
      </c>
      <c r="W93" s="138"/>
      <c r="X93" s="134">
        <f>ROUND(U93,0)</f>
        <v>79000</v>
      </c>
      <c r="Y93" s="134">
        <f t="shared" si="35"/>
        <v>0</v>
      </c>
      <c r="Z93" s="138"/>
    </row>
    <row r="94" spans="1:26" ht="30" customHeight="1" x14ac:dyDescent="0.25">
      <c r="B94" s="95" t="s">
        <v>637</v>
      </c>
      <c r="C94" s="201" t="s">
        <v>638</v>
      </c>
      <c r="D94" s="202" t="s">
        <v>639</v>
      </c>
      <c r="E94" s="135">
        <v>125000</v>
      </c>
      <c r="F94" s="135">
        <f>ROUND(E94,0)</f>
        <v>125000</v>
      </c>
      <c r="G94" s="134">
        <f t="shared" si="44"/>
        <v>0</v>
      </c>
      <c r="H94" s="146"/>
      <c r="I94" s="134">
        <f>ROUND(F94,0)</f>
        <v>125000</v>
      </c>
      <c r="J94" s="134">
        <f t="shared" si="45"/>
        <v>0</v>
      </c>
      <c r="K94" s="147"/>
      <c r="L94" s="134">
        <f>ROUND(I94,0)</f>
        <v>125000</v>
      </c>
      <c r="M94" s="134">
        <f t="shared" si="46"/>
        <v>0</v>
      </c>
      <c r="N94" s="147"/>
      <c r="O94" s="134">
        <f>ROUND(L94,0)</f>
        <v>125000</v>
      </c>
      <c r="P94" s="134">
        <f t="shared" si="47"/>
        <v>0</v>
      </c>
      <c r="Q94" s="147"/>
      <c r="R94" s="134">
        <f>ROUND(O94,0)+75000</f>
        <v>200000</v>
      </c>
      <c r="S94" s="134">
        <f t="shared" si="33"/>
        <v>75000</v>
      </c>
      <c r="T94" s="138" t="s">
        <v>625</v>
      </c>
      <c r="U94" s="134">
        <f>ROUND(R94,0)</f>
        <v>200000</v>
      </c>
      <c r="V94" s="134">
        <f t="shared" si="34"/>
        <v>0</v>
      </c>
      <c r="W94" s="138"/>
      <c r="X94" s="134">
        <f>ROUND(U94,0)</f>
        <v>200000</v>
      </c>
      <c r="Y94" s="134">
        <f t="shared" si="35"/>
        <v>0</v>
      </c>
      <c r="Z94" s="138"/>
    </row>
    <row r="95" spans="1:26" ht="13.9" customHeight="1" x14ac:dyDescent="0.25">
      <c r="C95" s="132" t="s">
        <v>640</v>
      </c>
      <c r="D95" s="133" t="s">
        <v>641</v>
      </c>
      <c r="E95" s="135">
        <v>0</v>
      </c>
      <c r="F95" s="135">
        <f>F96+F97</f>
        <v>0</v>
      </c>
      <c r="G95" s="134">
        <f t="shared" si="44"/>
        <v>0</v>
      </c>
      <c r="H95" s="203"/>
      <c r="I95" s="134">
        <f>I96+I97</f>
        <v>0</v>
      </c>
      <c r="J95" s="134">
        <f t="shared" si="45"/>
        <v>0</v>
      </c>
      <c r="K95" s="204"/>
      <c r="L95" s="134">
        <f>L96+L97</f>
        <v>0</v>
      </c>
      <c r="M95" s="134">
        <f t="shared" si="46"/>
        <v>0</v>
      </c>
      <c r="N95" s="204"/>
      <c r="O95" s="134">
        <f>O96+O97</f>
        <v>0</v>
      </c>
      <c r="P95" s="134">
        <f t="shared" si="47"/>
        <v>0</v>
      </c>
      <c r="Q95" s="204"/>
      <c r="R95" s="134">
        <f>R96+R97</f>
        <v>0</v>
      </c>
      <c r="S95" s="134">
        <f t="shared" si="33"/>
        <v>0</v>
      </c>
      <c r="T95" s="204"/>
      <c r="U95" s="134">
        <f>U96+U97</f>
        <v>0</v>
      </c>
      <c r="V95" s="134">
        <f t="shared" si="34"/>
        <v>0</v>
      </c>
      <c r="W95" s="204"/>
      <c r="X95" s="134">
        <f>X96+X97</f>
        <v>0</v>
      </c>
      <c r="Y95" s="134">
        <f t="shared" si="35"/>
        <v>0</v>
      </c>
      <c r="Z95" s="204"/>
    </row>
    <row r="96" spans="1:26" x14ac:dyDescent="0.25">
      <c r="C96" s="201" t="s">
        <v>642</v>
      </c>
      <c r="D96" s="202" t="s">
        <v>643</v>
      </c>
      <c r="E96" s="135">
        <v>0</v>
      </c>
      <c r="F96" s="135"/>
      <c r="G96" s="134">
        <f t="shared" si="44"/>
        <v>0</v>
      </c>
      <c r="H96" s="146"/>
      <c r="I96" s="134"/>
      <c r="J96" s="134">
        <f t="shared" si="45"/>
        <v>0</v>
      </c>
      <c r="K96" s="147"/>
      <c r="L96" s="134"/>
      <c r="M96" s="134">
        <f t="shared" si="46"/>
        <v>0</v>
      </c>
      <c r="N96" s="147"/>
      <c r="O96" s="134"/>
      <c r="P96" s="134">
        <f t="shared" si="47"/>
        <v>0</v>
      </c>
      <c r="Q96" s="147"/>
      <c r="R96" s="134"/>
      <c r="S96" s="134">
        <f t="shared" si="33"/>
        <v>0</v>
      </c>
      <c r="T96" s="147"/>
      <c r="U96" s="134"/>
      <c r="V96" s="134">
        <f t="shared" si="34"/>
        <v>0</v>
      </c>
      <c r="W96" s="147"/>
      <c r="X96" s="134"/>
      <c r="Y96" s="134">
        <f t="shared" si="35"/>
        <v>0</v>
      </c>
      <c r="Z96" s="147"/>
    </row>
    <row r="97" spans="1:26" ht="30" customHeight="1" x14ac:dyDescent="0.25">
      <c r="B97" s="183" t="s">
        <v>644</v>
      </c>
      <c r="C97" s="201" t="s">
        <v>645</v>
      </c>
      <c r="D97" s="186" t="s">
        <v>646</v>
      </c>
      <c r="E97" s="135">
        <v>0</v>
      </c>
      <c r="F97" s="135">
        <f>ROUND(E97,0)</f>
        <v>0</v>
      </c>
      <c r="G97" s="134">
        <f t="shared" si="44"/>
        <v>0</v>
      </c>
      <c r="H97" s="146"/>
      <c r="I97" s="134">
        <f>ROUND(F97,0)</f>
        <v>0</v>
      </c>
      <c r="J97" s="134">
        <f t="shared" si="45"/>
        <v>0</v>
      </c>
      <c r="K97" s="147"/>
      <c r="L97" s="134">
        <f>ROUND(I97,0)</f>
        <v>0</v>
      </c>
      <c r="M97" s="134">
        <f t="shared" si="46"/>
        <v>0</v>
      </c>
      <c r="N97" s="147"/>
      <c r="O97" s="134">
        <f>ROUND(L97,0)</f>
        <v>0</v>
      </c>
      <c r="P97" s="134">
        <f t="shared" si="47"/>
        <v>0</v>
      </c>
      <c r="Q97" s="147"/>
      <c r="R97" s="134">
        <f>ROUND(O97,0)</f>
        <v>0</v>
      </c>
      <c r="S97" s="134">
        <f t="shared" si="33"/>
        <v>0</v>
      </c>
      <c r="T97" s="147"/>
      <c r="U97" s="134">
        <f>ROUND(R97,0)</f>
        <v>0</v>
      </c>
      <c r="V97" s="134">
        <f t="shared" si="34"/>
        <v>0</v>
      </c>
      <c r="W97" s="147"/>
      <c r="X97" s="134">
        <f>ROUND(U97,0)</f>
        <v>0</v>
      </c>
      <c r="Y97" s="134">
        <f t="shared" si="35"/>
        <v>0</v>
      </c>
      <c r="Z97" s="147"/>
    </row>
    <row r="98" spans="1:26" x14ac:dyDescent="0.25">
      <c r="A98" s="95" t="s">
        <v>383</v>
      </c>
      <c r="B98" s="95" t="s">
        <v>647</v>
      </c>
      <c r="C98" s="132" t="s">
        <v>648</v>
      </c>
      <c r="D98" s="133" t="s">
        <v>649</v>
      </c>
      <c r="E98" s="135">
        <v>180000</v>
      </c>
      <c r="F98" s="135">
        <f>SUM(F99:F101)</f>
        <v>180000</v>
      </c>
      <c r="G98" s="134">
        <f t="shared" si="44"/>
        <v>0</v>
      </c>
      <c r="H98" s="136"/>
      <c r="I98" s="134">
        <f>SUM(I99:I101)</f>
        <v>180000</v>
      </c>
      <c r="J98" s="134">
        <f t="shared" si="45"/>
        <v>0</v>
      </c>
      <c r="K98" s="137"/>
      <c r="L98" s="134">
        <f>SUM(L99:L101)</f>
        <v>180000</v>
      </c>
      <c r="M98" s="134">
        <f t="shared" si="46"/>
        <v>0</v>
      </c>
      <c r="N98" s="137"/>
      <c r="O98" s="134">
        <f>SUM(O99:O101)</f>
        <v>195370</v>
      </c>
      <c r="P98" s="134">
        <f t="shared" si="47"/>
        <v>15370</v>
      </c>
      <c r="Q98" s="137"/>
      <c r="R98" s="134">
        <f>SUM(R99:R101)</f>
        <v>278370</v>
      </c>
      <c r="S98" s="134">
        <f t="shared" si="33"/>
        <v>83000</v>
      </c>
      <c r="T98" s="137"/>
      <c r="U98" s="134">
        <f>SUM(U99:U101)</f>
        <v>278370</v>
      </c>
      <c r="V98" s="134">
        <f t="shared" si="34"/>
        <v>0</v>
      </c>
      <c r="W98" s="137"/>
      <c r="X98" s="134">
        <f>SUM(X99:X101)</f>
        <v>278370</v>
      </c>
      <c r="Y98" s="134">
        <f t="shared" si="35"/>
        <v>0</v>
      </c>
      <c r="Z98" s="137"/>
    </row>
    <row r="99" spans="1:26" ht="16.5" customHeight="1" x14ac:dyDescent="0.25">
      <c r="B99" s="95" t="s">
        <v>650</v>
      </c>
      <c r="C99" s="201" t="s">
        <v>651</v>
      </c>
      <c r="D99" s="202" t="s">
        <v>652</v>
      </c>
      <c r="E99" s="135">
        <v>143000</v>
      </c>
      <c r="F99" s="135">
        <f>ROUND(E99,0)</f>
        <v>143000</v>
      </c>
      <c r="G99" s="134">
        <f t="shared" si="44"/>
        <v>0</v>
      </c>
      <c r="H99" s="161"/>
      <c r="I99" s="134">
        <f>ROUND(F99,0)</f>
        <v>143000</v>
      </c>
      <c r="J99" s="134">
        <f t="shared" si="45"/>
        <v>0</v>
      </c>
      <c r="K99" s="138"/>
      <c r="L99" s="134">
        <f>ROUND(I99,0)</f>
        <v>143000</v>
      </c>
      <c r="M99" s="134">
        <f t="shared" si="46"/>
        <v>0</v>
      </c>
      <c r="N99" s="138"/>
      <c r="O99" s="134">
        <f>ROUND(L99,0)+6370+9000</f>
        <v>158370</v>
      </c>
      <c r="P99" s="134">
        <f t="shared" si="47"/>
        <v>15370</v>
      </c>
      <c r="Q99" s="138" t="s">
        <v>653</v>
      </c>
      <c r="R99" s="134">
        <f>ROUND(O99,0)+62000</f>
        <v>220370</v>
      </c>
      <c r="S99" s="134">
        <f t="shared" si="33"/>
        <v>62000</v>
      </c>
      <c r="T99" s="138" t="s">
        <v>654</v>
      </c>
      <c r="U99" s="134">
        <f>ROUND(R99,0)</f>
        <v>220370</v>
      </c>
      <c r="V99" s="134">
        <f t="shared" si="34"/>
        <v>0</v>
      </c>
      <c r="W99" s="138"/>
      <c r="X99" s="134">
        <f>ROUND(U99,0)</f>
        <v>220370</v>
      </c>
      <c r="Y99" s="134">
        <f t="shared" si="35"/>
        <v>0</v>
      </c>
      <c r="Z99" s="138"/>
    </row>
    <row r="100" spans="1:26" x14ac:dyDescent="0.25">
      <c r="B100" s="95" t="s">
        <v>655</v>
      </c>
      <c r="C100" s="201" t="s">
        <v>656</v>
      </c>
      <c r="D100" s="202" t="s">
        <v>657</v>
      </c>
      <c r="E100" s="135">
        <v>36000</v>
      </c>
      <c r="F100" s="135">
        <f>ROUND(E100,0)</f>
        <v>36000</v>
      </c>
      <c r="G100" s="134">
        <f t="shared" si="44"/>
        <v>0</v>
      </c>
      <c r="H100" s="136"/>
      <c r="I100" s="134">
        <f>ROUND(F100,0)</f>
        <v>36000</v>
      </c>
      <c r="J100" s="134">
        <f t="shared" si="45"/>
        <v>0</v>
      </c>
      <c r="K100" s="137"/>
      <c r="L100" s="134">
        <f>ROUND(I100,0)</f>
        <v>36000</v>
      </c>
      <c r="M100" s="134">
        <f t="shared" si="46"/>
        <v>0</v>
      </c>
      <c r="N100" s="137"/>
      <c r="O100" s="134">
        <f>ROUND(L100,0)</f>
        <v>36000</v>
      </c>
      <c r="P100" s="134">
        <f t="shared" si="47"/>
        <v>0</v>
      </c>
      <c r="Q100" s="137"/>
      <c r="R100" s="134">
        <f>ROUND(O100,0)+21000</f>
        <v>57000</v>
      </c>
      <c r="S100" s="134">
        <f t="shared" si="33"/>
        <v>21000</v>
      </c>
      <c r="T100" s="138" t="s">
        <v>654</v>
      </c>
      <c r="U100" s="134">
        <f>ROUND(R100,0)</f>
        <v>57000</v>
      </c>
      <c r="V100" s="134">
        <f t="shared" si="34"/>
        <v>0</v>
      </c>
      <c r="W100" s="138"/>
      <c r="X100" s="134">
        <f>ROUND(U100,0)</f>
        <v>57000</v>
      </c>
      <c r="Y100" s="134">
        <f t="shared" si="35"/>
        <v>0</v>
      </c>
      <c r="Z100" s="138"/>
    </row>
    <row r="101" spans="1:26" x14ac:dyDescent="0.25">
      <c r="B101" s="95" t="s">
        <v>658</v>
      </c>
      <c r="C101" s="201" t="s">
        <v>659</v>
      </c>
      <c r="D101" s="186" t="s">
        <v>660</v>
      </c>
      <c r="E101" s="135">
        <v>1000</v>
      </c>
      <c r="F101" s="135">
        <f>ROUND(E101,0)</f>
        <v>1000</v>
      </c>
      <c r="G101" s="134">
        <f t="shared" si="44"/>
        <v>0</v>
      </c>
      <c r="H101" s="136"/>
      <c r="I101" s="134">
        <f>ROUND(F101,0)</f>
        <v>1000</v>
      </c>
      <c r="J101" s="134">
        <f t="shared" si="45"/>
        <v>0</v>
      </c>
      <c r="K101" s="137"/>
      <c r="L101" s="134">
        <f>ROUND(I101,0)</f>
        <v>1000</v>
      </c>
      <c r="M101" s="134">
        <f t="shared" si="46"/>
        <v>0</v>
      </c>
      <c r="N101" s="137"/>
      <c r="O101" s="134">
        <f>ROUND(L101,0)</f>
        <v>1000</v>
      </c>
      <c r="P101" s="134">
        <f t="shared" si="47"/>
        <v>0</v>
      </c>
      <c r="Q101" s="137"/>
      <c r="R101" s="134">
        <f>ROUND(O101,0)</f>
        <v>1000</v>
      </c>
      <c r="S101" s="134">
        <f t="shared" si="33"/>
        <v>0</v>
      </c>
      <c r="T101" s="137"/>
      <c r="U101" s="134">
        <f>ROUND(R101,0)</f>
        <v>1000</v>
      </c>
      <c r="V101" s="134">
        <f t="shared" si="34"/>
        <v>0</v>
      </c>
      <c r="W101" s="137"/>
      <c r="X101" s="134">
        <f>ROUND(U101,0)</f>
        <v>1000</v>
      </c>
      <c r="Y101" s="134">
        <f t="shared" si="35"/>
        <v>0</v>
      </c>
      <c r="Z101" s="137"/>
    </row>
    <row r="102" spans="1:26" ht="25.15" customHeight="1" x14ac:dyDescent="0.25">
      <c r="A102" s="95" t="s">
        <v>383</v>
      </c>
      <c r="B102" s="95" t="s">
        <v>661</v>
      </c>
      <c r="C102" s="132" t="s">
        <v>662</v>
      </c>
      <c r="D102" s="133" t="s">
        <v>663</v>
      </c>
      <c r="E102" s="135">
        <v>1712137</v>
      </c>
      <c r="F102" s="135">
        <f t="shared" ref="F102" si="49">SUM(F103:F105)</f>
        <v>1543755</v>
      </c>
      <c r="G102" s="134">
        <f t="shared" si="44"/>
        <v>-168382</v>
      </c>
      <c r="H102" s="161"/>
      <c r="I102" s="134">
        <f>SUM(I103:I105)</f>
        <v>1543755</v>
      </c>
      <c r="J102" s="134">
        <f t="shared" si="45"/>
        <v>0</v>
      </c>
      <c r="K102" s="138"/>
      <c r="L102" s="134">
        <f>SUM(L103:L105)</f>
        <v>1543755</v>
      </c>
      <c r="M102" s="134">
        <f t="shared" si="46"/>
        <v>0</v>
      </c>
      <c r="N102" s="138"/>
      <c r="O102" s="134">
        <f>SUM(O103:O105)</f>
        <v>2224097</v>
      </c>
      <c r="P102" s="134">
        <f t="shared" si="47"/>
        <v>680342</v>
      </c>
      <c r="Q102" s="138"/>
      <c r="R102" s="134">
        <f>SUM(R103:R105)</f>
        <v>2224097</v>
      </c>
      <c r="S102" s="134">
        <f t="shared" si="33"/>
        <v>0</v>
      </c>
      <c r="T102" s="138"/>
      <c r="U102" s="134">
        <f>SUM(U103:U105)</f>
        <v>2224097</v>
      </c>
      <c r="V102" s="134">
        <f t="shared" si="34"/>
        <v>0</v>
      </c>
      <c r="W102" s="138"/>
      <c r="X102" s="134">
        <f>SUM(X103:X105)</f>
        <v>2230397</v>
      </c>
      <c r="Y102" s="134">
        <f t="shared" si="35"/>
        <v>6300</v>
      </c>
      <c r="Z102" s="138"/>
    </row>
    <row r="103" spans="1:26" ht="28.15" customHeight="1" x14ac:dyDescent="0.25">
      <c r="A103" s="183" t="s">
        <v>664</v>
      </c>
      <c r="C103" s="201" t="s">
        <v>665</v>
      </c>
      <c r="D103" s="202" t="s">
        <v>663</v>
      </c>
      <c r="E103" s="135">
        <v>135600</v>
      </c>
      <c r="F103" s="135">
        <f>ROUND(E103,0)</f>
        <v>135600</v>
      </c>
      <c r="G103" s="134">
        <f t="shared" si="44"/>
        <v>0</v>
      </c>
      <c r="H103" s="136"/>
      <c r="I103" s="134">
        <f>ROUND(F103,0)</f>
        <v>135600</v>
      </c>
      <c r="J103" s="134">
        <f t="shared" si="45"/>
        <v>0</v>
      </c>
      <c r="K103" s="137"/>
      <c r="L103" s="134">
        <f>ROUND(I103,0)</f>
        <v>135600</v>
      </c>
      <c r="M103" s="134">
        <f t="shared" si="46"/>
        <v>0</v>
      </c>
      <c r="N103" s="137"/>
      <c r="O103" s="134">
        <f>ROUND(L103,0)</f>
        <v>135600</v>
      </c>
      <c r="P103" s="134">
        <f t="shared" si="47"/>
        <v>0</v>
      </c>
      <c r="Q103" s="138"/>
      <c r="R103" s="134">
        <f>ROUND(O103,0)</f>
        <v>135600</v>
      </c>
      <c r="S103" s="134">
        <f t="shared" si="33"/>
        <v>0</v>
      </c>
      <c r="T103" s="138"/>
      <c r="U103" s="134">
        <f>ROUND(R103,0)</f>
        <v>135600</v>
      </c>
      <c r="V103" s="134">
        <f t="shared" si="34"/>
        <v>0</v>
      </c>
      <c r="W103" s="138"/>
      <c r="X103" s="134">
        <f>ROUND(U103,0)</f>
        <v>135600</v>
      </c>
      <c r="Y103" s="134">
        <f t="shared" si="35"/>
        <v>0</v>
      </c>
      <c r="Z103" s="138"/>
    </row>
    <row r="104" spans="1:26" ht="45" customHeight="1" x14ac:dyDescent="0.25">
      <c r="B104" s="95" t="s">
        <v>666</v>
      </c>
      <c r="C104" s="201" t="s">
        <v>667</v>
      </c>
      <c r="D104" s="202" t="s">
        <v>668</v>
      </c>
      <c r="E104" s="135">
        <v>2500</v>
      </c>
      <c r="F104" s="135">
        <f>ROUND(E104,0)</f>
        <v>2500</v>
      </c>
      <c r="G104" s="134">
        <f t="shared" si="44"/>
        <v>0</v>
      </c>
      <c r="H104" s="136"/>
      <c r="I104" s="134">
        <f>ROUND(F104,0)</f>
        <v>2500</v>
      </c>
      <c r="J104" s="134">
        <f t="shared" si="45"/>
        <v>0</v>
      </c>
      <c r="K104" s="137"/>
      <c r="L104" s="134">
        <f>ROUND(I104,0)</f>
        <v>2500</v>
      </c>
      <c r="M104" s="134">
        <f t="shared" si="46"/>
        <v>0</v>
      </c>
      <c r="N104" s="137"/>
      <c r="O104" s="134">
        <f>ROUND(L104,0)</f>
        <v>2500</v>
      </c>
      <c r="P104" s="134">
        <f t="shared" si="47"/>
        <v>0</v>
      </c>
      <c r="Q104" s="137"/>
      <c r="R104" s="134">
        <f>ROUND(O104,0)</f>
        <v>2500</v>
      </c>
      <c r="S104" s="134">
        <f t="shared" si="33"/>
        <v>0</v>
      </c>
      <c r="T104" s="137"/>
      <c r="U104" s="134">
        <f>ROUND(R104,0)</f>
        <v>2500</v>
      </c>
      <c r="V104" s="134">
        <f t="shared" si="34"/>
        <v>0</v>
      </c>
      <c r="W104" s="137"/>
      <c r="X104" s="134">
        <f>ROUND(U104,0)+6300</f>
        <v>8800</v>
      </c>
      <c r="Y104" s="134">
        <f t="shared" si="35"/>
        <v>6300</v>
      </c>
      <c r="Z104" s="138" t="s">
        <v>669</v>
      </c>
    </row>
    <row r="105" spans="1:26" ht="28.9" customHeight="1" x14ac:dyDescent="0.25">
      <c r="B105" s="95" t="s">
        <v>670</v>
      </c>
      <c r="C105" s="201" t="s">
        <v>671</v>
      </c>
      <c r="D105" s="202" t="s">
        <v>672</v>
      </c>
      <c r="E105" s="135">
        <v>1574037</v>
      </c>
      <c r="F105" s="135">
        <f>ROUND(E105,0)-168382</f>
        <v>1405655</v>
      </c>
      <c r="G105" s="134">
        <f t="shared" si="44"/>
        <v>-168382</v>
      </c>
      <c r="H105" s="189" t="s">
        <v>673</v>
      </c>
      <c r="I105" s="134">
        <f>ROUND(F105,0)</f>
        <v>1405655</v>
      </c>
      <c r="J105" s="134">
        <f t="shared" si="45"/>
        <v>0</v>
      </c>
      <c r="K105" s="137"/>
      <c r="L105" s="134">
        <f>ROUND(I105,0)</f>
        <v>1405655</v>
      </c>
      <c r="M105" s="134">
        <f t="shared" si="46"/>
        <v>0</v>
      </c>
      <c r="N105" s="138"/>
      <c r="O105" s="134">
        <f>ROUND(L105,0)+680342</f>
        <v>2085997</v>
      </c>
      <c r="P105" s="134">
        <f t="shared" si="47"/>
        <v>680342</v>
      </c>
      <c r="Q105" s="138" t="s">
        <v>674</v>
      </c>
      <c r="R105" s="134">
        <f>ROUND(O105,0)</f>
        <v>2085997</v>
      </c>
      <c r="S105" s="134">
        <f t="shared" si="33"/>
        <v>0</v>
      </c>
      <c r="T105" s="138"/>
      <c r="U105" s="134">
        <f>ROUND(R105,0)</f>
        <v>2085997</v>
      </c>
      <c r="V105" s="134">
        <f t="shared" si="34"/>
        <v>0</v>
      </c>
      <c r="W105" s="138"/>
      <c r="X105" s="134">
        <f>ROUND(U105,0)</f>
        <v>2085997</v>
      </c>
      <c r="Y105" s="134">
        <f t="shared" si="35"/>
        <v>0</v>
      </c>
      <c r="Z105" s="138"/>
    </row>
    <row r="106" spans="1:26" ht="15" customHeight="1" thickBot="1" x14ac:dyDescent="0.3">
      <c r="A106" s="95" t="s">
        <v>383</v>
      </c>
      <c r="B106" s="151" t="s">
        <v>675</v>
      </c>
      <c r="C106" s="132" t="s">
        <v>676</v>
      </c>
      <c r="D106" s="133" t="s">
        <v>677</v>
      </c>
      <c r="E106" s="135">
        <v>112621</v>
      </c>
      <c r="F106" s="135">
        <f>ROUND(E106,0)-10621</f>
        <v>102000</v>
      </c>
      <c r="G106" s="134">
        <f t="shared" si="44"/>
        <v>-10621</v>
      </c>
      <c r="H106" s="138" t="s">
        <v>678</v>
      </c>
      <c r="I106" s="134">
        <f>ROUND(F106,0)</f>
        <v>102000</v>
      </c>
      <c r="J106" s="134">
        <f t="shared" si="45"/>
        <v>0</v>
      </c>
      <c r="K106" s="137"/>
      <c r="L106" s="134">
        <f>ROUND(I106,0)</f>
        <v>102000</v>
      </c>
      <c r="M106" s="134">
        <f t="shared" si="46"/>
        <v>0</v>
      </c>
      <c r="N106" s="137"/>
      <c r="O106" s="134">
        <f>ROUND(L106,0)+5000</f>
        <v>107000</v>
      </c>
      <c r="P106" s="134">
        <f t="shared" si="47"/>
        <v>5000</v>
      </c>
      <c r="Q106" s="138" t="s">
        <v>448</v>
      </c>
      <c r="R106" s="134">
        <f>ROUND(O106,0)</f>
        <v>107000</v>
      </c>
      <c r="S106" s="134">
        <f t="shared" si="33"/>
        <v>0</v>
      </c>
      <c r="T106" s="138"/>
      <c r="U106" s="134">
        <f>ROUND(R106,0)+20000</f>
        <v>127000</v>
      </c>
      <c r="V106" s="134">
        <f t="shared" si="34"/>
        <v>20000</v>
      </c>
      <c r="W106" s="138" t="s">
        <v>679</v>
      </c>
      <c r="X106" s="134">
        <f>ROUND(U106,0)</f>
        <v>127000</v>
      </c>
      <c r="Y106" s="134">
        <f t="shared" si="35"/>
        <v>0</v>
      </c>
      <c r="Z106" s="138"/>
    </row>
    <row r="107" spans="1:26" ht="15" customHeight="1" thickBot="1" x14ac:dyDescent="0.3">
      <c r="C107" s="206"/>
      <c r="D107" s="207" t="s">
        <v>680</v>
      </c>
      <c r="E107" s="209">
        <v>50914202.609999999</v>
      </c>
      <c r="F107" s="209">
        <f t="shared" ref="F107" si="50">F7+F10+F13+F16+F19+F22+F34+F37+F41+F42+F88+F91</f>
        <v>51193467</v>
      </c>
      <c r="G107" s="208">
        <f t="shared" si="44"/>
        <v>279264.3900000006</v>
      </c>
      <c r="H107" s="210"/>
      <c r="I107" s="208">
        <f>I7+I10+I13+I16+I19+I22+I34+I37+I41+I42+I88+I91</f>
        <v>51761438</v>
      </c>
      <c r="J107" s="208">
        <f t="shared" si="45"/>
        <v>567971</v>
      </c>
      <c r="K107" s="211"/>
      <c r="L107" s="208">
        <f>L7+L10+L13+L16+L19+L22+L34+L37+L41+L42+L88+L91</f>
        <v>51844623</v>
      </c>
      <c r="M107" s="208">
        <f t="shared" si="46"/>
        <v>83185</v>
      </c>
      <c r="N107" s="211"/>
      <c r="O107" s="208">
        <f>O7+O10+O13+O16+O19+O22+O34+O37+O41+O42+O88+O91</f>
        <v>52574335</v>
      </c>
      <c r="P107" s="208">
        <f t="shared" si="47"/>
        <v>729712</v>
      </c>
      <c r="Q107" s="211"/>
      <c r="R107" s="208">
        <f>R7+R10+R13+R16+R19+R22+R34+R37+R41+R42+R88+R91</f>
        <v>53088603</v>
      </c>
      <c r="S107" s="208">
        <f t="shared" si="33"/>
        <v>514268</v>
      </c>
      <c r="T107" s="211"/>
      <c r="U107" s="208">
        <f>U7+U10+U13+U16+U19+U22+U34+U37+U41+U42+U88+U91</f>
        <v>53301916</v>
      </c>
      <c r="V107" s="208">
        <f t="shared" si="34"/>
        <v>213313</v>
      </c>
      <c r="W107" s="211"/>
      <c r="X107" s="208">
        <f>X7+X10+X13+X16+X19+X22+X34+X37+X41+X42+X88+X91</f>
        <v>53404216</v>
      </c>
      <c r="Y107" s="208">
        <f t="shared" si="35"/>
        <v>102300</v>
      </c>
      <c r="Z107" s="211"/>
    </row>
    <row r="108" spans="1:26" ht="15.75" thickBot="1" x14ac:dyDescent="0.3">
      <c r="C108" s="212" t="s">
        <v>681</v>
      </c>
      <c r="D108" s="213" t="s">
        <v>682</v>
      </c>
      <c r="E108" s="215">
        <v>9016614.0299999993</v>
      </c>
      <c r="F108" s="215">
        <f>SUM(F109:F110)</f>
        <v>9755067</v>
      </c>
      <c r="G108" s="214">
        <f t="shared" si="44"/>
        <v>738452.97000000067</v>
      </c>
      <c r="H108" s="216"/>
      <c r="I108" s="214">
        <f>SUM(I109:I110)</f>
        <v>9755067</v>
      </c>
      <c r="J108" s="214">
        <f t="shared" si="45"/>
        <v>0</v>
      </c>
      <c r="K108" s="217"/>
      <c r="L108" s="214">
        <f>SUM(L109:L110)</f>
        <v>9755067</v>
      </c>
      <c r="M108" s="214">
        <f t="shared" si="46"/>
        <v>0</v>
      </c>
      <c r="N108" s="217"/>
      <c r="O108" s="214">
        <f>SUM(O109:O110)</f>
        <v>9755067</v>
      </c>
      <c r="P108" s="214">
        <f t="shared" si="47"/>
        <v>0</v>
      </c>
      <c r="Q108" s="217"/>
      <c r="R108" s="214">
        <f>SUM(R109:R110)</f>
        <v>9755067</v>
      </c>
      <c r="S108" s="214">
        <f t="shared" si="33"/>
        <v>0</v>
      </c>
      <c r="T108" s="217"/>
      <c r="U108" s="214">
        <f>SUM(U109:U110)</f>
        <v>9755067</v>
      </c>
      <c r="V108" s="214">
        <f t="shared" si="34"/>
        <v>0</v>
      </c>
      <c r="W108" s="217"/>
      <c r="X108" s="214">
        <f>SUM(X109:X110)</f>
        <v>9755067</v>
      </c>
      <c r="Y108" s="214">
        <f t="shared" si="35"/>
        <v>0</v>
      </c>
      <c r="Z108" s="217"/>
    </row>
    <row r="109" spans="1:26" ht="14.45" customHeight="1" x14ac:dyDescent="0.25">
      <c r="C109" s="132" t="s">
        <v>683</v>
      </c>
      <c r="D109" s="133" t="s">
        <v>684</v>
      </c>
      <c r="E109" s="135">
        <v>2707710.83</v>
      </c>
      <c r="F109" s="135">
        <f>ROUND(E109,0)+104970+230-1+750-1034+19357+1832+41+1093+13000+168382+10621+3808+904+17685+76439+38150+31285</f>
        <v>3195223</v>
      </c>
      <c r="G109" s="134">
        <f t="shared" si="44"/>
        <v>487512.16999999993</v>
      </c>
      <c r="H109" s="161" t="s">
        <v>685</v>
      </c>
      <c r="I109" s="134">
        <f>ROUND(F109,0)</f>
        <v>3195223</v>
      </c>
      <c r="J109" s="134">
        <f t="shared" si="45"/>
        <v>0</v>
      </c>
      <c r="K109" s="138"/>
      <c r="L109" s="134">
        <f>ROUND(I109,0)</f>
        <v>3195223</v>
      </c>
      <c r="M109" s="134">
        <f t="shared" si="46"/>
        <v>0</v>
      </c>
      <c r="N109" s="138"/>
      <c r="O109" s="134">
        <f>ROUND(L109,0)</f>
        <v>3195223</v>
      </c>
      <c r="P109" s="134">
        <f t="shared" si="47"/>
        <v>0</v>
      </c>
      <c r="Q109" s="138"/>
      <c r="R109" s="134">
        <f>ROUND(O109,0)</f>
        <v>3195223</v>
      </c>
      <c r="S109" s="134">
        <f t="shared" si="33"/>
        <v>0</v>
      </c>
      <c r="T109" s="138"/>
      <c r="U109" s="134">
        <f>ROUND(R109,0)</f>
        <v>3195223</v>
      </c>
      <c r="V109" s="134">
        <f t="shared" si="34"/>
        <v>0</v>
      </c>
      <c r="W109" s="138"/>
      <c r="X109" s="134">
        <f>ROUND(U109,0)</f>
        <v>3195223</v>
      </c>
      <c r="Y109" s="134">
        <f t="shared" si="35"/>
        <v>0</v>
      </c>
      <c r="Z109" s="138"/>
    </row>
    <row r="110" spans="1:26" x14ac:dyDescent="0.25">
      <c r="C110" s="132" t="s">
        <v>686</v>
      </c>
      <c r="D110" s="133" t="s">
        <v>687</v>
      </c>
      <c r="E110" s="135">
        <v>6308903</v>
      </c>
      <c r="F110" s="135">
        <f>ROUND(E110,0)+3445956+208-F109</f>
        <v>6559844</v>
      </c>
      <c r="G110" s="134">
        <f t="shared" si="44"/>
        <v>250941</v>
      </c>
      <c r="H110" s="136"/>
      <c r="I110" s="134">
        <f>ROUND(F110,0)</f>
        <v>6559844</v>
      </c>
      <c r="J110" s="134">
        <f t="shared" si="45"/>
        <v>0</v>
      </c>
      <c r="K110" s="137"/>
      <c r="L110" s="134">
        <f>ROUND(I110,0)</f>
        <v>6559844</v>
      </c>
      <c r="M110" s="134">
        <f t="shared" si="46"/>
        <v>0</v>
      </c>
      <c r="N110" s="137"/>
      <c r="O110" s="134">
        <f>ROUND(L110,0)</f>
        <v>6559844</v>
      </c>
      <c r="P110" s="134">
        <f t="shared" si="47"/>
        <v>0</v>
      </c>
      <c r="Q110" s="137"/>
      <c r="R110" s="134">
        <f>ROUND(O110,0)</f>
        <v>6559844</v>
      </c>
      <c r="S110" s="134">
        <f t="shared" si="33"/>
        <v>0</v>
      </c>
      <c r="T110" s="137"/>
      <c r="U110" s="134">
        <f>ROUND(R110,0)</f>
        <v>6559844</v>
      </c>
      <c r="V110" s="134">
        <f t="shared" si="34"/>
        <v>0</v>
      </c>
      <c r="W110" s="137"/>
      <c r="X110" s="134">
        <f>ROUND(U110,0)</f>
        <v>6559844</v>
      </c>
      <c r="Y110" s="134">
        <f t="shared" si="35"/>
        <v>0</v>
      </c>
      <c r="Z110" s="137"/>
    </row>
    <row r="111" spans="1:26" x14ac:dyDescent="0.25">
      <c r="C111" s="163" t="s">
        <v>688</v>
      </c>
      <c r="D111" s="218" t="s">
        <v>689</v>
      </c>
      <c r="E111" s="220">
        <v>1873161</v>
      </c>
      <c r="F111" s="220">
        <f>SUM(F112:F123)</f>
        <v>1917782</v>
      </c>
      <c r="G111" s="141">
        <f t="shared" si="44"/>
        <v>44621</v>
      </c>
      <c r="H111" s="143"/>
      <c r="I111" s="219">
        <f>SUM(I112:I123)</f>
        <v>1941929</v>
      </c>
      <c r="J111" s="141">
        <f t="shared" si="45"/>
        <v>24147</v>
      </c>
      <c r="K111" s="144"/>
      <c r="L111" s="219">
        <f>SUM(L112:L123)</f>
        <v>1941929</v>
      </c>
      <c r="M111" s="141">
        <f t="shared" si="46"/>
        <v>0</v>
      </c>
      <c r="N111" s="144"/>
      <c r="O111" s="219">
        <f>SUM(O112:O123)</f>
        <v>1941929</v>
      </c>
      <c r="P111" s="141">
        <f t="shared" si="47"/>
        <v>0</v>
      </c>
      <c r="Q111" s="144"/>
      <c r="R111" s="219">
        <f>SUM(R112:R123)</f>
        <v>1913234</v>
      </c>
      <c r="S111" s="141">
        <f t="shared" si="33"/>
        <v>-28695</v>
      </c>
      <c r="T111" s="144"/>
      <c r="U111" s="219">
        <f>SUM(U112:U123)</f>
        <v>1913234</v>
      </c>
      <c r="V111" s="141">
        <f t="shared" si="34"/>
        <v>0</v>
      </c>
      <c r="W111" s="144"/>
      <c r="X111" s="219">
        <f>SUM(X112:X123)</f>
        <v>1913234</v>
      </c>
      <c r="Y111" s="141">
        <f t="shared" si="35"/>
        <v>0</v>
      </c>
      <c r="Z111" s="144"/>
    </row>
    <row r="112" spans="1:26" ht="45" hidden="1" outlineLevel="1" x14ac:dyDescent="0.25">
      <c r="A112" s="183"/>
      <c r="B112" s="183"/>
      <c r="C112" s="201" t="s">
        <v>690</v>
      </c>
      <c r="D112" s="221" t="s">
        <v>610</v>
      </c>
      <c r="E112" s="135">
        <v>0</v>
      </c>
      <c r="F112" s="135">
        <f t="shared" ref="F112:F123" si="51">ROUND(E112,0)</f>
        <v>0</v>
      </c>
      <c r="G112" s="223">
        <f t="shared" si="44"/>
        <v>0</v>
      </c>
      <c r="H112" s="152"/>
      <c r="I112" s="134">
        <f t="shared" ref="I112:I123" si="52">ROUND(F112,0)</f>
        <v>0</v>
      </c>
      <c r="J112" s="223">
        <f t="shared" si="45"/>
        <v>0</v>
      </c>
      <c r="K112" s="153"/>
      <c r="L112" s="134">
        <f t="shared" ref="L112:L123" si="53">ROUND(I112,0)</f>
        <v>0</v>
      </c>
      <c r="M112" s="223">
        <f t="shared" si="46"/>
        <v>0</v>
      </c>
      <c r="N112" s="153"/>
      <c r="O112" s="134">
        <f t="shared" ref="O112:O121" si="54">ROUND(L112,0)</f>
        <v>0</v>
      </c>
      <c r="P112" s="223">
        <f t="shared" si="47"/>
        <v>0</v>
      </c>
      <c r="Q112" s="153"/>
      <c r="R112" s="134">
        <f t="shared" ref="R112:R121" si="55">ROUND(O112,0)</f>
        <v>0</v>
      </c>
      <c r="S112" s="223">
        <f t="shared" si="33"/>
        <v>0</v>
      </c>
      <c r="T112" s="153"/>
      <c r="U112" s="134">
        <f>ROUND(R112,0)</f>
        <v>0</v>
      </c>
      <c r="V112" s="223">
        <f t="shared" si="34"/>
        <v>0</v>
      </c>
      <c r="W112" s="153"/>
      <c r="X112" s="134">
        <f>ROUND(U112,0)</f>
        <v>0</v>
      </c>
      <c r="Y112" s="223">
        <f t="shared" si="35"/>
        <v>0</v>
      </c>
      <c r="Z112" s="153"/>
    </row>
    <row r="113" spans="1:26" hidden="1" outlineLevel="1" x14ac:dyDescent="0.25">
      <c r="A113" s="183"/>
      <c r="B113" s="183"/>
      <c r="C113" s="201" t="s">
        <v>691</v>
      </c>
      <c r="D113" s="221" t="s">
        <v>335</v>
      </c>
      <c r="E113" s="135">
        <v>0</v>
      </c>
      <c r="F113" s="135">
        <f t="shared" si="51"/>
        <v>0</v>
      </c>
      <c r="G113" s="223">
        <f t="shared" si="44"/>
        <v>0</v>
      </c>
      <c r="H113" s="152"/>
      <c r="I113" s="134">
        <f t="shared" si="52"/>
        <v>0</v>
      </c>
      <c r="J113" s="223">
        <f t="shared" si="45"/>
        <v>0</v>
      </c>
      <c r="K113" s="153"/>
      <c r="L113" s="134">
        <f t="shared" si="53"/>
        <v>0</v>
      </c>
      <c r="M113" s="223">
        <f t="shared" si="46"/>
        <v>0</v>
      </c>
      <c r="N113" s="153"/>
      <c r="O113" s="134">
        <f t="shared" si="54"/>
        <v>0</v>
      </c>
      <c r="P113" s="223">
        <f t="shared" si="47"/>
        <v>0</v>
      </c>
      <c r="Q113" s="153"/>
      <c r="R113" s="134">
        <f t="shared" si="55"/>
        <v>0</v>
      </c>
      <c r="S113" s="223">
        <f t="shared" si="33"/>
        <v>0</v>
      </c>
      <c r="T113" s="153"/>
      <c r="U113" s="134">
        <f>ROUND(R113,0)</f>
        <v>0</v>
      </c>
      <c r="V113" s="223">
        <f t="shared" si="34"/>
        <v>0</v>
      </c>
      <c r="W113" s="153"/>
      <c r="X113" s="134">
        <f>ROUND(U113,0)</f>
        <v>0</v>
      </c>
      <c r="Y113" s="223">
        <f t="shared" si="35"/>
        <v>0</v>
      </c>
      <c r="Z113" s="153"/>
    </row>
    <row r="114" spans="1:26" ht="30.6" customHeight="1" collapsed="1" x14ac:dyDescent="0.25">
      <c r="A114" s="183" t="s">
        <v>692</v>
      </c>
      <c r="B114" s="183"/>
      <c r="C114" s="201" t="s">
        <v>690</v>
      </c>
      <c r="D114" s="221" t="s">
        <v>693</v>
      </c>
      <c r="E114" s="135">
        <v>541742</v>
      </c>
      <c r="F114" s="135">
        <f t="shared" si="51"/>
        <v>541742</v>
      </c>
      <c r="G114" s="223">
        <f t="shared" si="44"/>
        <v>0</v>
      </c>
      <c r="H114" s="152"/>
      <c r="I114" s="134">
        <f t="shared" si="52"/>
        <v>541742</v>
      </c>
      <c r="J114" s="223">
        <f t="shared" si="45"/>
        <v>0</v>
      </c>
      <c r="K114" s="153"/>
      <c r="L114" s="134">
        <f t="shared" si="53"/>
        <v>541742</v>
      </c>
      <c r="M114" s="223">
        <f t="shared" si="46"/>
        <v>0</v>
      </c>
      <c r="N114" s="153"/>
      <c r="O114" s="134">
        <f t="shared" si="54"/>
        <v>541742</v>
      </c>
      <c r="P114" s="223">
        <f t="shared" si="47"/>
        <v>0</v>
      </c>
      <c r="Q114" s="153"/>
      <c r="R114" s="134">
        <f>ROUND(O114,0)-28695</f>
        <v>513047</v>
      </c>
      <c r="S114" s="223">
        <f t="shared" si="33"/>
        <v>-28695</v>
      </c>
      <c r="T114" s="153" t="s">
        <v>694</v>
      </c>
      <c r="U114" s="134">
        <f>ROUND(R114,0)</f>
        <v>513047</v>
      </c>
      <c r="V114" s="223">
        <f t="shared" si="34"/>
        <v>0</v>
      </c>
      <c r="W114" s="153"/>
      <c r="X114" s="134">
        <f>ROUND(U114,0)</f>
        <v>513047</v>
      </c>
      <c r="Y114" s="223">
        <f t="shared" si="35"/>
        <v>0</v>
      </c>
      <c r="Z114" s="153"/>
    </row>
    <row r="115" spans="1:26" ht="30" x14ac:dyDescent="0.25">
      <c r="A115" s="183" t="s">
        <v>565</v>
      </c>
      <c r="B115" s="183" t="s">
        <v>695</v>
      </c>
      <c r="C115" s="201" t="s">
        <v>691</v>
      </c>
      <c r="D115" s="225" t="s">
        <v>696</v>
      </c>
      <c r="E115" s="135">
        <v>353405</v>
      </c>
      <c r="F115" s="135">
        <f>ROUND(E115,0)-3420</f>
        <v>349985</v>
      </c>
      <c r="G115" s="223">
        <f t="shared" si="44"/>
        <v>-3420</v>
      </c>
      <c r="H115" s="153" t="s">
        <v>697</v>
      </c>
      <c r="I115" s="134">
        <f t="shared" si="52"/>
        <v>349985</v>
      </c>
      <c r="J115" s="223">
        <f t="shared" si="45"/>
        <v>0</v>
      </c>
      <c r="K115" s="150"/>
      <c r="L115" s="134">
        <f t="shared" si="53"/>
        <v>349985</v>
      </c>
      <c r="M115" s="223">
        <f t="shared" si="46"/>
        <v>0</v>
      </c>
      <c r="N115" s="150"/>
      <c r="O115" s="134">
        <f t="shared" si="54"/>
        <v>349985</v>
      </c>
      <c r="P115" s="223">
        <f t="shared" si="47"/>
        <v>0</v>
      </c>
      <c r="Q115" s="150"/>
      <c r="R115" s="134">
        <f t="shared" si="55"/>
        <v>349985</v>
      </c>
      <c r="S115" s="223">
        <f t="shared" si="33"/>
        <v>0</v>
      </c>
      <c r="T115" s="150"/>
      <c r="U115" s="134">
        <f t="shared" ref="U115:U121" si="56">ROUND(R115,0)</f>
        <v>349985</v>
      </c>
      <c r="V115" s="223">
        <f t="shared" si="34"/>
        <v>0</v>
      </c>
      <c r="W115" s="150"/>
      <c r="X115" s="134">
        <f t="shared" ref="X115:X121" si="57">ROUND(U115,0)</f>
        <v>349985</v>
      </c>
      <c r="Y115" s="223">
        <f t="shared" si="35"/>
        <v>0</v>
      </c>
      <c r="Z115" s="150"/>
    </row>
    <row r="116" spans="1:26" ht="16.899999999999999" hidden="1" customHeight="1" outlineLevel="1" x14ac:dyDescent="0.25">
      <c r="A116" s="183"/>
      <c r="B116" s="183"/>
      <c r="C116" s="201" t="s">
        <v>698</v>
      </c>
      <c r="D116" s="225"/>
      <c r="E116" s="135">
        <v>0</v>
      </c>
      <c r="F116" s="135">
        <f t="shared" si="51"/>
        <v>0</v>
      </c>
      <c r="G116" s="223">
        <f t="shared" si="44"/>
        <v>0</v>
      </c>
      <c r="H116" s="149"/>
      <c r="I116" s="134">
        <f t="shared" si="52"/>
        <v>0</v>
      </c>
      <c r="J116" s="223">
        <f t="shared" si="45"/>
        <v>0</v>
      </c>
      <c r="K116" s="150"/>
      <c r="L116" s="134">
        <f t="shared" si="53"/>
        <v>0</v>
      </c>
      <c r="M116" s="223">
        <f t="shared" si="46"/>
        <v>0</v>
      </c>
      <c r="N116" s="150"/>
      <c r="O116" s="134">
        <f t="shared" si="54"/>
        <v>0</v>
      </c>
      <c r="P116" s="223">
        <f t="shared" si="47"/>
        <v>0</v>
      </c>
      <c r="Q116" s="150"/>
      <c r="R116" s="134">
        <f t="shared" si="55"/>
        <v>0</v>
      </c>
      <c r="S116" s="223">
        <f t="shared" si="33"/>
        <v>0</v>
      </c>
      <c r="T116" s="150"/>
      <c r="U116" s="134">
        <f t="shared" si="56"/>
        <v>0</v>
      </c>
      <c r="V116" s="223">
        <f t="shared" si="34"/>
        <v>0</v>
      </c>
      <c r="W116" s="150"/>
      <c r="X116" s="134">
        <f t="shared" si="57"/>
        <v>0</v>
      </c>
      <c r="Y116" s="223">
        <f t="shared" si="35"/>
        <v>0</v>
      </c>
      <c r="Z116" s="150"/>
    </row>
    <row r="117" spans="1:26" hidden="1" outlineLevel="1" x14ac:dyDescent="0.25">
      <c r="B117" s="183"/>
      <c r="C117" s="201" t="s">
        <v>699</v>
      </c>
      <c r="D117" s="225" t="s">
        <v>308</v>
      </c>
      <c r="E117" s="224">
        <v>0</v>
      </c>
      <c r="F117" s="224">
        <f t="shared" si="51"/>
        <v>0</v>
      </c>
      <c r="G117" s="226">
        <f t="shared" si="44"/>
        <v>0</v>
      </c>
      <c r="H117" s="227"/>
      <c r="I117" s="222">
        <f>ROUND(F117,0)</f>
        <v>0</v>
      </c>
      <c r="J117" s="226">
        <f t="shared" si="45"/>
        <v>0</v>
      </c>
      <c r="K117" s="153"/>
      <c r="L117" s="222">
        <f t="shared" si="53"/>
        <v>0</v>
      </c>
      <c r="M117" s="226">
        <f t="shared" si="46"/>
        <v>0</v>
      </c>
      <c r="N117" s="153"/>
      <c r="O117" s="222">
        <f t="shared" si="54"/>
        <v>0</v>
      </c>
      <c r="P117" s="226">
        <f t="shared" si="47"/>
        <v>0</v>
      </c>
      <c r="Q117" s="153"/>
      <c r="R117" s="222">
        <f t="shared" si="55"/>
        <v>0</v>
      </c>
      <c r="S117" s="226">
        <f t="shared" si="33"/>
        <v>0</v>
      </c>
      <c r="T117" s="153"/>
      <c r="U117" s="222">
        <f t="shared" si="56"/>
        <v>0</v>
      </c>
      <c r="V117" s="226">
        <f t="shared" si="34"/>
        <v>0</v>
      </c>
      <c r="W117" s="153"/>
      <c r="X117" s="222">
        <f t="shared" si="57"/>
        <v>0</v>
      </c>
      <c r="Y117" s="226">
        <f t="shared" si="35"/>
        <v>0</v>
      </c>
      <c r="Z117" s="153"/>
    </row>
    <row r="118" spans="1:26" ht="42" customHeight="1" collapsed="1" x14ac:dyDescent="0.25">
      <c r="A118" s="183" t="s">
        <v>700</v>
      </c>
      <c r="B118" s="183"/>
      <c r="C118" s="201" t="s">
        <v>701</v>
      </c>
      <c r="D118" s="228" t="s">
        <v>702</v>
      </c>
      <c r="E118" s="229">
        <v>30982</v>
      </c>
      <c r="F118" s="224">
        <f>ROUND(E118,0)+48041</f>
        <v>79023</v>
      </c>
      <c r="G118" s="226">
        <f t="shared" si="44"/>
        <v>48041</v>
      </c>
      <c r="H118" s="230" t="s">
        <v>703</v>
      </c>
      <c r="I118" s="222">
        <f t="shared" si="52"/>
        <v>79023</v>
      </c>
      <c r="J118" s="226">
        <f t="shared" si="45"/>
        <v>0</v>
      </c>
      <c r="K118" s="153"/>
      <c r="L118" s="222">
        <f t="shared" si="53"/>
        <v>79023</v>
      </c>
      <c r="M118" s="226">
        <f t="shared" si="46"/>
        <v>0</v>
      </c>
      <c r="N118" s="150"/>
      <c r="O118" s="222">
        <f t="shared" si="54"/>
        <v>79023</v>
      </c>
      <c r="P118" s="226">
        <f t="shared" si="47"/>
        <v>0</v>
      </c>
      <c r="Q118" s="150"/>
      <c r="R118" s="222">
        <f t="shared" si="55"/>
        <v>79023</v>
      </c>
      <c r="S118" s="226">
        <f t="shared" si="33"/>
        <v>0</v>
      </c>
      <c r="T118" s="150"/>
      <c r="U118" s="222">
        <f t="shared" si="56"/>
        <v>79023</v>
      </c>
      <c r="V118" s="226">
        <f t="shared" si="34"/>
        <v>0</v>
      </c>
      <c r="W118" s="150"/>
      <c r="X118" s="222">
        <f t="shared" si="57"/>
        <v>79023</v>
      </c>
      <c r="Y118" s="226">
        <f t="shared" si="35"/>
        <v>0</v>
      </c>
      <c r="Z118" s="150"/>
    </row>
    <row r="119" spans="1:26" ht="57.6" customHeight="1" x14ac:dyDescent="0.25">
      <c r="A119" s="183" t="s">
        <v>700</v>
      </c>
      <c r="B119" s="183"/>
      <c r="C119" s="201" t="s">
        <v>704</v>
      </c>
      <c r="D119" s="231" t="s">
        <v>705</v>
      </c>
      <c r="E119" s="233">
        <v>783000</v>
      </c>
      <c r="F119" s="234">
        <f t="shared" si="51"/>
        <v>783000</v>
      </c>
      <c r="G119" s="226">
        <f t="shared" si="44"/>
        <v>0</v>
      </c>
      <c r="H119" s="149"/>
      <c r="I119" s="222">
        <f t="shared" si="52"/>
        <v>783000</v>
      </c>
      <c r="J119" s="226">
        <f t="shared" si="45"/>
        <v>0</v>
      </c>
      <c r="K119" s="153"/>
      <c r="L119" s="222">
        <f t="shared" si="53"/>
        <v>783000</v>
      </c>
      <c r="M119" s="226">
        <f t="shared" si="46"/>
        <v>0</v>
      </c>
      <c r="N119" s="150"/>
      <c r="O119" s="222">
        <f t="shared" si="54"/>
        <v>783000</v>
      </c>
      <c r="P119" s="226">
        <f t="shared" si="47"/>
        <v>0</v>
      </c>
      <c r="Q119" s="150"/>
      <c r="R119" s="222">
        <f t="shared" si="55"/>
        <v>783000</v>
      </c>
      <c r="S119" s="226">
        <f t="shared" si="33"/>
        <v>0</v>
      </c>
      <c r="T119" s="150"/>
      <c r="U119" s="222">
        <f t="shared" si="56"/>
        <v>783000</v>
      </c>
      <c r="V119" s="226">
        <f t="shared" si="34"/>
        <v>0</v>
      </c>
      <c r="W119" s="150"/>
      <c r="X119" s="222">
        <f t="shared" si="57"/>
        <v>783000</v>
      </c>
      <c r="Y119" s="226">
        <f t="shared" si="35"/>
        <v>0</v>
      </c>
      <c r="Z119" s="150"/>
    </row>
    <row r="120" spans="1:26" ht="16.149999999999999" customHeight="1" x14ac:dyDescent="0.25">
      <c r="B120" s="183" t="s">
        <v>614</v>
      </c>
      <c r="C120" s="201" t="s">
        <v>698</v>
      </c>
      <c r="D120" s="231" t="s">
        <v>336</v>
      </c>
      <c r="E120" s="233">
        <v>164032</v>
      </c>
      <c r="F120" s="234">
        <f t="shared" si="51"/>
        <v>164032</v>
      </c>
      <c r="G120" s="134">
        <f t="shared" si="44"/>
        <v>0</v>
      </c>
      <c r="H120" s="235"/>
      <c r="I120" s="222">
        <f>ROUND(F120,0)+24147</f>
        <v>188179</v>
      </c>
      <c r="J120" s="236">
        <f t="shared" si="45"/>
        <v>24147</v>
      </c>
      <c r="K120" s="153" t="s">
        <v>616</v>
      </c>
      <c r="L120" s="237">
        <f t="shared" si="53"/>
        <v>188179</v>
      </c>
      <c r="M120" s="236">
        <f t="shared" si="46"/>
        <v>0</v>
      </c>
      <c r="N120" s="196"/>
      <c r="O120" s="236">
        <f t="shared" si="54"/>
        <v>188179</v>
      </c>
      <c r="P120" s="236">
        <f t="shared" si="47"/>
        <v>0</v>
      </c>
      <c r="Q120" s="150"/>
      <c r="R120" s="222">
        <f t="shared" si="55"/>
        <v>188179</v>
      </c>
      <c r="S120" s="236">
        <f t="shared" si="33"/>
        <v>0</v>
      </c>
      <c r="T120" s="150"/>
      <c r="U120" s="222">
        <f t="shared" si="56"/>
        <v>188179</v>
      </c>
      <c r="V120" s="236">
        <f t="shared" si="34"/>
        <v>0</v>
      </c>
      <c r="W120" s="150"/>
      <c r="X120" s="222">
        <f t="shared" si="57"/>
        <v>188179</v>
      </c>
      <c r="Y120" s="236">
        <f t="shared" si="35"/>
        <v>0</v>
      </c>
      <c r="Z120" s="150"/>
    </row>
    <row r="121" spans="1:26" ht="18.600000000000001" hidden="1" customHeight="1" outlineLevel="1" x14ac:dyDescent="0.25">
      <c r="B121" s="183"/>
      <c r="C121" s="201" t="s">
        <v>706</v>
      </c>
      <c r="D121" s="231" t="s">
        <v>707</v>
      </c>
      <c r="E121" s="232">
        <v>0</v>
      </c>
      <c r="F121" s="238">
        <f t="shared" si="51"/>
        <v>0</v>
      </c>
      <c r="G121" s="239">
        <f t="shared" si="44"/>
        <v>0</v>
      </c>
      <c r="H121" s="227"/>
      <c r="I121" s="222">
        <f t="shared" si="52"/>
        <v>0</v>
      </c>
      <c r="J121" s="226">
        <f t="shared" si="45"/>
        <v>0</v>
      </c>
      <c r="K121" s="153"/>
      <c r="L121" s="222">
        <f t="shared" si="53"/>
        <v>0</v>
      </c>
      <c r="M121" s="226">
        <f t="shared" si="46"/>
        <v>0</v>
      </c>
      <c r="N121" s="240"/>
      <c r="O121" s="222">
        <f t="shared" si="54"/>
        <v>0</v>
      </c>
      <c r="P121" s="226">
        <f t="shared" si="47"/>
        <v>0</v>
      </c>
      <c r="Q121" s="150"/>
      <c r="R121" s="222">
        <f t="shared" si="55"/>
        <v>0</v>
      </c>
      <c r="S121" s="226">
        <f t="shared" si="33"/>
        <v>0</v>
      </c>
      <c r="T121" s="150"/>
      <c r="U121" s="222">
        <f t="shared" si="56"/>
        <v>0</v>
      </c>
      <c r="V121" s="226">
        <f t="shared" si="34"/>
        <v>0</v>
      </c>
      <c r="W121" s="150"/>
      <c r="X121" s="222">
        <f t="shared" si="57"/>
        <v>0</v>
      </c>
      <c r="Y121" s="226">
        <f t="shared" si="35"/>
        <v>0</v>
      </c>
      <c r="Z121" s="150"/>
    </row>
    <row r="122" spans="1:26" ht="27.6" hidden="1" customHeight="1" outlineLevel="1" thickBot="1" x14ac:dyDescent="0.3">
      <c r="B122" s="183"/>
      <c r="C122" s="241" t="s">
        <v>708</v>
      </c>
      <c r="D122" s="242" t="s">
        <v>709</v>
      </c>
      <c r="E122" s="232">
        <v>0</v>
      </c>
      <c r="F122" s="224">
        <f t="shared" si="51"/>
        <v>0</v>
      </c>
      <c r="G122" s="226">
        <f t="shared" si="44"/>
        <v>0</v>
      </c>
      <c r="H122" s="227"/>
      <c r="I122" s="222">
        <f t="shared" si="52"/>
        <v>0</v>
      </c>
      <c r="J122" s="226">
        <f t="shared" si="45"/>
        <v>0</v>
      </c>
      <c r="K122" s="153"/>
      <c r="L122" s="222"/>
      <c r="M122" s="226"/>
      <c r="N122" s="243"/>
      <c r="O122" s="222">
        <f>ROUND(L122,0)</f>
        <v>0</v>
      </c>
      <c r="P122" s="226">
        <f t="shared" si="47"/>
        <v>0</v>
      </c>
      <c r="Q122" s="150"/>
      <c r="R122" s="222">
        <f>ROUND(O122,0)</f>
        <v>0</v>
      </c>
      <c r="S122" s="226">
        <f t="shared" si="33"/>
        <v>0</v>
      </c>
      <c r="T122" s="150"/>
      <c r="U122" s="222">
        <f>ROUND(R122,0)</f>
        <v>0</v>
      </c>
      <c r="V122" s="226">
        <f t="shared" si="34"/>
        <v>0</v>
      </c>
      <c r="W122" s="150"/>
      <c r="X122" s="222">
        <f>ROUND(U122,0)</f>
        <v>0</v>
      </c>
      <c r="Y122" s="226">
        <f t="shared" si="35"/>
        <v>0</v>
      </c>
      <c r="Z122" s="150"/>
    </row>
    <row r="123" spans="1:26" ht="28.9" hidden="1" customHeight="1" outlineLevel="1" thickBot="1" x14ac:dyDescent="0.3">
      <c r="B123" s="183"/>
      <c r="C123" s="201" t="s">
        <v>710</v>
      </c>
      <c r="D123" s="244" t="s">
        <v>711</v>
      </c>
      <c r="E123" s="224">
        <v>0</v>
      </c>
      <c r="F123" s="224">
        <f t="shared" si="51"/>
        <v>0</v>
      </c>
      <c r="G123" s="226">
        <f t="shared" si="44"/>
        <v>0</v>
      </c>
      <c r="H123" s="227"/>
      <c r="I123" s="222">
        <f t="shared" si="52"/>
        <v>0</v>
      </c>
      <c r="J123" s="226">
        <f t="shared" si="45"/>
        <v>0</v>
      </c>
      <c r="K123" s="153"/>
      <c r="L123" s="222">
        <f t="shared" si="53"/>
        <v>0</v>
      </c>
      <c r="M123" s="226">
        <f t="shared" si="46"/>
        <v>0</v>
      </c>
      <c r="N123" s="137"/>
      <c r="O123" s="222">
        <f>ROUND(L123,0)</f>
        <v>0</v>
      </c>
      <c r="P123" s="226">
        <f t="shared" si="47"/>
        <v>0</v>
      </c>
      <c r="Q123" s="150"/>
      <c r="R123" s="222">
        <f>ROUND(O123,0)</f>
        <v>0</v>
      </c>
      <c r="S123" s="226">
        <f t="shared" si="33"/>
        <v>0</v>
      </c>
      <c r="T123" s="150"/>
      <c r="U123" s="222">
        <f>ROUND(R123,0)</f>
        <v>0</v>
      </c>
      <c r="V123" s="226">
        <f t="shared" si="34"/>
        <v>0</v>
      </c>
      <c r="W123" s="150"/>
      <c r="X123" s="222">
        <f>ROUND(U123,0)</f>
        <v>0</v>
      </c>
      <c r="Y123" s="226">
        <f t="shared" si="35"/>
        <v>0</v>
      </c>
      <c r="Z123" s="150"/>
    </row>
    <row r="124" spans="1:26" ht="15.75" collapsed="1" thickBot="1" x14ac:dyDescent="0.3">
      <c r="C124" s="245"/>
      <c r="D124" s="246" t="s">
        <v>712</v>
      </c>
      <c r="E124" s="215">
        <v>61803977.640000001</v>
      </c>
      <c r="F124" s="215">
        <f t="shared" ref="F124" si="58">F107+F108+F111</f>
        <v>62866316</v>
      </c>
      <c r="G124" s="214">
        <f t="shared" si="44"/>
        <v>1062338.3599999994</v>
      </c>
      <c r="H124" s="247"/>
      <c r="I124" s="214">
        <f>I107+I108+I111</f>
        <v>63458434</v>
      </c>
      <c r="J124" s="214">
        <f t="shared" si="45"/>
        <v>592118</v>
      </c>
      <c r="K124" s="248"/>
      <c r="L124" s="214">
        <f>L107+L108+L111</f>
        <v>63541619</v>
      </c>
      <c r="M124" s="214">
        <f t="shared" si="46"/>
        <v>83185</v>
      </c>
      <c r="N124" s="248"/>
      <c r="O124" s="214">
        <f>O107+O108+O111</f>
        <v>64271331</v>
      </c>
      <c r="P124" s="214">
        <f t="shared" si="47"/>
        <v>729712</v>
      </c>
      <c r="Q124" s="248"/>
      <c r="R124" s="214">
        <f>R107+R108+R111</f>
        <v>64756904</v>
      </c>
      <c r="S124" s="214">
        <f t="shared" si="33"/>
        <v>485573</v>
      </c>
      <c r="T124" s="248"/>
      <c r="U124" s="214">
        <f>U107+U108+U111</f>
        <v>64970217</v>
      </c>
      <c r="V124" s="214">
        <f t="shared" si="34"/>
        <v>213313</v>
      </c>
      <c r="W124" s="248"/>
      <c r="X124" s="214">
        <f>X107+X108+X111</f>
        <v>65072517</v>
      </c>
      <c r="Y124" s="214">
        <f t="shared" si="35"/>
        <v>102300</v>
      </c>
      <c r="Z124" s="248"/>
    </row>
    <row r="126" spans="1:26" x14ac:dyDescent="0.25">
      <c r="G126" s="102"/>
      <c r="I126" s="102"/>
      <c r="J126" s="102"/>
      <c r="L126" s="102"/>
      <c r="M126" s="102"/>
      <c r="O126" s="102"/>
      <c r="P126" s="102"/>
      <c r="R126" s="102"/>
      <c r="S126" s="102"/>
      <c r="U126" s="102"/>
      <c r="V126" s="102"/>
      <c r="X126" s="102"/>
      <c r="Y126" s="102"/>
    </row>
    <row r="127" spans="1:26" ht="20.25" x14ac:dyDescent="0.3">
      <c r="C127" s="106" t="s">
        <v>713</v>
      </c>
      <c r="D127" s="106"/>
      <c r="G127" s="102"/>
      <c r="I127" s="102"/>
      <c r="J127" s="102"/>
      <c r="L127" s="102"/>
      <c r="M127" s="102"/>
      <c r="O127" s="102"/>
      <c r="P127" s="102"/>
      <c r="R127" s="102"/>
      <c r="S127" s="102"/>
      <c r="U127" s="102"/>
      <c r="V127" s="102"/>
      <c r="X127" s="102"/>
      <c r="Y127" s="102"/>
    </row>
    <row r="128" spans="1:26" ht="15.75" thickBot="1" x14ac:dyDescent="0.3">
      <c r="C128" s="250"/>
      <c r="D128" s="250"/>
      <c r="G128" s="251"/>
      <c r="I128" s="251"/>
      <c r="J128" s="251"/>
      <c r="L128" s="251"/>
      <c r="M128" s="251"/>
      <c r="O128" s="251"/>
      <c r="P128" s="251"/>
      <c r="R128" s="251"/>
      <c r="S128" s="251"/>
      <c r="U128" s="251"/>
      <c r="V128" s="251"/>
      <c r="X128" s="251"/>
      <c r="Y128" s="251"/>
    </row>
    <row r="129" spans="2:26" ht="57" customHeight="1" thickBot="1" x14ac:dyDescent="0.3">
      <c r="C129" s="113" t="s">
        <v>361</v>
      </c>
      <c r="D129" s="114" t="s">
        <v>362</v>
      </c>
      <c r="E129" s="116" t="s">
        <v>363</v>
      </c>
      <c r="F129" s="116" t="s">
        <v>364</v>
      </c>
      <c r="G129" s="115" t="s">
        <v>714</v>
      </c>
      <c r="H129" s="117" t="s">
        <v>715</v>
      </c>
      <c r="I129" s="115" t="s">
        <v>367</v>
      </c>
      <c r="J129" s="115" t="s">
        <v>716</v>
      </c>
      <c r="K129" s="118" t="s">
        <v>715</v>
      </c>
      <c r="L129" s="115" t="s">
        <v>369</v>
      </c>
      <c r="M129" s="115" t="s">
        <v>370</v>
      </c>
      <c r="N129" s="118" t="s">
        <v>715</v>
      </c>
      <c r="O129" s="115" t="s">
        <v>371</v>
      </c>
      <c r="P129" s="115" t="s">
        <v>372</v>
      </c>
      <c r="Q129" s="118" t="s">
        <v>715</v>
      </c>
      <c r="R129" s="115" t="str">
        <f>R5</f>
        <v>29.08.2024. grozījumi</v>
      </c>
      <c r="S129" s="115" t="str">
        <f>S5</f>
        <v>Izmaiņa 29.08.2024. -27.06.2024.</v>
      </c>
      <c r="T129" s="118" t="s">
        <v>715</v>
      </c>
      <c r="U129" s="115" t="str">
        <f>U5</f>
        <v>24.10.2024. grozījumi</v>
      </c>
      <c r="V129" s="115" t="str">
        <f>V5</f>
        <v>Izmaiņa 24.10.2024. -29.08.2024.</v>
      </c>
      <c r="W129" s="118" t="s">
        <v>715</v>
      </c>
      <c r="X129" s="115" t="str">
        <f>X5</f>
        <v>28.11.2024. grozījumi</v>
      </c>
      <c r="Y129" s="115" t="str">
        <f>Y5</f>
        <v>Izmaiņa 28.11.2024. -24.10.2024.</v>
      </c>
      <c r="Z129" s="118" t="s">
        <v>715</v>
      </c>
    </row>
    <row r="130" spans="2:26" x14ac:dyDescent="0.25">
      <c r="C130" s="252" t="s">
        <v>381</v>
      </c>
      <c r="D130" s="253" t="s">
        <v>717</v>
      </c>
      <c r="E130" s="255">
        <v>11584924</v>
      </c>
      <c r="F130" s="255">
        <f t="shared" ref="F130" si="59">SUM(F131:F139)</f>
        <v>11593156</v>
      </c>
      <c r="G130" s="254">
        <f t="shared" ref="G130:G187" si="60">F130-E130</f>
        <v>8232</v>
      </c>
      <c r="H130" s="256"/>
      <c r="I130" s="254">
        <f>SUM(I131:I139)</f>
        <v>11675168</v>
      </c>
      <c r="J130" s="254">
        <f t="shared" ref="J130:J201" si="61">I130-F130</f>
        <v>82012</v>
      </c>
      <c r="K130" s="257"/>
      <c r="L130" s="254">
        <f>SUM(L131:L139)</f>
        <v>11718990</v>
      </c>
      <c r="M130" s="254">
        <f t="shared" ref="M130:M201" si="62">L130-I130</f>
        <v>43822</v>
      </c>
      <c r="N130" s="257"/>
      <c r="O130" s="254">
        <f>SUM(O131:O139)</f>
        <v>11668303</v>
      </c>
      <c r="P130" s="254">
        <f t="shared" ref="P130:P201" si="63">O130-L130</f>
        <v>-50687</v>
      </c>
      <c r="Q130" s="257"/>
      <c r="R130" s="254">
        <f>SUM(R131:R139)</f>
        <v>11628303</v>
      </c>
      <c r="S130" s="254">
        <f t="shared" ref="S130:S187" si="64">R130-O130</f>
        <v>-40000</v>
      </c>
      <c r="T130" s="257"/>
      <c r="U130" s="254">
        <f>SUM(U131:U139)</f>
        <v>11628303</v>
      </c>
      <c r="V130" s="254">
        <f t="shared" ref="V130:V187" si="65">U130-R130</f>
        <v>0</v>
      </c>
      <c r="W130" s="257"/>
      <c r="X130" s="254">
        <f>SUM(X131:X139)</f>
        <v>11628303</v>
      </c>
      <c r="Y130" s="254">
        <f t="shared" ref="Y130:Y187" si="66">X130-U130</f>
        <v>0</v>
      </c>
      <c r="Z130" s="257"/>
    </row>
    <row r="131" spans="2:26" ht="31.5" customHeight="1" x14ac:dyDescent="0.25">
      <c r="B131" s="183" t="s">
        <v>718</v>
      </c>
      <c r="C131" s="258" t="s">
        <v>385</v>
      </c>
      <c r="D131" s="259" t="s">
        <v>719</v>
      </c>
      <c r="E131" s="190">
        <v>1983487</v>
      </c>
      <c r="F131" s="190">
        <f>ROUND(E131,0)</f>
        <v>1983487</v>
      </c>
      <c r="G131" s="166">
        <f t="shared" si="60"/>
        <v>0</v>
      </c>
      <c r="H131" s="191"/>
      <c r="I131" s="166">
        <f>ROUND(F131,0)</f>
        <v>1983487</v>
      </c>
      <c r="J131" s="166">
        <f t="shared" si="61"/>
        <v>0</v>
      </c>
      <c r="K131" s="192"/>
      <c r="L131" s="166">
        <f t="shared" ref="L131:L142" si="67">ROUND(I131,0)</f>
        <v>1983487</v>
      </c>
      <c r="M131" s="166">
        <f t="shared" si="62"/>
        <v>0</v>
      </c>
      <c r="N131" s="192"/>
      <c r="O131" s="166">
        <f t="shared" ref="O131:O141" si="68">ROUND(L131,0)</f>
        <v>1983487</v>
      </c>
      <c r="P131" s="166">
        <f t="shared" si="63"/>
        <v>0</v>
      </c>
      <c r="Q131" s="192"/>
      <c r="R131" s="166">
        <f t="shared" ref="R131:R136" si="69">ROUND(O131,0)</f>
        <v>1983487</v>
      </c>
      <c r="S131" s="166">
        <f t="shared" si="64"/>
        <v>0</v>
      </c>
      <c r="T131" s="192" t="s">
        <v>720</v>
      </c>
      <c r="U131" s="166">
        <f>ROUND(R131,0)+28260</f>
        <v>2011747</v>
      </c>
      <c r="V131" s="166">
        <f t="shared" si="65"/>
        <v>28260</v>
      </c>
      <c r="W131" s="192" t="s">
        <v>721</v>
      </c>
      <c r="X131" s="166">
        <f>ROUND(U131,0)</f>
        <v>2011747</v>
      </c>
      <c r="Y131" s="166">
        <f t="shared" si="66"/>
        <v>0</v>
      </c>
      <c r="Z131" s="192"/>
    </row>
    <row r="132" spans="2:26" x14ac:dyDescent="0.25">
      <c r="B132" s="183" t="s">
        <v>722</v>
      </c>
      <c r="C132" s="258" t="s">
        <v>723</v>
      </c>
      <c r="D132" s="259" t="s">
        <v>724</v>
      </c>
      <c r="E132" s="190">
        <v>376850</v>
      </c>
      <c r="F132" s="190">
        <f t="shared" ref="F132:F141" si="70">ROUND(E132,0)</f>
        <v>376850</v>
      </c>
      <c r="G132" s="166">
        <f t="shared" si="60"/>
        <v>0</v>
      </c>
      <c r="H132" s="260"/>
      <c r="I132" s="166">
        <f t="shared" ref="I132:I137" si="71">ROUND(F132,0)</f>
        <v>376850</v>
      </c>
      <c r="J132" s="166">
        <f t="shared" si="61"/>
        <v>0</v>
      </c>
      <c r="K132" s="261"/>
      <c r="L132" s="166">
        <f t="shared" si="67"/>
        <v>376850</v>
      </c>
      <c r="M132" s="166">
        <f t="shared" si="62"/>
        <v>0</v>
      </c>
      <c r="N132" s="261"/>
      <c r="O132" s="166">
        <f t="shared" si="68"/>
        <v>376850</v>
      </c>
      <c r="P132" s="166">
        <f t="shared" si="63"/>
        <v>0</v>
      </c>
      <c r="Q132" s="261"/>
      <c r="R132" s="166">
        <f t="shared" si="69"/>
        <v>376850</v>
      </c>
      <c r="S132" s="166">
        <f t="shared" si="64"/>
        <v>0</v>
      </c>
      <c r="T132" s="261"/>
      <c r="U132" s="166">
        <f>ROUND(R132,0)-28260</f>
        <v>348590</v>
      </c>
      <c r="V132" s="166">
        <f t="shared" si="65"/>
        <v>-28260</v>
      </c>
      <c r="W132" s="192"/>
      <c r="X132" s="166">
        <f>ROUND(U132,0)</f>
        <v>348590</v>
      </c>
      <c r="Y132" s="166">
        <f t="shared" si="66"/>
        <v>0</v>
      </c>
      <c r="Z132" s="192"/>
    </row>
    <row r="133" spans="2:26" ht="13.15" customHeight="1" x14ac:dyDescent="0.25">
      <c r="B133" s="183" t="s">
        <v>725</v>
      </c>
      <c r="C133" s="258" t="s">
        <v>726</v>
      </c>
      <c r="D133" s="259" t="s">
        <v>727</v>
      </c>
      <c r="E133" s="190">
        <v>62512</v>
      </c>
      <c r="F133" s="190">
        <f>ROUND(E133,0)</f>
        <v>62512</v>
      </c>
      <c r="G133" s="166">
        <f t="shared" si="60"/>
        <v>0</v>
      </c>
      <c r="H133" s="191"/>
      <c r="I133" s="166">
        <f t="shared" si="71"/>
        <v>62512</v>
      </c>
      <c r="J133" s="166">
        <f t="shared" si="61"/>
        <v>0</v>
      </c>
      <c r="K133" s="192"/>
      <c r="L133" s="166">
        <f t="shared" si="67"/>
        <v>62512</v>
      </c>
      <c r="M133" s="166">
        <f t="shared" si="62"/>
        <v>0</v>
      </c>
      <c r="N133" s="192"/>
      <c r="O133" s="166">
        <f t="shared" si="68"/>
        <v>62512</v>
      </c>
      <c r="P133" s="166">
        <f t="shared" si="63"/>
        <v>0</v>
      </c>
      <c r="Q133" s="192"/>
      <c r="R133" s="166">
        <f t="shared" si="69"/>
        <v>62512</v>
      </c>
      <c r="S133" s="166">
        <f t="shared" si="64"/>
        <v>0</v>
      </c>
      <c r="T133" s="192"/>
      <c r="U133" s="166">
        <f t="shared" ref="U133:U142" si="72">ROUND(R133,0)</f>
        <v>62512</v>
      </c>
      <c r="V133" s="166">
        <f t="shared" si="65"/>
        <v>0</v>
      </c>
      <c r="W133" s="192"/>
      <c r="X133" s="166">
        <f t="shared" ref="X133:X142" si="73">ROUND(U133,0)</f>
        <v>62512</v>
      </c>
      <c r="Y133" s="166">
        <f t="shared" si="66"/>
        <v>0</v>
      </c>
      <c r="Z133" s="192"/>
    </row>
    <row r="134" spans="2:26" ht="14.45" customHeight="1" x14ac:dyDescent="0.25">
      <c r="B134" s="183" t="s">
        <v>728</v>
      </c>
      <c r="C134" s="258" t="s">
        <v>729</v>
      </c>
      <c r="D134" s="259" t="s">
        <v>730</v>
      </c>
      <c r="E134" s="190">
        <v>45277</v>
      </c>
      <c r="F134" s="190">
        <f t="shared" si="70"/>
        <v>45277</v>
      </c>
      <c r="G134" s="166">
        <f t="shared" si="60"/>
        <v>0</v>
      </c>
      <c r="H134" s="191"/>
      <c r="I134" s="166">
        <f t="shared" si="71"/>
        <v>45277</v>
      </c>
      <c r="J134" s="166">
        <f t="shared" si="61"/>
        <v>0</v>
      </c>
      <c r="K134" s="192"/>
      <c r="L134" s="166">
        <f t="shared" si="67"/>
        <v>45277</v>
      </c>
      <c r="M134" s="166">
        <f t="shared" si="62"/>
        <v>0</v>
      </c>
      <c r="N134" s="192"/>
      <c r="O134" s="166">
        <f t="shared" si="68"/>
        <v>45277</v>
      </c>
      <c r="P134" s="166">
        <f t="shared" si="63"/>
        <v>0</v>
      </c>
      <c r="Q134" s="192"/>
      <c r="R134" s="166">
        <f t="shared" si="69"/>
        <v>45277</v>
      </c>
      <c r="S134" s="166">
        <f t="shared" si="64"/>
        <v>0</v>
      </c>
      <c r="T134" s="192"/>
      <c r="U134" s="166">
        <f t="shared" si="72"/>
        <v>45277</v>
      </c>
      <c r="V134" s="166">
        <f t="shared" si="65"/>
        <v>0</v>
      </c>
      <c r="W134" s="192"/>
      <c r="X134" s="166">
        <f t="shared" si="73"/>
        <v>45277</v>
      </c>
      <c r="Y134" s="166">
        <f t="shared" si="66"/>
        <v>0</v>
      </c>
      <c r="Z134" s="192"/>
    </row>
    <row r="135" spans="2:26" ht="15.6" customHeight="1" x14ac:dyDescent="0.25">
      <c r="B135" s="183" t="s">
        <v>731</v>
      </c>
      <c r="C135" s="258" t="s">
        <v>732</v>
      </c>
      <c r="D135" s="259" t="s">
        <v>733</v>
      </c>
      <c r="E135" s="190">
        <v>8040</v>
      </c>
      <c r="F135" s="190">
        <f>ROUND(E135,0)+8232</f>
        <v>16272</v>
      </c>
      <c r="G135" s="166">
        <f t="shared" si="60"/>
        <v>8232</v>
      </c>
      <c r="H135" s="189" t="s">
        <v>560</v>
      </c>
      <c r="I135" s="166">
        <f t="shared" si="71"/>
        <v>16272</v>
      </c>
      <c r="J135" s="166">
        <f t="shared" si="61"/>
        <v>0</v>
      </c>
      <c r="K135" s="261"/>
      <c r="L135" s="166">
        <f>ROUND(I135,0)+50781</f>
        <v>67053</v>
      </c>
      <c r="M135" s="166">
        <f t="shared" si="62"/>
        <v>50781</v>
      </c>
      <c r="N135" s="261" t="s">
        <v>561</v>
      </c>
      <c r="O135" s="166">
        <f t="shared" si="68"/>
        <v>67053</v>
      </c>
      <c r="P135" s="166">
        <f t="shared" si="63"/>
        <v>0</v>
      </c>
      <c r="Q135" s="261"/>
      <c r="R135" s="166">
        <f t="shared" si="69"/>
        <v>67053</v>
      </c>
      <c r="S135" s="166">
        <f t="shared" si="64"/>
        <v>0</v>
      </c>
      <c r="T135" s="261"/>
      <c r="U135" s="166">
        <f t="shared" si="72"/>
        <v>67053</v>
      </c>
      <c r="V135" s="166">
        <f t="shared" si="65"/>
        <v>0</v>
      </c>
      <c r="W135" s="261"/>
      <c r="X135" s="166">
        <f t="shared" si="73"/>
        <v>67053</v>
      </c>
      <c r="Y135" s="166">
        <f t="shared" si="66"/>
        <v>0</v>
      </c>
      <c r="Z135" s="261"/>
    </row>
    <row r="136" spans="2:26" ht="14.45" customHeight="1" x14ac:dyDescent="0.25">
      <c r="B136" s="183" t="s">
        <v>734</v>
      </c>
      <c r="C136" s="258" t="s">
        <v>735</v>
      </c>
      <c r="D136" s="259" t="s">
        <v>736</v>
      </c>
      <c r="E136" s="190">
        <v>53045</v>
      </c>
      <c r="F136" s="190">
        <f t="shared" si="70"/>
        <v>53045</v>
      </c>
      <c r="G136" s="166">
        <f t="shared" si="60"/>
        <v>0</v>
      </c>
      <c r="H136" s="260"/>
      <c r="I136" s="166">
        <f>ROUND(F136,0)</f>
        <v>53045</v>
      </c>
      <c r="J136" s="166">
        <f t="shared" si="61"/>
        <v>0</v>
      </c>
      <c r="K136" s="261"/>
      <c r="L136" s="166">
        <f t="shared" si="67"/>
        <v>53045</v>
      </c>
      <c r="M136" s="166">
        <f t="shared" si="62"/>
        <v>0</v>
      </c>
      <c r="N136" s="261"/>
      <c r="O136" s="166">
        <f t="shared" si="68"/>
        <v>53045</v>
      </c>
      <c r="P136" s="166">
        <f t="shared" si="63"/>
        <v>0</v>
      </c>
      <c r="Q136" s="261"/>
      <c r="R136" s="166">
        <f t="shared" si="69"/>
        <v>53045</v>
      </c>
      <c r="S136" s="166">
        <f t="shared" si="64"/>
        <v>0</v>
      </c>
      <c r="T136" s="261"/>
      <c r="U136" s="166">
        <f t="shared" si="72"/>
        <v>53045</v>
      </c>
      <c r="V136" s="166">
        <f t="shared" si="65"/>
        <v>0</v>
      </c>
      <c r="W136" s="261"/>
      <c r="X136" s="166">
        <f t="shared" si="73"/>
        <v>53045</v>
      </c>
      <c r="Y136" s="166">
        <f t="shared" si="66"/>
        <v>0</v>
      </c>
      <c r="Z136" s="261"/>
    </row>
    <row r="137" spans="2:26" ht="30" customHeight="1" x14ac:dyDescent="0.25">
      <c r="B137" s="183" t="s">
        <v>718</v>
      </c>
      <c r="C137" s="258" t="s">
        <v>737</v>
      </c>
      <c r="D137" s="259" t="s">
        <v>738</v>
      </c>
      <c r="E137" s="190">
        <v>2229302</v>
      </c>
      <c r="F137" s="190">
        <f t="shared" si="70"/>
        <v>2229302</v>
      </c>
      <c r="G137" s="166">
        <f t="shared" si="60"/>
        <v>0</v>
      </c>
      <c r="H137" s="191"/>
      <c r="I137" s="166">
        <f t="shared" si="71"/>
        <v>2229302</v>
      </c>
      <c r="J137" s="166">
        <f t="shared" si="61"/>
        <v>0</v>
      </c>
      <c r="K137" s="192"/>
      <c r="L137" s="166">
        <f t="shared" si="67"/>
        <v>2229302</v>
      </c>
      <c r="M137" s="166">
        <f t="shared" si="62"/>
        <v>0</v>
      </c>
      <c r="N137" s="192"/>
      <c r="O137" s="166">
        <f>ROUND(L137,0)-50687</f>
        <v>2178615</v>
      </c>
      <c r="P137" s="166">
        <f t="shared" si="63"/>
        <v>-50687</v>
      </c>
      <c r="Q137" s="192" t="s">
        <v>739</v>
      </c>
      <c r="R137" s="166">
        <f>ROUND(O137,0)-40000</f>
        <v>2138615</v>
      </c>
      <c r="S137" s="166">
        <f t="shared" si="64"/>
        <v>-40000</v>
      </c>
      <c r="T137" s="192" t="s">
        <v>740</v>
      </c>
      <c r="U137" s="166">
        <f t="shared" si="72"/>
        <v>2138615</v>
      </c>
      <c r="V137" s="166">
        <f t="shared" si="65"/>
        <v>0</v>
      </c>
      <c r="W137" s="192"/>
      <c r="X137" s="166">
        <f t="shared" si="73"/>
        <v>2138615</v>
      </c>
      <c r="Y137" s="166">
        <f t="shared" si="66"/>
        <v>0</v>
      </c>
      <c r="Z137" s="192"/>
    </row>
    <row r="138" spans="2:26" ht="13.9" customHeight="1" x14ac:dyDescent="0.25">
      <c r="B138" s="183" t="s">
        <v>718</v>
      </c>
      <c r="C138" s="258" t="s">
        <v>741</v>
      </c>
      <c r="D138" s="259" t="s">
        <v>742</v>
      </c>
      <c r="E138" s="190">
        <v>6416104</v>
      </c>
      <c r="F138" s="190">
        <f t="shared" si="70"/>
        <v>6416104</v>
      </c>
      <c r="G138" s="166">
        <f t="shared" si="60"/>
        <v>0</v>
      </c>
      <c r="H138" s="260"/>
      <c r="I138" s="166">
        <f>ROUND(F138,0)+61071+20941</f>
        <v>6498116</v>
      </c>
      <c r="J138" s="166">
        <f t="shared" si="61"/>
        <v>82012</v>
      </c>
      <c r="K138" s="192" t="s">
        <v>743</v>
      </c>
      <c r="L138" s="166">
        <f t="shared" si="67"/>
        <v>6498116</v>
      </c>
      <c r="M138" s="166">
        <f t="shared" si="62"/>
        <v>0</v>
      </c>
      <c r="N138" s="261"/>
      <c r="O138" s="166">
        <f t="shared" si="68"/>
        <v>6498116</v>
      </c>
      <c r="P138" s="166">
        <f t="shared" si="63"/>
        <v>0</v>
      </c>
      <c r="Q138" s="261"/>
      <c r="R138" s="166">
        <f>ROUND(O138,0)</f>
        <v>6498116</v>
      </c>
      <c r="S138" s="166">
        <f t="shared" si="64"/>
        <v>0</v>
      </c>
      <c r="T138" s="261"/>
      <c r="U138" s="166">
        <f t="shared" si="72"/>
        <v>6498116</v>
      </c>
      <c r="V138" s="166">
        <f t="shared" si="65"/>
        <v>0</v>
      </c>
      <c r="W138" s="261"/>
      <c r="X138" s="166">
        <f t="shared" si="73"/>
        <v>6498116</v>
      </c>
      <c r="Y138" s="166">
        <f t="shared" si="66"/>
        <v>0</v>
      </c>
      <c r="Z138" s="261"/>
    </row>
    <row r="139" spans="2:26" ht="42.6" customHeight="1" x14ac:dyDescent="0.25">
      <c r="B139" s="183" t="s">
        <v>744</v>
      </c>
      <c r="C139" s="258" t="s">
        <v>745</v>
      </c>
      <c r="D139" s="259" t="s">
        <v>746</v>
      </c>
      <c r="E139" s="190">
        <v>410307</v>
      </c>
      <c r="F139" s="190">
        <f>ROUND(E139,0)</f>
        <v>410307</v>
      </c>
      <c r="G139" s="166">
        <f t="shared" si="60"/>
        <v>0</v>
      </c>
      <c r="H139" s="191"/>
      <c r="I139" s="166">
        <f>ROUND(F139,0)</f>
        <v>410307</v>
      </c>
      <c r="J139" s="166">
        <f t="shared" si="61"/>
        <v>0</v>
      </c>
      <c r="K139" s="192"/>
      <c r="L139" s="166">
        <f>ROUND(I139,0)-6959</f>
        <v>403348</v>
      </c>
      <c r="M139" s="166">
        <f t="shared" si="62"/>
        <v>-6959</v>
      </c>
      <c r="N139" s="192" t="s">
        <v>747</v>
      </c>
      <c r="O139" s="166">
        <f t="shared" si="68"/>
        <v>403348</v>
      </c>
      <c r="P139" s="166">
        <f t="shared" si="63"/>
        <v>0</v>
      </c>
      <c r="Q139" s="192"/>
      <c r="R139" s="166">
        <f>ROUND(O139,0)</f>
        <v>403348</v>
      </c>
      <c r="S139" s="166">
        <f t="shared" si="64"/>
        <v>0</v>
      </c>
      <c r="T139" s="192"/>
      <c r="U139" s="166">
        <f t="shared" si="72"/>
        <v>403348</v>
      </c>
      <c r="V139" s="166">
        <f t="shared" si="65"/>
        <v>0</v>
      </c>
      <c r="W139" s="192"/>
      <c r="X139" s="166">
        <f t="shared" si="73"/>
        <v>403348</v>
      </c>
      <c r="Y139" s="166">
        <f t="shared" si="66"/>
        <v>0</v>
      </c>
      <c r="Z139" s="192"/>
    </row>
    <row r="140" spans="2:26" x14ac:dyDescent="0.25">
      <c r="C140" s="263" t="s">
        <v>392</v>
      </c>
      <c r="D140" s="264" t="s">
        <v>748</v>
      </c>
      <c r="E140" s="142">
        <v>0</v>
      </c>
      <c r="F140" s="142">
        <f t="shared" si="70"/>
        <v>0</v>
      </c>
      <c r="G140" s="141">
        <f t="shared" si="60"/>
        <v>0</v>
      </c>
      <c r="H140" s="143"/>
      <c r="I140" s="141">
        <f>ROUND(F140,0)</f>
        <v>0</v>
      </c>
      <c r="J140" s="141">
        <f t="shared" si="61"/>
        <v>0</v>
      </c>
      <c r="K140" s="144"/>
      <c r="L140" s="141">
        <f t="shared" si="67"/>
        <v>0</v>
      </c>
      <c r="M140" s="141">
        <f t="shared" si="62"/>
        <v>0</v>
      </c>
      <c r="N140" s="144"/>
      <c r="O140" s="141">
        <f t="shared" si="68"/>
        <v>0</v>
      </c>
      <c r="P140" s="141">
        <f t="shared" si="63"/>
        <v>0</v>
      </c>
      <c r="Q140" s="144"/>
      <c r="R140" s="141">
        <f>ROUND(O140,0)</f>
        <v>0</v>
      </c>
      <c r="S140" s="141">
        <f t="shared" si="64"/>
        <v>0</v>
      </c>
      <c r="T140" s="144"/>
      <c r="U140" s="141">
        <f t="shared" si="72"/>
        <v>0</v>
      </c>
      <c r="V140" s="141">
        <f t="shared" si="65"/>
        <v>0</v>
      </c>
      <c r="W140" s="144"/>
      <c r="X140" s="141">
        <f t="shared" si="73"/>
        <v>0</v>
      </c>
      <c r="Y140" s="141">
        <f t="shared" si="66"/>
        <v>0</v>
      </c>
      <c r="Z140" s="144"/>
    </row>
    <row r="141" spans="2:26" ht="13.9" customHeight="1" x14ac:dyDescent="0.25">
      <c r="B141" s="183" t="s">
        <v>749</v>
      </c>
      <c r="C141" s="258" t="s">
        <v>395</v>
      </c>
      <c r="D141" s="259" t="s">
        <v>750</v>
      </c>
      <c r="E141" s="190">
        <v>0</v>
      </c>
      <c r="F141" s="190">
        <f t="shared" si="70"/>
        <v>0</v>
      </c>
      <c r="G141" s="166">
        <f t="shared" si="60"/>
        <v>0</v>
      </c>
      <c r="H141" s="260"/>
      <c r="I141" s="166">
        <f>ROUND(F141,0)</f>
        <v>0</v>
      </c>
      <c r="J141" s="166">
        <f t="shared" si="61"/>
        <v>0</v>
      </c>
      <c r="K141" s="261"/>
      <c r="L141" s="166">
        <f t="shared" si="67"/>
        <v>0</v>
      </c>
      <c r="M141" s="166">
        <f t="shared" si="62"/>
        <v>0</v>
      </c>
      <c r="N141" s="261"/>
      <c r="O141" s="166">
        <f t="shared" si="68"/>
        <v>0</v>
      </c>
      <c r="P141" s="166">
        <f t="shared" si="63"/>
        <v>0</v>
      </c>
      <c r="Q141" s="261"/>
      <c r="R141" s="166">
        <f>ROUND(O141,0)</f>
        <v>0</v>
      </c>
      <c r="S141" s="166">
        <f t="shared" si="64"/>
        <v>0</v>
      </c>
      <c r="T141" s="261"/>
      <c r="U141" s="166">
        <f t="shared" si="72"/>
        <v>0</v>
      </c>
      <c r="V141" s="166">
        <f t="shared" si="65"/>
        <v>0</v>
      </c>
      <c r="W141" s="261"/>
      <c r="X141" s="166">
        <f t="shared" si="73"/>
        <v>0</v>
      </c>
      <c r="Y141" s="166">
        <f t="shared" si="66"/>
        <v>0</v>
      </c>
      <c r="Z141" s="261"/>
    </row>
    <row r="142" spans="2:26" ht="15" customHeight="1" collapsed="1" x14ac:dyDescent="0.25">
      <c r="B142" s="183" t="s">
        <v>751</v>
      </c>
      <c r="C142" s="263" t="s">
        <v>400</v>
      </c>
      <c r="D142" s="264" t="s">
        <v>752</v>
      </c>
      <c r="E142" s="142">
        <v>1032367.7769225</v>
      </c>
      <c r="F142" s="142">
        <f>ROUND(E142,0)+645</f>
        <v>1033013</v>
      </c>
      <c r="G142" s="141">
        <f t="shared" si="60"/>
        <v>645.22307750000618</v>
      </c>
      <c r="H142" s="158" t="s">
        <v>753</v>
      </c>
      <c r="I142" s="141">
        <f>ROUND(F142,0)+13315</f>
        <v>1046328</v>
      </c>
      <c r="J142" s="141">
        <f t="shared" si="61"/>
        <v>13315</v>
      </c>
      <c r="K142" s="159" t="s">
        <v>754</v>
      </c>
      <c r="L142" s="141">
        <f t="shared" si="67"/>
        <v>1046328</v>
      </c>
      <c r="M142" s="141">
        <f t="shared" si="62"/>
        <v>0</v>
      </c>
      <c r="N142" s="159"/>
      <c r="O142" s="141">
        <f>ROUND(L142,0)-102</f>
        <v>1046226</v>
      </c>
      <c r="P142" s="141">
        <f t="shared" si="63"/>
        <v>-102</v>
      </c>
      <c r="Q142" s="159" t="s">
        <v>755</v>
      </c>
      <c r="R142" s="141">
        <f>ROUND(O142,0)+12131</f>
        <v>1058357</v>
      </c>
      <c r="S142" s="141">
        <f t="shared" si="64"/>
        <v>12131</v>
      </c>
      <c r="T142" s="159" t="s">
        <v>756</v>
      </c>
      <c r="U142" s="141">
        <f t="shared" si="72"/>
        <v>1058357</v>
      </c>
      <c r="V142" s="141">
        <f t="shared" si="65"/>
        <v>0</v>
      </c>
      <c r="W142" s="159"/>
      <c r="X142" s="141">
        <f t="shared" si="73"/>
        <v>1058357</v>
      </c>
      <c r="Y142" s="141">
        <f t="shared" si="66"/>
        <v>0</v>
      </c>
      <c r="Z142" s="159"/>
    </row>
    <row r="143" spans="2:26" s="265" customFormat="1" ht="16.899999999999999" customHeight="1" x14ac:dyDescent="0.25">
      <c r="C143" s="263" t="s">
        <v>408</v>
      </c>
      <c r="D143" s="264" t="s">
        <v>757</v>
      </c>
      <c r="E143" s="142">
        <v>521949.07229136</v>
      </c>
      <c r="F143" s="142">
        <f t="shared" ref="F143" si="74">F144+F147</f>
        <v>583582</v>
      </c>
      <c r="G143" s="141">
        <f t="shared" si="60"/>
        <v>61632.927708639996</v>
      </c>
      <c r="H143" s="158"/>
      <c r="I143" s="141">
        <f>I144+I147</f>
        <v>587548</v>
      </c>
      <c r="J143" s="141">
        <f t="shared" si="61"/>
        <v>3966</v>
      </c>
      <c r="K143" s="159"/>
      <c r="L143" s="141">
        <f>L144+L147</f>
        <v>587548</v>
      </c>
      <c r="M143" s="141">
        <f t="shared" si="62"/>
        <v>0</v>
      </c>
      <c r="N143" s="159"/>
      <c r="O143" s="141">
        <f>O144+O147</f>
        <v>587548</v>
      </c>
      <c r="P143" s="141">
        <f t="shared" si="63"/>
        <v>0</v>
      </c>
      <c r="Q143" s="159"/>
      <c r="R143" s="141">
        <f>R144+R147</f>
        <v>587548</v>
      </c>
      <c r="S143" s="141">
        <f t="shared" si="64"/>
        <v>0</v>
      </c>
      <c r="T143" s="159"/>
      <c r="U143" s="141">
        <f>U144+U147</f>
        <v>587548</v>
      </c>
      <c r="V143" s="141">
        <f t="shared" si="65"/>
        <v>0</v>
      </c>
      <c r="W143" s="159"/>
      <c r="X143" s="141">
        <f>X144+X147</f>
        <v>587548</v>
      </c>
      <c r="Y143" s="141">
        <f t="shared" si="66"/>
        <v>0</v>
      </c>
      <c r="Z143" s="159"/>
    </row>
    <row r="144" spans="2:26" x14ac:dyDescent="0.25">
      <c r="B144" s="183" t="s">
        <v>758</v>
      </c>
      <c r="C144" s="258" t="s">
        <v>411</v>
      </c>
      <c r="D144" s="259" t="s">
        <v>759</v>
      </c>
      <c r="E144" s="190">
        <v>179686.07229136</v>
      </c>
      <c r="F144" s="190">
        <f>SUM(F145:F146)</f>
        <v>179686</v>
      </c>
      <c r="G144" s="166">
        <f t="shared" ref="G144" si="75">SUM(G145:G146)</f>
        <v>-7.2291360003873706E-2</v>
      </c>
      <c r="H144" s="262"/>
      <c r="I144" s="166">
        <f>SUM(I145:I146)</f>
        <v>179686</v>
      </c>
      <c r="J144" s="166">
        <f t="shared" si="61"/>
        <v>0</v>
      </c>
      <c r="K144" s="166"/>
      <c r="L144" s="166">
        <f>SUM(L145:L146)</f>
        <v>179686</v>
      </c>
      <c r="M144" s="166">
        <f t="shared" si="62"/>
        <v>0</v>
      </c>
      <c r="N144" s="166"/>
      <c r="O144" s="166">
        <f>SUM(O145:O146)</f>
        <v>179686</v>
      </c>
      <c r="P144" s="166">
        <f t="shared" si="63"/>
        <v>0</v>
      </c>
      <c r="Q144" s="166"/>
      <c r="R144" s="166">
        <f>SUM(R145:R146)</f>
        <v>179686</v>
      </c>
      <c r="S144" s="166">
        <f t="shared" si="64"/>
        <v>0</v>
      </c>
      <c r="T144" s="166"/>
      <c r="U144" s="166">
        <f>SUM(U145:U146)</f>
        <v>179686</v>
      </c>
      <c r="V144" s="166">
        <f t="shared" si="65"/>
        <v>0</v>
      </c>
      <c r="W144" s="166"/>
      <c r="X144" s="166">
        <f>SUM(X145:X146)</f>
        <v>179686</v>
      </c>
      <c r="Y144" s="166">
        <f t="shared" si="66"/>
        <v>0</v>
      </c>
      <c r="Z144" s="166"/>
    </row>
    <row r="145" spans="2:26" ht="15.75" customHeight="1" x14ac:dyDescent="0.25">
      <c r="B145" s="183" t="s">
        <v>758</v>
      </c>
      <c r="C145" s="266" t="s">
        <v>760</v>
      </c>
      <c r="D145" s="267" t="s">
        <v>761</v>
      </c>
      <c r="E145" s="135">
        <v>150459.07229136</v>
      </c>
      <c r="F145" s="135">
        <f>ROUND(E145,0)</f>
        <v>150459</v>
      </c>
      <c r="G145" s="134">
        <f t="shared" si="60"/>
        <v>-7.2291360003873706E-2</v>
      </c>
      <c r="H145" s="136"/>
      <c r="I145" s="134">
        <f>ROUND(F145,0)-3283-544</f>
        <v>146632</v>
      </c>
      <c r="J145" s="134">
        <f t="shared" si="61"/>
        <v>-3827</v>
      </c>
      <c r="K145" s="268" t="s">
        <v>762</v>
      </c>
      <c r="L145" s="134">
        <f>ROUND(I145,0)-660</f>
        <v>145972</v>
      </c>
      <c r="M145" s="134">
        <f t="shared" si="62"/>
        <v>-660</v>
      </c>
      <c r="N145" s="138" t="s">
        <v>763</v>
      </c>
      <c r="O145" s="134">
        <f>ROUND(L145,0)</f>
        <v>145972</v>
      </c>
      <c r="P145" s="134">
        <f t="shared" si="63"/>
        <v>0</v>
      </c>
      <c r="Q145" s="137"/>
      <c r="R145" s="134">
        <f>ROUND(O145,0)</f>
        <v>145972</v>
      </c>
      <c r="S145" s="134">
        <f t="shared" si="64"/>
        <v>0</v>
      </c>
      <c r="T145" s="137"/>
      <c r="U145" s="134">
        <f>ROUND(R145,0)</f>
        <v>145972</v>
      </c>
      <c r="V145" s="134">
        <f t="shared" si="65"/>
        <v>0</v>
      </c>
      <c r="W145" s="137"/>
      <c r="X145" s="134">
        <f>ROUND(U145,0)</f>
        <v>145972</v>
      </c>
      <c r="Y145" s="134">
        <f t="shared" si="66"/>
        <v>0</v>
      </c>
      <c r="Z145" s="137"/>
    </row>
    <row r="146" spans="2:26" ht="15.6" customHeight="1" x14ac:dyDescent="0.25">
      <c r="B146" s="183"/>
      <c r="C146" s="266" t="s">
        <v>764</v>
      </c>
      <c r="D146" s="267" t="s">
        <v>765</v>
      </c>
      <c r="E146" s="135">
        <v>29227</v>
      </c>
      <c r="F146" s="135">
        <f>ROUND(E146,0)</f>
        <v>29227</v>
      </c>
      <c r="G146" s="134">
        <f t="shared" si="60"/>
        <v>0</v>
      </c>
      <c r="H146" s="136"/>
      <c r="I146" s="134">
        <f>ROUND(F146,0)+3283+544</f>
        <v>33054</v>
      </c>
      <c r="J146" s="134">
        <f t="shared" si="61"/>
        <v>3827</v>
      </c>
      <c r="K146" s="269"/>
      <c r="L146" s="134">
        <f>ROUND(I146,0)+660</f>
        <v>33714</v>
      </c>
      <c r="M146" s="134">
        <f t="shared" si="62"/>
        <v>660</v>
      </c>
      <c r="N146" s="137"/>
      <c r="O146" s="134">
        <f>ROUND(L146,0)</f>
        <v>33714</v>
      </c>
      <c r="P146" s="134">
        <f t="shared" si="63"/>
        <v>0</v>
      </c>
      <c r="Q146" s="137"/>
      <c r="R146" s="134">
        <f>ROUND(O146,0)</f>
        <v>33714</v>
      </c>
      <c r="S146" s="134">
        <f t="shared" si="64"/>
        <v>0</v>
      </c>
      <c r="T146" s="137"/>
      <c r="U146" s="134">
        <f>ROUND(R146,0)</f>
        <v>33714</v>
      </c>
      <c r="V146" s="134">
        <f t="shared" si="65"/>
        <v>0</v>
      </c>
      <c r="W146" s="137"/>
      <c r="X146" s="134">
        <f>ROUND(U146,0)</f>
        <v>33714</v>
      </c>
      <c r="Y146" s="134">
        <f t="shared" si="66"/>
        <v>0</v>
      </c>
      <c r="Z146" s="137"/>
    </row>
    <row r="147" spans="2:26" ht="30" x14ac:dyDescent="0.25">
      <c r="B147" s="183" t="s">
        <v>766</v>
      </c>
      <c r="C147" s="258" t="s">
        <v>413</v>
      </c>
      <c r="D147" s="259" t="s">
        <v>767</v>
      </c>
      <c r="E147" s="190">
        <v>342263</v>
      </c>
      <c r="F147" s="190">
        <f>ROUND(E147,0)+1093+59292+1248</f>
        <v>403896</v>
      </c>
      <c r="G147" s="166">
        <f t="shared" si="60"/>
        <v>61633</v>
      </c>
      <c r="H147" s="192" t="s">
        <v>768</v>
      </c>
      <c r="I147" s="166">
        <f>ROUND(F147,0)+3966</f>
        <v>407862</v>
      </c>
      <c r="J147" s="166">
        <f t="shared" si="61"/>
        <v>3966</v>
      </c>
      <c r="K147" s="166" t="s">
        <v>546</v>
      </c>
      <c r="L147" s="166">
        <f>ROUND(I147,0)</f>
        <v>407862</v>
      </c>
      <c r="M147" s="166">
        <f t="shared" si="62"/>
        <v>0</v>
      </c>
      <c r="N147" s="166"/>
      <c r="O147" s="166">
        <f>ROUND(L147,0)</f>
        <v>407862</v>
      </c>
      <c r="P147" s="166">
        <f t="shared" si="63"/>
        <v>0</v>
      </c>
      <c r="Q147" s="166"/>
      <c r="R147" s="166">
        <f>ROUND(O147,0)</f>
        <v>407862</v>
      </c>
      <c r="S147" s="166">
        <f t="shared" si="64"/>
        <v>0</v>
      </c>
      <c r="T147" s="166"/>
      <c r="U147" s="166">
        <f>ROUND(R147,0)</f>
        <v>407862</v>
      </c>
      <c r="V147" s="166">
        <f t="shared" si="65"/>
        <v>0</v>
      </c>
      <c r="W147" s="166"/>
      <c r="X147" s="166">
        <f>ROUND(U147,0)</f>
        <v>407862</v>
      </c>
      <c r="Y147" s="166">
        <f t="shared" si="66"/>
        <v>0</v>
      </c>
      <c r="Z147" s="166"/>
    </row>
    <row r="148" spans="2:26" x14ac:dyDescent="0.25">
      <c r="C148" s="263" t="s">
        <v>414</v>
      </c>
      <c r="D148" s="264" t="s">
        <v>769</v>
      </c>
      <c r="E148" s="142">
        <v>70000</v>
      </c>
      <c r="F148" s="142">
        <f t="shared" ref="F148" si="76">F149</f>
        <v>174970</v>
      </c>
      <c r="G148" s="141">
        <f t="shared" si="60"/>
        <v>104970</v>
      </c>
      <c r="H148" s="143"/>
      <c r="I148" s="141">
        <f>I149</f>
        <v>174970</v>
      </c>
      <c r="J148" s="141">
        <f t="shared" si="61"/>
        <v>0</v>
      </c>
      <c r="K148" s="144"/>
      <c r="L148" s="141">
        <f>L149</f>
        <v>174970</v>
      </c>
      <c r="M148" s="141">
        <f t="shared" si="62"/>
        <v>0</v>
      </c>
      <c r="N148" s="144"/>
      <c r="O148" s="141">
        <f>O149</f>
        <v>174970</v>
      </c>
      <c r="P148" s="141">
        <f t="shared" si="63"/>
        <v>0</v>
      </c>
      <c r="Q148" s="144"/>
      <c r="R148" s="141">
        <f>R149</f>
        <v>174970</v>
      </c>
      <c r="S148" s="141">
        <f t="shared" si="64"/>
        <v>0</v>
      </c>
      <c r="T148" s="144"/>
      <c r="U148" s="141">
        <f>U149</f>
        <v>174970</v>
      </c>
      <c r="V148" s="141">
        <f t="shared" si="65"/>
        <v>0</v>
      </c>
      <c r="W148" s="144"/>
      <c r="X148" s="141">
        <f>X149</f>
        <v>174970</v>
      </c>
      <c r="Y148" s="141">
        <f t="shared" si="66"/>
        <v>0</v>
      </c>
      <c r="Z148" s="144"/>
    </row>
    <row r="149" spans="2:26" ht="16.149999999999999" customHeight="1" x14ac:dyDescent="0.25">
      <c r="B149" s="183" t="s">
        <v>770</v>
      </c>
      <c r="C149" s="258" t="s">
        <v>417</v>
      </c>
      <c r="D149" s="259" t="s">
        <v>771</v>
      </c>
      <c r="E149" s="190">
        <v>70000</v>
      </c>
      <c r="F149" s="190">
        <f>ROUND(E149,0)+104970</f>
        <v>174970</v>
      </c>
      <c r="G149" s="166">
        <f t="shared" si="60"/>
        <v>104970</v>
      </c>
      <c r="H149" s="192" t="s">
        <v>357</v>
      </c>
      <c r="I149" s="166">
        <f>ROUND(F149,0)</f>
        <v>174970</v>
      </c>
      <c r="J149" s="166">
        <f t="shared" si="61"/>
        <v>0</v>
      </c>
      <c r="K149" s="192"/>
      <c r="L149" s="166">
        <f>ROUND(I149,0)</f>
        <v>174970</v>
      </c>
      <c r="M149" s="166">
        <f t="shared" si="62"/>
        <v>0</v>
      </c>
      <c r="N149" s="192"/>
      <c r="O149" s="166">
        <f>ROUND(L149,0)</f>
        <v>174970</v>
      </c>
      <c r="P149" s="166">
        <f t="shared" si="63"/>
        <v>0</v>
      </c>
      <c r="Q149" s="192"/>
      <c r="R149" s="166">
        <f>ROUND(O149,0)</f>
        <v>174970</v>
      </c>
      <c r="S149" s="166">
        <f t="shared" si="64"/>
        <v>0</v>
      </c>
      <c r="T149" s="192"/>
      <c r="U149" s="166">
        <f>ROUND(R149,0)</f>
        <v>174970</v>
      </c>
      <c r="V149" s="166">
        <f t="shared" si="65"/>
        <v>0</v>
      </c>
      <c r="W149" s="192"/>
      <c r="X149" s="166">
        <f>ROUND(U149,0)</f>
        <v>174970</v>
      </c>
      <c r="Y149" s="166">
        <f t="shared" si="66"/>
        <v>0</v>
      </c>
      <c r="Z149" s="192"/>
    </row>
    <row r="150" spans="2:26" ht="29.25" x14ac:dyDescent="0.25">
      <c r="C150" s="263" t="s">
        <v>422</v>
      </c>
      <c r="D150" s="264" t="s">
        <v>772</v>
      </c>
      <c r="E150" s="142">
        <v>14182678.841957785</v>
      </c>
      <c r="F150" s="142">
        <f t="shared" ref="F150" si="77">F151+F152+F153+F154+F172</f>
        <v>14286414</v>
      </c>
      <c r="G150" s="141">
        <f>G152+G153+G154+G172</f>
        <v>103735.15804221481</v>
      </c>
      <c r="H150" s="145"/>
      <c r="I150" s="141">
        <f>I151+I152+I153+I154+I172</f>
        <v>14591725</v>
      </c>
      <c r="J150" s="141">
        <f t="shared" si="61"/>
        <v>305311</v>
      </c>
      <c r="K150" s="141"/>
      <c r="L150" s="141">
        <f>L151+L152+L153+L154+L172</f>
        <v>14665800</v>
      </c>
      <c r="M150" s="141">
        <f t="shared" si="62"/>
        <v>74075</v>
      </c>
      <c r="N150" s="141"/>
      <c r="O150" s="141">
        <f>O151+O152+O153+O154+O172</f>
        <v>15381807</v>
      </c>
      <c r="P150" s="141">
        <f t="shared" si="63"/>
        <v>716007</v>
      </c>
      <c r="Q150" s="141"/>
      <c r="R150" s="141">
        <f>R151+R152+R153+R154+R172</f>
        <v>15496067</v>
      </c>
      <c r="S150" s="141">
        <f t="shared" si="64"/>
        <v>114260</v>
      </c>
      <c r="T150" s="141"/>
      <c r="U150" s="141">
        <f>U151+U152+U153+U154+U172</f>
        <v>15508113</v>
      </c>
      <c r="V150" s="141">
        <f t="shared" si="65"/>
        <v>12046</v>
      </c>
      <c r="W150" s="141"/>
      <c r="X150" s="141">
        <f>X151+X152+X153+X154+X172</f>
        <v>15508113</v>
      </c>
      <c r="Y150" s="141">
        <f t="shared" si="66"/>
        <v>0</v>
      </c>
      <c r="Z150" s="141"/>
    </row>
    <row r="151" spans="2:26" ht="15.6" customHeight="1" x14ac:dyDescent="0.25">
      <c r="B151" s="183" t="s">
        <v>749</v>
      </c>
      <c r="C151" s="258" t="s">
        <v>425</v>
      </c>
      <c r="D151" s="270" t="s">
        <v>750</v>
      </c>
      <c r="E151" s="272">
        <v>70000</v>
      </c>
      <c r="F151" s="190">
        <f>ROUND(E151,0)</f>
        <v>70000</v>
      </c>
      <c r="G151" s="166">
        <f>F151-E151</f>
        <v>0</v>
      </c>
      <c r="H151" s="260"/>
      <c r="I151" s="166">
        <f>ROUND(F151,0)</f>
        <v>70000</v>
      </c>
      <c r="J151" s="166">
        <f t="shared" si="61"/>
        <v>0</v>
      </c>
      <c r="K151" s="261"/>
      <c r="L151" s="166">
        <f>ROUND(I151,0)</f>
        <v>70000</v>
      </c>
      <c r="M151" s="166">
        <f t="shared" si="62"/>
        <v>0</v>
      </c>
      <c r="N151" s="261"/>
      <c r="O151" s="166">
        <f>ROUND(L151,0)</f>
        <v>70000</v>
      </c>
      <c r="P151" s="166">
        <f t="shared" si="63"/>
        <v>0</v>
      </c>
      <c r="Q151" s="261"/>
      <c r="R151" s="166">
        <f>ROUND(O151,0)</f>
        <v>70000</v>
      </c>
      <c r="S151" s="166">
        <f t="shared" si="64"/>
        <v>0</v>
      </c>
      <c r="T151" s="261"/>
      <c r="U151" s="166">
        <f>ROUND(R151,0)</f>
        <v>70000</v>
      </c>
      <c r="V151" s="166">
        <f t="shared" si="65"/>
        <v>0</v>
      </c>
      <c r="W151" s="261"/>
      <c r="X151" s="166">
        <f>ROUND(U151,0)</f>
        <v>70000</v>
      </c>
      <c r="Y151" s="166">
        <f t="shared" si="66"/>
        <v>0</v>
      </c>
      <c r="Z151" s="261"/>
    </row>
    <row r="152" spans="2:26" ht="28.15" customHeight="1" x14ac:dyDescent="0.25">
      <c r="B152" s="183" t="s">
        <v>773</v>
      </c>
      <c r="C152" s="258" t="s">
        <v>437</v>
      </c>
      <c r="D152" s="270" t="s">
        <v>774</v>
      </c>
      <c r="E152" s="272">
        <v>330452</v>
      </c>
      <c r="F152" s="272">
        <f>ROUND(E152,0)</f>
        <v>330452</v>
      </c>
      <c r="G152" s="271">
        <f t="shared" si="60"/>
        <v>0</v>
      </c>
      <c r="H152" s="191"/>
      <c r="I152" s="271">
        <f>ROUND(F152,0)</f>
        <v>330452</v>
      </c>
      <c r="J152" s="271">
        <f t="shared" si="61"/>
        <v>0</v>
      </c>
      <c r="K152" s="273"/>
      <c r="L152" s="271">
        <f>ROUND(I152,0)</f>
        <v>330452</v>
      </c>
      <c r="M152" s="271">
        <f t="shared" si="62"/>
        <v>0</v>
      </c>
      <c r="N152" s="273"/>
      <c r="O152" s="271">
        <f>ROUND(L152,0)</f>
        <v>330452</v>
      </c>
      <c r="P152" s="271">
        <f t="shared" si="63"/>
        <v>0</v>
      </c>
      <c r="Q152" s="273"/>
      <c r="R152" s="271">
        <f>ROUND(O152,0)</f>
        <v>330452</v>
      </c>
      <c r="S152" s="271">
        <f t="shared" si="64"/>
        <v>0</v>
      </c>
      <c r="T152" s="273"/>
      <c r="U152" s="271">
        <f>ROUND(R152,0)</f>
        <v>330452</v>
      </c>
      <c r="V152" s="271">
        <f t="shared" si="65"/>
        <v>0</v>
      </c>
      <c r="W152" s="273"/>
      <c r="X152" s="271">
        <f>ROUND(U152,0)</f>
        <v>330452</v>
      </c>
      <c r="Y152" s="271">
        <f t="shared" si="66"/>
        <v>0</v>
      </c>
      <c r="Z152" s="273"/>
    </row>
    <row r="153" spans="2:26" ht="19.5" customHeight="1" x14ac:dyDescent="0.25">
      <c r="B153" s="183" t="s">
        <v>775</v>
      </c>
      <c r="C153" s="258" t="s">
        <v>776</v>
      </c>
      <c r="D153" s="270" t="s">
        <v>777</v>
      </c>
      <c r="E153" s="272">
        <v>393055</v>
      </c>
      <c r="F153" s="272">
        <f>ROUND(E153,0)</f>
        <v>393055</v>
      </c>
      <c r="G153" s="271">
        <f t="shared" si="60"/>
        <v>0</v>
      </c>
      <c r="H153" s="191"/>
      <c r="I153" s="271">
        <f>ROUND(F153,0)</f>
        <v>393055</v>
      </c>
      <c r="J153" s="271">
        <f t="shared" si="61"/>
        <v>0</v>
      </c>
      <c r="K153" s="192"/>
      <c r="L153" s="271">
        <f>ROUND(I153,0)</f>
        <v>393055</v>
      </c>
      <c r="M153" s="271">
        <f t="shared" si="62"/>
        <v>0</v>
      </c>
      <c r="N153" s="192"/>
      <c r="O153" s="271">
        <f>ROUND(L153,0)</f>
        <v>393055</v>
      </c>
      <c r="P153" s="271">
        <f t="shared" si="63"/>
        <v>0</v>
      </c>
      <c r="Q153" s="192"/>
      <c r="R153" s="271">
        <f>ROUND(O153,0)</f>
        <v>393055</v>
      </c>
      <c r="S153" s="271">
        <f t="shared" si="64"/>
        <v>0</v>
      </c>
      <c r="T153" s="192"/>
      <c r="U153" s="271">
        <f>ROUND(R153,0)</f>
        <v>393055</v>
      </c>
      <c r="V153" s="271">
        <f t="shared" si="65"/>
        <v>0</v>
      </c>
      <c r="W153" s="192" t="s">
        <v>778</v>
      </c>
      <c r="X153" s="271">
        <f>ROUND(U153,0)</f>
        <v>393055</v>
      </c>
      <c r="Y153" s="271">
        <f t="shared" si="66"/>
        <v>0</v>
      </c>
      <c r="Z153" s="192"/>
    </row>
    <row r="154" spans="2:26" x14ac:dyDescent="0.25">
      <c r="C154" s="258" t="s">
        <v>779</v>
      </c>
      <c r="D154" s="270" t="s">
        <v>780</v>
      </c>
      <c r="E154" s="272">
        <v>1839370</v>
      </c>
      <c r="F154" s="272">
        <f t="shared" ref="F154:G154" si="78">SUM(F155:F171)</f>
        <v>1839370</v>
      </c>
      <c r="G154" s="271">
        <f t="shared" si="78"/>
        <v>0</v>
      </c>
      <c r="H154" s="274"/>
      <c r="I154" s="271">
        <f>SUM(I155:I171)</f>
        <v>1841370</v>
      </c>
      <c r="J154" s="271">
        <f t="shared" si="61"/>
        <v>2000</v>
      </c>
      <c r="K154" s="271"/>
      <c r="L154" s="271">
        <f>SUM(L155:L171)</f>
        <v>1834021</v>
      </c>
      <c r="M154" s="271">
        <f t="shared" si="62"/>
        <v>-7349</v>
      </c>
      <c r="N154" s="271"/>
      <c r="O154" s="271">
        <f>SUM(O155:O171)</f>
        <v>1862424</v>
      </c>
      <c r="P154" s="271">
        <f t="shared" si="63"/>
        <v>28403</v>
      </c>
      <c r="Q154" s="271"/>
      <c r="R154" s="271">
        <f>SUM(R155:R171)</f>
        <v>1777862</v>
      </c>
      <c r="S154" s="271">
        <f t="shared" si="64"/>
        <v>-84562</v>
      </c>
      <c r="T154" s="271"/>
      <c r="U154" s="271">
        <f>SUM(U155:U171)</f>
        <v>1777862</v>
      </c>
      <c r="V154" s="271">
        <f t="shared" si="65"/>
        <v>0</v>
      </c>
      <c r="W154" s="271"/>
      <c r="X154" s="271">
        <f>SUM(X155:X171)</f>
        <v>1777862</v>
      </c>
      <c r="Y154" s="271">
        <f t="shared" si="66"/>
        <v>0</v>
      </c>
      <c r="Z154" s="271"/>
    </row>
    <row r="155" spans="2:26" ht="15" customHeight="1" x14ac:dyDescent="0.25">
      <c r="B155" s="183" t="s">
        <v>587</v>
      </c>
      <c r="C155" s="266" t="s">
        <v>781</v>
      </c>
      <c r="D155" s="231" t="s">
        <v>782</v>
      </c>
      <c r="E155" s="135">
        <v>696938</v>
      </c>
      <c r="F155" s="135">
        <f>ROUND(E155,0)</f>
        <v>696938</v>
      </c>
      <c r="G155" s="134">
        <f t="shared" si="60"/>
        <v>0</v>
      </c>
      <c r="H155" s="275"/>
      <c r="I155" s="134">
        <f>ROUND(F155,0)+2000</f>
        <v>698938</v>
      </c>
      <c r="J155" s="134">
        <f t="shared" si="61"/>
        <v>2000</v>
      </c>
      <c r="K155" s="157" t="s">
        <v>783</v>
      </c>
      <c r="L155" s="134">
        <f>ROUND(I155,0)-7349+5000+26640</f>
        <v>723229</v>
      </c>
      <c r="M155" s="134">
        <f t="shared" si="62"/>
        <v>24291</v>
      </c>
      <c r="N155" s="157" t="s">
        <v>784</v>
      </c>
      <c r="O155" s="134">
        <f>ROUND(L155,0)-5801-44284-3347</f>
        <v>669797</v>
      </c>
      <c r="P155" s="134">
        <f t="shared" si="63"/>
        <v>-53432</v>
      </c>
      <c r="Q155" s="157" t="s">
        <v>785</v>
      </c>
      <c r="R155" s="134">
        <f>ROUND(O155,0)+44284-85085-120000+19840+1500+1500</f>
        <v>531836</v>
      </c>
      <c r="S155" s="276">
        <f t="shared" si="64"/>
        <v>-137961</v>
      </c>
      <c r="T155" s="277" t="s">
        <v>786</v>
      </c>
      <c r="U155" s="134">
        <f>ROUND(R155,0)</f>
        <v>531836</v>
      </c>
      <c r="V155" s="134">
        <f t="shared" si="65"/>
        <v>0</v>
      </c>
      <c r="W155" s="138"/>
      <c r="X155" s="134">
        <f>ROUND(U155,0)</f>
        <v>531836</v>
      </c>
      <c r="Y155" s="134">
        <f t="shared" si="66"/>
        <v>0</v>
      </c>
      <c r="Z155" s="138"/>
    </row>
    <row r="156" spans="2:26" ht="18.600000000000001" customHeight="1" x14ac:dyDescent="0.25">
      <c r="B156" s="183" t="s">
        <v>787</v>
      </c>
      <c r="C156" s="266" t="s">
        <v>788</v>
      </c>
      <c r="D156" s="231" t="s">
        <v>789</v>
      </c>
      <c r="E156" s="135">
        <v>40000</v>
      </c>
      <c r="F156" s="135">
        <f t="shared" ref="F156:F171" si="79">ROUND(E156,0)</f>
        <v>40000</v>
      </c>
      <c r="G156" s="134">
        <f t="shared" si="60"/>
        <v>0</v>
      </c>
      <c r="H156" s="275"/>
      <c r="I156" s="134">
        <f t="shared" ref="I156:I168" si="80">ROUND(F156,0)</f>
        <v>40000</v>
      </c>
      <c r="J156" s="134">
        <f t="shared" si="61"/>
        <v>0</v>
      </c>
      <c r="K156" s="157"/>
      <c r="L156" s="134">
        <f>ROUND(I156,0)</f>
        <v>40000</v>
      </c>
      <c r="M156" s="134">
        <f t="shared" si="62"/>
        <v>0</v>
      </c>
      <c r="N156" s="157"/>
      <c r="O156" s="134">
        <f>ROUND(L156,0)</f>
        <v>40000</v>
      </c>
      <c r="P156" s="134">
        <f t="shared" si="63"/>
        <v>0</v>
      </c>
      <c r="Q156" s="157"/>
      <c r="R156" s="134">
        <f t="shared" ref="R156:R162" si="81">ROUND(O156,0)</f>
        <v>40000</v>
      </c>
      <c r="S156" s="134">
        <f t="shared" si="64"/>
        <v>0</v>
      </c>
      <c r="T156" s="157"/>
      <c r="U156" s="134">
        <f t="shared" ref="U156:U171" si="82">ROUND(R156,0)</f>
        <v>40000</v>
      </c>
      <c r="V156" s="134">
        <f t="shared" si="65"/>
        <v>0</v>
      </c>
      <c r="W156" s="157"/>
      <c r="X156" s="134">
        <f t="shared" ref="X156:X171" si="83">ROUND(U156,0)</f>
        <v>40000</v>
      </c>
      <c r="Y156" s="134">
        <f t="shared" si="66"/>
        <v>0</v>
      </c>
      <c r="Z156" s="157"/>
    </row>
    <row r="157" spans="2:26" ht="16.5" customHeight="1" x14ac:dyDescent="0.25">
      <c r="B157" s="183" t="s">
        <v>787</v>
      </c>
      <c r="C157" s="266" t="s">
        <v>790</v>
      </c>
      <c r="D157" s="231" t="s">
        <v>791</v>
      </c>
      <c r="E157" s="135">
        <v>15094</v>
      </c>
      <c r="F157" s="135">
        <f t="shared" si="79"/>
        <v>15094</v>
      </c>
      <c r="G157" s="134">
        <f t="shared" si="60"/>
        <v>0</v>
      </c>
      <c r="H157" s="275"/>
      <c r="I157" s="134">
        <f t="shared" si="80"/>
        <v>15094</v>
      </c>
      <c r="J157" s="134">
        <f t="shared" si="61"/>
        <v>0</v>
      </c>
      <c r="K157" s="157"/>
      <c r="L157" s="134">
        <f>ROUND(I157,0)</f>
        <v>15094</v>
      </c>
      <c r="M157" s="134">
        <f t="shared" si="62"/>
        <v>0</v>
      </c>
      <c r="N157" s="157"/>
      <c r="O157" s="134">
        <f>ROUND(L157,0)</f>
        <v>15094</v>
      </c>
      <c r="P157" s="134">
        <f t="shared" si="63"/>
        <v>0</v>
      </c>
      <c r="Q157" s="157"/>
      <c r="R157" s="134">
        <f t="shared" si="81"/>
        <v>15094</v>
      </c>
      <c r="S157" s="134">
        <f t="shared" si="64"/>
        <v>0</v>
      </c>
      <c r="T157" s="157"/>
      <c r="U157" s="134">
        <f t="shared" si="82"/>
        <v>15094</v>
      </c>
      <c r="V157" s="134">
        <f t="shared" si="65"/>
        <v>0</v>
      </c>
      <c r="W157" s="157"/>
      <c r="X157" s="134">
        <f t="shared" si="83"/>
        <v>15094</v>
      </c>
      <c r="Y157" s="134">
        <f t="shared" si="66"/>
        <v>0</v>
      </c>
      <c r="Z157" s="157"/>
    </row>
    <row r="158" spans="2:26" ht="28.15" customHeight="1" x14ac:dyDescent="0.25">
      <c r="B158" s="183" t="s">
        <v>792</v>
      </c>
      <c r="C158" s="278" t="s">
        <v>793</v>
      </c>
      <c r="D158" s="186" t="s">
        <v>794</v>
      </c>
      <c r="E158" s="135">
        <v>50458</v>
      </c>
      <c r="F158" s="135">
        <f>ROUND(E158,0)</f>
        <v>50458</v>
      </c>
      <c r="G158" s="134">
        <f t="shared" si="60"/>
        <v>0</v>
      </c>
      <c r="H158" s="275"/>
      <c r="I158" s="134">
        <f t="shared" si="80"/>
        <v>50458</v>
      </c>
      <c r="J158" s="134">
        <f t="shared" si="61"/>
        <v>0</v>
      </c>
      <c r="K158" s="157"/>
      <c r="L158" s="134">
        <f>ROUND(I158,0)</f>
        <v>50458</v>
      </c>
      <c r="M158" s="134">
        <f t="shared" si="62"/>
        <v>0</v>
      </c>
      <c r="N158" s="157"/>
      <c r="O158" s="134">
        <f>ROUND(L158,0)</f>
        <v>50458</v>
      </c>
      <c r="P158" s="134">
        <f t="shared" si="63"/>
        <v>0</v>
      </c>
      <c r="Q158" s="157"/>
      <c r="R158" s="134">
        <f t="shared" si="81"/>
        <v>50458</v>
      </c>
      <c r="S158" s="134">
        <f t="shared" si="64"/>
        <v>0</v>
      </c>
      <c r="T158" s="157"/>
      <c r="U158" s="134">
        <f t="shared" si="82"/>
        <v>50458</v>
      </c>
      <c r="V158" s="134">
        <f t="shared" si="65"/>
        <v>0</v>
      </c>
      <c r="W158" s="157"/>
      <c r="X158" s="134">
        <f t="shared" si="83"/>
        <v>50458</v>
      </c>
      <c r="Y158" s="134">
        <f t="shared" si="66"/>
        <v>0</v>
      </c>
      <c r="Z158" s="157"/>
    </row>
    <row r="159" spans="2:26" ht="40.9" customHeight="1" x14ac:dyDescent="0.25">
      <c r="B159" s="183" t="s">
        <v>795</v>
      </c>
      <c r="C159" s="278" t="s">
        <v>796</v>
      </c>
      <c r="D159" s="279" t="s">
        <v>797</v>
      </c>
      <c r="E159" s="135">
        <v>145650</v>
      </c>
      <c r="F159" s="135">
        <f t="shared" si="79"/>
        <v>145650</v>
      </c>
      <c r="G159" s="134">
        <f t="shared" si="60"/>
        <v>0</v>
      </c>
      <c r="H159" s="275"/>
      <c r="I159" s="134">
        <f>ROUND(F159,0)</f>
        <v>145650</v>
      </c>
      <c r="J159" s="134">
        <f t="shared" si="61"/>
        <v>0</v>
      </c>
      <c r="K159" s="157"/>
      <c r="L159" s="134">
        <f>ROUND(I159,0)-5000-26640</f>
        <v>114010</v>
      </c>
      <c r="M159" s="134">
        <f t="shared" si="62"/>
        <v>-31640</v>
      </c>
      <c r="N159" s="157" t="s">
        <v>798</v>
      </c>
      <c r="O159" s="134">
        <f>ROUND(L159,0)+3347</f>
        <v>117357</v>
      </c>
      <c r="P159" s="134">
        <f t="shared" si="63"/>
        <v>3347</v>
      </c>
      <c r="Q159" s="157" t="s">
        <v>799</v>
      </c>
      <c r="R159" s="134">
        <f t="shared" si="81"/>
        <v>117357</v>
      </c>
      <c r="S159" s="134">
        <f t="shared" si="64"/>
        <v>0</v>
      </c>
      <c r="T159" s="157"/>
      <c r="U159" s="134">
        <f t="shared" si="82"/>
        <v>117357</v>
      </c>
      <c r="V159" s="134">
        <f t="shared" si="65"/>
        <v>0</v>
      </c>
      <c r="W159" s="157"/>
      <c r="X159" s="134">
        <f t="shared" si="83"/>
        <v>117357</v>
      </c>
      <c r="Y159" s="134">
        <f t="shared" si="66"/>
        <v>0</v>
      </c>
      <c r="Z159" s="157"/>
    </row>
    <row r="160" spans="2:26" ht="22.9" customHeight="1" x14ac:dyDescent="0.25">
      <c r="B160" s="183" t="s">
        <v>800</v>
      </c>
      <c r="C160" s="278" t="s">
        <v>801</v>
      </c>
      <c r="D160" s="279" t="s">
        <v>335</v>
      </c>
      <c r="E160" s="135">
        <v>397337</v>
      </c>
      <c r="F160" s="135">
        <f t="shared" si="79"/>
        <v>397337</v>
      </c>
      <c r="G160" s="134">
        <f t="shared" si="60"/>
        <v>0</v>
      </c>
      <c r="H160" s="275"/>
      <c r="I160" s="134">
        <f t="shared" si="80"/>
        <v>397337</v>
      </c>
      <c r="J160" s="134">
        <f t="shared" si="61"/>
        <v>0</v>
      </c>
      <c r="K160" s="157"/>
      <c r="L160" s="134">
        <f t="shared" ref="L160:L168" si="84">ROUND(I160,0)</f>
        <v>397337</v>
      </c>
      <c r="M160" s="134">
        <f t="shared" si="62"/>
        <v>0</v>
      </c>
      <c r="N160" s="157"/>
      <c r="O160" s="134">
        <f>ROUND(L160,0)</f>
        <v>397337</v>
      </c>
      <c r="P160" s="134">
        <f t="shared" si="63"/>
        <v>0</v>
      </c>
      <c r="Q160" s="157"/>
      <c r="R160" s="134">
        <f t="shared" si="81"/>
        <v>397337</v>
      </c>
      <c r="S160" s="134">
        <f t="shared" si="64"/>
        <v>0</v>
      </c>
      <c r="T160" s="157"/>
      <c r="U160" s="134">
        <f t="shared" si="82"/>
        <v>397337</v>
      </c>
      <c r="V160" s="134">
        <f t="shared" si="65"/>
        <v>0</v>
      </c>
      <c r="W160" s="157"/>
      <c r="X160" s="134">
        <f t="shared" si="83"/>
        <v>397337</v>
      </c>
      <c r="Y160" s="134">
        <f t="shared" si="66"/>
        <v>0</v>
      </c>
      <c r="Z160" s="157"/>
    </row>
    <row r="161" spans="2:26" ht="15" customHeight="1" x14ac:dyDescent="0.25">
      <c r="B161" s="280" t="s">
        <v>802</v>
      </c>
      <c r="C161" s="278" t="s">
        <v>803</v>
      </c>
      <c r="D161" s="279" t="s">
        <v>571</v>
      </c>
      <c r="E161" s="135">
        <v>207440</v>
      </c>
      <c r="F161" s="135">
        <f t="shared" si="79"/>
        <v>207440</v>
      </c>
      <c r="G161" s="134">
        <f t="shared" si="60"/>
        <v>0</v>
      </c>
      <c r="H161" s="161"/>
      <c r="I161" s="134">
        <f t="shared" si="80"/>
        <v>207440</v>
      </c>
      <c r="J161" s="134">
        <f t="shared" si="61"/>
        <v>0</v>
      </c>
      <c r="K161" s="138"/>
      <c r="L161" s="134">
        <f t="shared" si="84"/>
        <v>207440</v>
      </c>
      <c r="M161" s="134">
        <f t="shared" si="62"/>
        <v>0</v>
      </c>
      <c r="N161" s="138"/>
      <c r="O161" s="134">
        <f>ROUND(L161,0)+22000+50687</f>
        <v>280127</v>
      </c>
      <c r="P161" s="134">
        <f t="shared" si="63"/>
        <v>72687</v>
      </c>
      <c r="Q161" s="138" t="s">
        <v>804</v>
      </c>
      <c r="R161" s="134">
        <f t="shared" si="81"/>
        <v>280127</v>
      </c>
      <c r="S161" s="134">
        <f t="shared" si="64"/>
        <v>0</v>
      </c>
      <c r="T161" s="138"/>
      <c r="U161" s="134">
        <f t="shared" si="82"/>
        <v>280127</v>
      </c>
      <c r="V161" s="134">
        <f t="shared" si="65"/>
        <v>0</v>
      </c>
      <c r="W161" s="138"/>
      <c r="X161" s="134">
        <f t="shared" si="83"/>
        <v>280127</v>
      </c>
      <c r="Y161" s="134">
        <f t="shared" si="66"/>
        <v>0</v>
      </c>
      <c r="Z161" s="138"/>
    </row>
    <row r="162" spans="2:26" ht="39.6" customHeight="1" x14ac:dyDescent="0.25">
      <c r="B162" s="183" t="s">
        <v>805</v>
      </c>
      <c r="C162" s="278" t="s">
        <v>806</v>
      </c>
      <c r="D162" s="279" t="s">
        <v>574</v>
      </c>
      <c r="E162" s="135">
        <v>14067</v>
      </c>
      <c r="F162" s="135">
        <f t="shared" si="79"/>
        <v>14067</v>
      </c>
      <c r="G162" s="134">
        <f t="shared" si="60"/>
        <v>0</v>
      </c>
      <c r="H162" s="161"/>
      <c r="I162" s="134">
        <f t="shared" si="80"/>
        <v>14067</v>
      </c>
      <c r="J162" s="134">
        <f t="shared" si="61"/>
        <v>0</v>
      </c>
      <c r="K162" s="138"/>
      <c r="L162" s="134">
        <f t="shared" si="84"/>
        <v>14067</v>
      </c>
      <c r="M162" s="134">
        <f t="shared" si="62"/>
        <v>0</v>
      </c>
      <c r="N162" s="138"/>
      <c r="O162" s="134">
        <f>ROUND(L162,0)+5801</f>
        <v>19868</v>
      </c>
      <c r="P162" s="134">
        <f t="shared" si="63"/>
        <v>5801</v>
      </c>
      <c r="Q162" s="138" t="s">
        <v>807</v>
      </c>
      <c r="R162" s="134">
        <f t="shared" si="81"/>
        <v>19868</v>
      </c>
      <c r="S162" s="134">
        <f t="shared" si="64"/>
        <v>0</v>
      </c>
      <c r="T162" s="138"/>
      <c r="U162" s="134">
        <f t="shared" si="82"/>
        <v>19868</v>
      </c>
      <c r="V162" s="134">
        <f t="shared" si="65"/>
        <v>0</v>
      </c>
      <c r="W162" s="138"/>
      <c r="X162" s="134">
        <f t="shared" si="83"/>
        <v>19868</v>
      </c>
      <c r="Y162" s="134">
        <f t="shared" si="66"/>
        <v>0</v>
      </c>
      <c r="Z162" s="138"/>
    </row>
    <row r="163" spans="2:26" ht="33" customHeight="1" x14ac:dyDescent="0.25">
      <c r="B163" s="183" t="s">
        <v>808</v>
      </c>
      <c r="C163" s="278" t="s">
        <v>809</v>
      </c>
      <c r="D163" s="279" t="s">
        <v>576</v>
      </c>
      <c r="E163" s="135">
        <v>7900</v>
      </c>
      <c r="F163" s="135">
        <f t="shared" si="79"/>
        <v>7900</v>
      </c>
      <c r="G163" s="134">
        <f t="shared" si="60"/>
        <v>0</v>
      </c>
      <c r="H163" s="161"/>
      <c r="I163" s="134">
        <f t="shared" si="80"/>
        <v>7900</v>
      </c>
      <c r="J163" s="134">
        <f t="shared" si="61"/>
        <v>0</v>
      </c>
      <c r="K163" s="138"/>
      <c r="L163" s="134">
        <f t="shared" si="84"/>
        <v>7900</v>
      </c>
      <c r="M163" s="134">
        <f t="shared" si="62"/>
        <v>0</v>
      </c>
      <c r="N163" s="138"/>
      <c r="O163" s="134">
        <f t="shared" ref="O163:O171" si="85">ROUND(L163,0)</f>
        <v>7900</v>
      </c>
      <c r="P163" s="134">
        <f t="shared" si="63"/>
        <v>0</v>
      </c>
      <c r="Q163" s="138"/>
      <c r="R163" s="134">
        <f>ROUND(O163,0)+12598</f>
        <v>20498</v>
      </c>
      <c r="S163" s="276">
        <f t="shared" si="64"/>
        <v>12598</v>
      </c>
      <c r="T163" s="277" t="s">
        <v>810</v>
      </c>
      <c r="U163" s="134">
        <f t="shared" si="82"/>
        <v>20498</v>
      </c>
      <c r="V163" s="134">
        <f t="shared" si="65"/>
        <v>0</v>
      </c>
      <c r="W163" s="138"/>
      <c r="X163" s="134">
        <f t="shared" si="83"/>
        <v>20498</v>
      </c>
      <c r="Y163" s="134">
        <f t="shared" si="66"/>
        <v>0</v>
      </c>
      <c r="Z163" s="138"/>
    </row>
    <row r="164" spans="2:26" ht="17.45" customHeight="1" x14ac:dyDescent="0.25">
      <c r="B164" s="183" t="s">
        <v>587</v>
      </c>
      <c r="C164" s="278" t="s">
        <v>811</v>
      </c>
      <c r="D164" s="279" t="s">
        <v>579</v>
      </c>
      <c r="E164" s="135">
        <v>9000</v>
      </c>
      <c r="F164" s="135">
        <f t="shared" si="79"/>
        <v>9000</v>
      </c>
      <c r="G164" s="134">
        <f t="shared" si="60"/>
        <v>0</v>
      </c>
      <c r="H164" s="161"/>
      <c r="I164" s="134">
        <f t="shared" si="80"/>
        <v>9000</v>
      </c>
      <c r="J164" s="134">
        <f t="shared" si="61"/>
        <v>0</v>
      </c>
      <c r="K164" s="138"/>
      <c r="L164" s="134">
        <f t="shared" si="84"/>
        <v>9000</v>
      </c>
      <c r="M164" s="134">
        <f t="shared" si="62"/>
        <v>0</v>
      </c>
      <c r="N164" s="138"/>
      <c r="O164" s="134">
        <f t="shared" si="85"/>
        <v>9000</v>
      </c>
      <c r="P164" s="134">
        <f t="shared" si="63"/>
        <v>0</v>
      </c>
      <c r="Q164" s="138"/>
      <c r="R164" s="134">
        <f t="shared" ref="R164:R171" si="86">ROUND(O164,0)</f>
        <v>9000</v>
      </c>
      <c r="S164" s="134">
        <f t="shared" si="64"/>
        <v>0</v>
      </c>
      <c r="T164" s="138"/>
      <c r="U164" s="134">
        <f t="shared" si="82"/>
        <v>9000</v>
      </c>
      <c r="V164" s="134">
        <f t="shared" si="65"/>
        <v>0</v>
      </c>
      <c r="W164" s="138"/>
      <c r="X164" s="134">
        <f t="shared" si="83"/>
        <v>9000</v>
      </c>
      <c r="Y164" s="134">
        <f t="shared" si="66"/>
        <v>0</v>
      </c>
      <c r="Z164" s="138"/>
    </row>
    <row r="165" spans="2:26" ht="55.9" customHeight="1" x14ac:dyDescent="0.25">
      <c r="B165" s="183" t="s">
        <v>587</v>
      </c>
      <c r="C165" s="278" t="s">
        <v>812</v>
      </c>
      <c r="D165" s="279" t="s">
        <v>581</v>
      </c>
      <c r="E165" s="135">
        <v>12020</v>
      </c>
      <c r="F165" s="135">
        <f t="shared" si="79"/>
        <v>12020</v>
      </c>
      <c r="G165" s="134">
        <f t="shared" si="60"/>
        <v>0</v>
      </c>
      <c r="H165" s="161"/>
      <c r="I165" s="134">
        <f t="shared" si="80"/>
        <v>12020</v>
      </c>
      <c r="J165" s="134">
        <f t="shared" si="61"/>
        <v>0</v>
      </c>
      <c r="K165" s="138"/>
      <c r="L165" s="134">
        <f t="shared" si="84"/>
        <v>12020</v>
      </c>
      <c r="M165" s="134">
        <f t="shared" si="62"/>
        <v>0</v>
      </c>
      <c r="N165" s="138"/>
      <c r="O165" s="134">
        <f t="shared" si="85"/>
        <v>12020</v>
      </c>
      <c r="P165" s="134">
        <f t="shared" si="63"/>
        <v>0</v>
      </c>
      <c r="Q165" s="138"/>
      <c r="R165" s="134">
        <f t="shared" si="86"/>
        <v>12020</v>
      </c>
      <c r="S165" s="134">
        <f t="shared" si="64"/>
        <v>0</v>
      </c>
      <c r="T165" s="138"/>
      <c r="U165" s="134">
        <f t="shared" si="82"/>
        <v>12020</v>
      </c>
      <c r="V165" s="134">
        <f t="shared" si="65"/>
        <v>0</v>
      </c>
      <c r="W165" s="138"/>
      <c r="X165" s="134">
        <f t="shared" si="83"/>
        <v>12020</v>
      </c>
      <c r="Y165" s="134">
        <f t="shared" si="66"/>
        <v>0</v>
      </c>
      <c r="Z165" s="138"/>
    </row>
    <row r="166" spans="2:26" ht="40.9" customHeight="1" x14ac:dyDescent="0.25">
      <c r="B166" s="183" t="s">
        <v>587</v>
      </c>
      <c r="C166" s="278" t="s">
        <v>813</v>
      </c>
      <c r="D166" s="279" t="s">
        <v>583</v>
      </c>
      <c r="E166" s="135">
        <v>30655</v>
      </c>
      <c r="F166" s="135">
        <f t="shared" si="79"/>
        <v>30655</v>
      </c>
      <c r="G166" s="134">
        <f t="shared" si="60"/>
        <v>0</v>
      </c>
      <c r="H166" s="161"/>
      <c r="I166" s="134">
        <f t="shared" si="80"/>
        <v>30655</v>
      </c>
      <c r="J166" s="134">
        <f t="shared" si="61"/>
        <v>0</v>
      </c>
      <c r="K166" s="138"/>
      <c r="L166" s="134">
        <f t="shared" si="84"/>
        <v>30655</v>
      </c>
      <c r="M166" s="134">
        <f t="shared" si="62"/>
        <v>0</v>
      </c>
      <c r="N166" s="138"/>
      <c r="O166" s="134">
        <f t="shared" si="85"/>
        <v>30655</v>
      </c>
      <c r="P166" s="134">
        <f t="shared" si="63"/>
        <v>0</v>
      </c>
      <c r="Q166" s="138"/>
      <c r="R166" s="134">
        <f t="shared" si="86"/>
        <v>30655</v>
      </c>
      <c r="S166" s="134">
        <f t="shared" si="64"/>
        <v>0</v>
      </c>
      <c r="T166" s="138"/>
      <c r="U166" s="134">
        <f t="shared" si="82"/>
        <v>30655</v>
      </c>
      <c r="V166" s="134">
        <f t="shared" si="65"/>
        <v>0</v>
      </c>
      <c r="W166" s="138"/>
      <c r="X166" s="134">
        <f t="shared" si="83"/>
        <v>30655</v>
      </c>
      <c r="Y166" s="134">
        <f t="shared" si="66"/>
        <v>0</v>
      </c>
      <c r="Z166" s="138"/>
    </row>
    <row r="167" spans="2:26" ht="16.899999999999999" customHeight="1" x14ac:dyDescent="0.25">
      <c r="B167" s="183" t="s">
        <v>584</v>
      </c>
      <c r="C167" s="278" t="s">
        <v>814</v>
      </c>
      <c r="D167" s="279" t="s">
        <v>586</v>
      </c>
      <c r="E167" s="135">
        <v>168527</v>
      </c>
      <c r="F167" s="135">
        <f t="shared" si="79"/>
        <v>168527</v>
      </c>
      <c r="G167" s="134">
        <f t="shared" si="60"/>
        <v>0</v>
      </c>
      <c r="H167" s="161"/>
      <c r="I167" s="134">
        <f t="shared" si="80"/>
        <v>168527</v>
      </c>
      <c r="J167" s="134">
        <f t="shared" si="61"/>
        <v>0</v>
      </c>
      <c r="K167" s="138"/>
      <c r="L167" s="134">
        <f t="shared" si="84"/>
        <v>168527</v>
      </c>
      <c r="M167" s="134">
        <f t="shared" si="62"/>
        <v>0</v>
      </c>
      <c r="N167" s="138"/>
      <c r="O167" s="134">
        <f t="shared" si="85"/>
        <v>168527</v>
      </c>
      <c r="P167" s="134">
        <f t="shared" si="63"/>
        <v>0</v>
      </c>
      <c r="Q167" s="138"/>
      <c r="R167" s="134">
        <f t="shared" si="86"/>
        <v>168527</v>
      </c>
      <c r="S167" s="134">
        <f t="shared" si="64"/>
        <v>0</v>
      </c>
      <c r="T167" s="138"/>
      <c r="U167" s="134">
        <f t="shared" si="82"/>
        <v>168527</v>
      </c>
      <c r="V167" s="134">
        <f t="shared" si="65"/>
        <v>0</v>
      </c>
      <c r="W167" s="138"/>
      <c r="X167" s="134">
        <f t="shared" si="83"/>
        <v>168527</v>
      </c>
      <c r="Y167" s="134">
        <f t="shared" si="66"/>
        <v>0</v>
      </c>
      <c r="Z167" s="138"/>
    </row>
    <row r="168" spans="2:26" ht="42.6" customHeight="1" x14ac:dyDescent="0.25">
      <c r="B168" s="183" t="s">
        <v>587</v>
      </c>
      <c r="C168" s="278" t="s">
        <v>815</v>
      </c>
      <c r="D168" s="279" t="s">
        <v>816</v>
      </c>
      <c r="E168" s="135">
        <v>44284</v>
      </c>
      <c r="F168" s="135">
        <f t="shared" si="79"/>
        <v>44284</v>
      </c>
      <c r="G168" s="134">
        <f t="shared" si="60"/>
        <v>0</v>
      </c>
      <c r="H168" s="161"/>
      <c r="I168" s="134">
        <f t="shared" si="80"/>
        <v>44284</v>
      </c>
      <c r="J168" s="134">
        <f t="shared" si="61"/>
        <v>0</v>
      </c>
      <c r="K168" s="138"/>
      <c r="L168" s="134">
        <f t="shared" si="84"/>
        <v>44284</v>
      </c>
      <c r="M168" s="134">
        <f t="shared" si="62"/>
        <v>0</v>
      </c>
      <c r="N168" s="138"/>
      <c r="O168" s="134">
        <f t="shared" si="85"/>
        <v>44284</v>
      </c>
      <c r="P168" s="134">
        <f t="shared" si="63"/>
        <v>0</v>
      </c>
      <c r="Q168" s="138"/>
      <c r="R168" s="134">
        <f>ROUND(O168,0)-44284</f>
        <v>0</v>
      </c>
      <c r="S168" s="134">
        <f t="shared" si="64"/>
        <v>-44284</v>
      </c>
      <c r="T168" s="157" t="s">
        <v>817</v>
      </c>
      <c r="U168" s="134">
        <f t="shared" si="82"/>
        <v>0</v>
      </c>
      <c r="V168" s="134">
        <f t="shared" si="65"/>
        <v>0</v>
      </c>
      <c r="W168" s="157"/>
      <c r="X168" s="134">
        <f t="shared" si="83"/>
        <v>0</v>
      </c>
      <c r="Y168" s="134">
        <f t="shared" si="66"/>
        <v>0</v>
      </c>
      <c r="Z168" s="157"/>
    </row>
    <row r="169" spans="2:26" ht="27" customHeight="1" x14ac:dyDescent="0.25">
      <c r="B169" s="183" t="s">
        <v>818</v>
      </c>
      <c r="C169" s="278" t="s">
        <v>819</v>
      </c>
      <c r="D169" s="186" t="s">
        <v>820</v>
      </c>
      <c r="E169" s="135">
        <v>0</v>
      </c>
      <c r="F169" s="135">
        <f t="shared" si="79"/>
        <v>0</v>
      </c>
      <c r="G169" s="134">
        <f t="shared" si="60"/>
        <v>0</v>
      </c>
      <c r="H169" s="275"/>
      <c r="I169" s="134"/>
      <c r="J169" s="134">
        <f t="shared" si="61"/>
        <v>0</v>
      </c>
      <c r="K169" s="157"/>
      <c r="L169" s="134"/>
      <c r="M169" s="134">
        <f t="shared" si="62"/>
        <v>0</v>
      </c>
      <c r="N169" s="157"/>
      <c r="O169" s="134">
        <f t="shared" si="85"/>
        <v>0</v>
      </c>
      <c r="P169" s="134">
        <f t="shared" si="63"/>
        <v>0</v>
      </c>
      <c r="Q169" s="157"/>
      <c r="R169" s="134">
        <f>ROUND(O169,0)+85085</f>
        <v>85085</v>
      </c>
      <c r="S169" s="134">
        <f t="shared" si="64"/>
        <v>85085</v>
      </c>
      <c r="T169" s="157" t="s">
        <v>821</v>
      </c>
      <c r="U169" s="134">
        <f t="shared" si="82"/>
        <v>85085</v>
      </c>
      <c r="V169" s="134">
        <f t="shared" si="65"/>
        <v>0</v>
      </c>
      <c r="W169" s="157"/>
      <c r="X169" s="134">
        <f t="shared" si="83"/>
        <v>85085</v>
      </c>
      <c r="Y169" s="134">
        <f t="shared" si="66"/>
        <v>0</v>
      </c>
      <c r="Z169" s="157"/>
    </row>
    <row r="170" spans="2:26" ht="30.6" customHeight="1" x14ac:dyDescent="0.25">
      <c r="B170" s="183" t="s">
        <v>644</v>
      </c>
      <c r="C170" s="278" t="s">
        <v>822</v>
      </c>
      <c r="D170" s="279" t="s">
        <v>823</v>
      </c>
      <c r="E170" s="135">
        <v>0</v>
      </c>
      <c r="F170" s="135">
        <f t="shared" si="79"/>
        <v>0</v>
      </c>
      <c r="G170" s="134">
        <f t="shared" si="60"/>
        <v>0</v>
      </c>
      <c r="H170" s="275"/>
      <c r="I170" s="134"/>
      <c r="J170" s="134">
        <f t="shared" si="61"/>
        <v>0</v>
      </c>
      <c r="K170" s="281"/>
      <c r="L170" s="134"/>
      <c r="M170" s="134">
        <f t="shared" si="62"/>
        <v>0</v>
      </c>
      <c r="N170" s="157"/>
      <c r="O170" s="134">
        <f t="shared" si="85"/>
        <v>0</v>
      </c>
      <c r="P170" s="134">
        <f t="shared" si="63"/>
        <v>0</v>
      </c>
      <c r="Q170" s="157"/>
      <c r="R170" s="134">
        <f t="shared" si="86"/>
        <v>0</v>
      </c>
      <c r="S170" s="134">
        <f t="shared" si="64"/>
        <v>0</v>
      </c>
      <c r="T170" s="157"/>
      <c r="U170" s="134">
        <f t="shared" si="82"/>
        <v>0</v>
      </c>
      <c r="V170" s="134">
        <f t="shared" si="65"/>
        <v>0</v>
      </c>
      <c r="W170" s="157"/>
      <c r="X170" s="134">
        <f t="shared" si="83"/>
        <v>0</v>
      </c>
      <c r="Y170" s="134">
        <f t="shared" si="66"/>
        <v>0</v>
      </c>
      <c r="Z170" s="157"/>
    </row>
    <row r="171" spans="2:26" ht="32.450000000000003" customHeight="1" x14ac:dyDescent="0.25">
      <c r="B171" s="183" t="s">
        <v>824</v>
      </c>
      <c r="C171" s="278" t="s">
        <v>811</v>
      </c>
      <c r="D171" s="279" t="s">
        <v>613</v>
      </c>
      <c r="E171" s="135">
        <v>0</v>
      </c>
      <c r="F171" s="135">
        <f t="shared" si="79"/>
        <v>0</v>
      </c>
      <c r="G171" s="134">
        <f t="shared" si="60"/>
        <v>0</v>
      </c>
      <c r="H171" s="275"/>
      <c r="I171" s="134"/>
      <c r="J171" s="134">
        <f t="shared" si="61"/>
        <v>0</v>
      </c>
      <c r="K171" s="282"/>
      <c r="L171" s="134"/>
      <c r="M171" s="134">
        <f t="shared" si="62"/>
        <v>0</v>
      </c>
      <c r="N171" s="282"/>
      <c r="O171" s="134">
        <f t="shared" si="85"/>
        <v>0</v>
      </c>
      <c r="P171" s="134">
        <f t="shared" si="63"/>
        <v>0</v>
      </c>
      <c r="Q171" s="282"/>
      <c r="R171" s="134">
        <f t="shared" si="86"/>
        <v>0</v>
      </c>
      <c r="S171" s="134">
        <f t="shared" si="64"/>
        <v>0</v>
      </c>
      <c r="T171" s="282"/>
      <c r="U171" s="134">
        <f t="shared" si="82"/>
        <v>0</v>
      </c>
      <c r="V171" s="134">
        <f t="shared" si="65"/>
        <v>0</v>
      </c>
      <c r="W171" s="282"/>
      <c r="X171" s="134">
        <f t="shared" si="83"/>
        <v>0</v>
      </c>
      <c r="Y171" s="134">
        <f t="shared" si="66"/>
        <v>0</v>
      </c>
      <c r="Z171" s="282"/>
    </row>
    <row r="172" spans="2:26" ht="29.25" customHeight="1" x14ac:dyDescent="0.25">
      <c r="C172" s="258" t="s">
        <v>825</v>
      </c>
      <c r="D172" s="270" t="s">
        <v>826</v>
      </c>
      <c r="E172" s="272">
        <v>11549801.841957785</v>
      </c>
      <c r="F172" s="272">
        <f t="shared" ref="F172" si="87">SUM(F173:F178,F182:F191)</f>
        <v>11653537</v>
      </c>
      <c r="G172" s="271">
        <f t="shared" si="60"/>
        <v>103735.15804221481</v>
      </c>
      <c r="H172" s="283"/>
      <c r="I172" s="271">
        <f>SUM(I173:I178,I182:I191)</f>
        <v>11956848</v>
      </c>
      <c r="J172" s="271">
        <f t="shared" si="61"/>
        <v>303311</v>
      </c>
      <c r="K172" s="284"/>
      <c r="L172" s="271">
        <f>SUM(L173:L178,L182:L191)</f>
        <v>12038272</v>
      </c>
      <c r="M172" s="271">
        <f t="shared" si="62"/>
        <v>81424</v>
      </c>
      <c r="N172" s="284"/>
      <c r="O172" s="271">
        <f>SUM(O173:O178,O182:O191)</f>
        <v>12725876</v>
      </c>
      <c r="P172" s="271">
        <f t="shared" si="63"/>
        <v>687604</v>
      </c>
      <c r="Q172" s="284"/>
      <c r="R172" s="271">
        <f>SUM(R173:R178,R182:R191)</f>
        <v>12924698</v>
      </c>
      <c r="S172" s="271">
        <f t="shared" si="64"/>
        <v>198822</v>
      </c>
      <c r="T172" s="284"/>
      <c r="U172" s="271">
        <f>SUM(U173:U178,U182:U191)</f>
        <v>12936744</v>
      </c>
      <c r="V172" s="271">
        <f t="shared" si="65"/>
        <v>12046</v>
      </c>
      <c r="W172" s="284"/>
      <c r="X172" s="271">
        <f>SUM(X173:X178,X182:X191)</f>
        <v>12936744</v>
      </c>
      <c r="Y172" s="271">
        <f t="shared" si="66"/>
        <v>0</v>
      </c>
      <c r="Z172" s="284"/>
    </row>
    <row r="173" spans="2:26" ht="27.6" customHeight="1" x14ac:dyDescent="0.25">
      <c r="B173" s="183" t="s">
        <v>827</v>
      </c>
      <c r="C173" s="266" t="s">
        <v>828</v>
      </c>
      <c r="D173" s="279" t="s">
        <v>829</v>
      </c>
      <c r="E173" s="135">
        <v>1199200.0293275001</v>
      </c>
      <c r="F173" s="135">
        <f>ROUND(E173,0)</f>
        <v>1199200</v>
      </c>
      <c r="G173" s="134">
        <f t="shared" si="60"/>
        <v>-2.9327500145882368E-2</v>
      </c>
      <c r="H173" s="285"/>
      <c r="I173" s="134">
        <f>ROUND(F173,0)</f>
        <v>1199200</v>
      </c>
      <c r="J173" s="134">
        <f t="shared" si="61"/>
        <v>0</v>
      </c>
      <c r="K173" s="282"/>
      <c r="L173" s="134">
        <f>ROUND(I173,0)</f>
        <v>1199200</v>
      </c>
      <c r="M173" s="134">
        <f t="shared" si="62"/>
        <v>0</v>
      </c>
      <c r="N173" s="282"/>
      <c r="O173" s="134">
        <f>ROUND(L173,0)</f>
        <v>1199200</v>
      </c>
      <c r="P173" s="134">
        <f t="shared" si="63"/>
        <v>0</v>
      </c>
      <c r="Q173" s="282"/>
      <c r="R173" s="134">
        <f>ROUND(O173,0)+2400</f>
        <v>1201600</v>
      </c>
      <c r="S173" s="134">
        <f t="shared" si="64"/>
        <v>2400</v>
      </c>
      <c r="T173" s="282" t="s">
        <v>830</v>
      </c>
      <c r="U173" s="134">
        <f>ROUND(R173,0)</f>
        <v>1201600</v>
      </c>
      <c r="V173" s="134">
        <f t="shared" si="65"/>
        <v>0</v>
      </c>
      <c r="W173" s="282"/>
      <c r="X173" s="134">
        <f>ROUND(U173,0)</f>
        <v>1201600</v>
      </c>
      <c r="Y173" s="134">
        <f t="shared" si="66"/>
        <v>0</v>
      </c>
      <c r="Z173" s="282"/>
    </row>
    <row r="174" spans="2:26" ht="13.9" customHeight="1" x14ac:dyDescent="0.25">
      <c r="B174" s="183" t="s">
        <v>831</v>
      </c>
      <c r="C174" s="266" t="s">
        <v>832</v>
      </c>
      <c r="D174" s="279" t="s">
        <v>833</v>
      </c>
      <c r="E174" s="135">
        <v>1875164.83</v>
      </c>
      <c r="F174" s="135">
        <f t="shared" ref="F174:F187" si="88">ROUND(E174,0)</f>
        <v>1875165</v>
      </c>
      <c r="G174" s="134">
        <f t="shared" si="60"/>
        <v>0.16999999992549419</v>
      </c>
      <c r="H174" s="275"/>
      <c r="I174" s="134">
        <f>ROUND(F174,0)</f>
        <v>1875165</v>
      </c>
      <c r="J174" s="134">
        <f t="shared" si="61"/>
        <v>0</v>
      </c>
      <c r="K174" s="157"/>
      <c r="L174" s="134">
        <f>ROUND(I174,0)</f>
        <v>1875165</v>
      </c>
      <c r="M174" s="134">
        <f t="shared" si="62"/>
        <v>0</v>
      </c>
      <c r="N174" s="157"/>
      <c r="O174" s="134">
        <f>ROUND(L174,0)</f>
        <v>1875165</v>
      </c>
      <c r="P174" s="134">
        <f t="shared" si="63"/>
        <v>0</v>
      </c>
      <c r="Q174" s="157"/>
      <c r="R174" s="134">
        <f>ROUND(O174,0)</f>
        <v>1875165</v>
      </c>
      <c r="S174" s="134">
        <f t="shared" si="64"/>
        <v>0</v>
      </c>
      <c r="T174" s="157"/>
      <c r="U174" s="134">
        <f>ROUND(R174,0)</f>
        <v>1875165</v>
      </c>
      <c r="V174" s="134">
        <f t="shared" si="65"/>
        <v>0</v>
      </c>
      <c r="W174" s="157"/>
      <c r="X174" s="134">
        <f>ROUND(U174,0)</f>
        <v>1875165</v>
      </c>
      <c r="Y174" s="134">
        <f t="shared" si="66"/>
        <v>0</v>
      </c>
      <c r="Z174" s="157"/>
    </row>
    <row r="175" spans="2:26" ht="27" customHeight="1" x14ac:dyDescent="0.25">
      <c r="B175" s="183" t="s">
        <v>565</v>
      </c>
      <c r="C175" s="278" t="s">
        <v>834</v>
      </c>
      <c r="D175" s="279" t="s">
        <v>696</v>
      </c>
      <c r="E175" s="135">
        <v>363351</v>
      </c>
      <c r="F175" s="135">
        <f>ROUND(E175,0)-1-3420+92966</f>
        <v>452896</v>
      </c>
      <c r="G175" s="134">
        <f t="shared" si="60"/>
        <v>89545</v>
      </c>
      <c r="H175" s="157" t="s">
        <v>835</v>
      </c>
      <c r="I175" s="134">
        <f>ROUND(F175,0)</f>
        <v>452896</v>
      </c>
      <c r="J175" s="134">
        <f t="shared" si="61"/>
        <v>0</v>
      </c>
      <c r="K175" s="157"/>
      <c r="L175" s="134">
        <f>ROUND(I175,0)</f>
        <v>452896</v>
      </c>
      <c r="M175" s="134">
        <f t="shared" si="62"/>
        <v>0</v>
      </c>
      <c r="N175" s="157"/>
      <c r="O175" s="134">
        <f>ROUND(L175,0)</f>
        <v>452896</v>
      </c>
      <c r="P175" s="134">
        <f t="shared" si="63"/>
        <v>0</v>
      </c>
      <c r="Q175" s="157"/>
      <c r="R175" s="134">
        <f>ROUND(O175,0)</f>
        <v>452896</v>
      </c>
      <c r="S175" s="134">
        <f t="shared" si="64"/>
        <v>0</v>
      </c>
      <c r="T175" s="157"/>
      <c r="U175" s="134">
        <f>ROUND(R175,0)</f>
        <v>452896</v>
      </c>
      <c r="V175" s="134">
        <f t="shared" si="65"/>
        <v>0</v>
      </c>
      <c r="W175" s="157"/>
      <c r="X175" s="134">
        <f>ROUND(U175,0)</f>
        <v>452896</v>
      </c>
      <c r="Y175" s="134">
        <f t="shared" si="66"/>
        <v>0</v>
      </c>
      <c r="Z175" s="157"/>
    </row>
    <row r="176" spans="2:26" ht="27" customHeight="1" x14ac:dyDescent="0.25">
      <c r="B176" s="183" t="s">
        <v>836</v>
      </c>
      <c r="C176" s="278" t="s">
        <v>837</v>
      </c>
      <c r="D176" s="279" t="s">
        <v>838</v>
      </c>
      <c r="E176" s="135"/>
      <c r="F176" s="135"/>
      <c r="G176" s="134"/>
      <c r="H176" s="157"/>
      <c r="I176" s="134"/>
      <c r="J176" s="134"/>
      <c r="K176" s="157"/>
      <c r="L176" s="134"/>
      <c r="M176" s="134"/>
      <c r="N176" s="157"/>
      <c r="O176" s="134"/>
      <c r="P176" s="134"/>
      <c r="Q176" s="157"/>
      <c r="R176" s="134">
        <v>120000</v>
      </c>
      <c r="S176" s="134">
        <f t="shared" si="64"/>
        <v>120000</v>
      </c>
      <c r="T176" s="157" t="s">
        <v>839</v>
      </c>
      <c r="U176" s="134">
        <v>120000</v>
      </c>
      <c r="V176" s="134">
        <f t="shared" si="65"/>
        <v>0</v>
      </c>
      <c r="W176" s="157"/>
      <c r="X176" s="134">
        <v>120000</v>
      </c>
      <c r="Y176" s="134">
        <f t="shared" si="66"/>
        <v>0</v>
      </c>
      <c r="Z176" s="157"/>
    </row>
    <row r="177" spans="2:26" ht="14.25" customHeight="1" x14ac:dyDescent="0.25">
      <c r="B177" s="183" t="s">
        <v>840</v>
      </c>
      <c r="C177" s="266" t="s">
        <v>841</v>
      </c>
      <c r="D177" s="279" t="s">
        <v>842</v>
      </c>
      <c r="E177" s="135">
        <v>1574037</v>
      </c>
      <c r="F177" s="135">
        <f>ROUND(E177,0)+168382-168382</f>
        <v>1574037</v>
      </c>
      <c r="G177" s="134">
        <f t="shared" si="60"/>
        <v>0</v>
      </c>
      <c r="H177" s="189" t="s">
        <v>843</v>
      </c>
      <c r="I177" s="134">
        <f>ROUND(F177,0)</f>
        <v>1574037</v>
      </c>
      <c r="J177" s="134">
        <f t="shared" si="61"/>
        <v>0</v>
      </c>
      <c r="K177" s="157"/>
      <c r="L177" s="134">
        <f>ROUND(I177,0)</f>
        <v>1574037</v>
      </c>
      <c r="M177" s="134">
        <f t="shared" si="62"/>
        <v>0</v>
      </c>
      <c r="N177" s="157"/>
      <c r="O177" s="134">
        <f>ROUND(L177,0)+680342</f>
        <v>2254379</v>
      </c>
      <c r="P177" s="134">
        <f t="shared" si="63"/>
        <v>680342</v>
      </c>
      <c r="Q177" s="157" t="s">
        <v>674</v>
      </c>
      <c r="R177" s="134">
        <f>ROUND(O177,0)</f>
        <v>2254379</v>
      </c>
      <c r="S177" s="134">
        <f t="shared" si="64"/>
        <v>0</v>
      </c>
      <c r="T177" s="157"/>
      <c r="U177" s="134">
        <f>ROUND(R177,0)</f>
        <v>2254379</v>
      </c>
      <c r="V177" s="134">
        <f t="shared" si="65"/>
        <v>0</v>
      </c>
      <c r="W177" s="157"/>
      <c r="X177" s="134">
        <f>ROUND(U177,0)</f>
        <v>2254379</v>
      </c>
      <c r="Y177" s="134">
        <f t="shared" si="66"/>
        <v>0</v>
      </c>
      <c r="Z177" s="157"/>
    </row>
    <row r="178" spans="2:26" ht="32.25" customHeight="1" x14ac:dyDescent="0.25">
      <c r="B178" s="183" t="s">
        <v>359</v>
      </c>
      <c r="C178" s="266" t="s">
        <v>844</v>
      </c>
      <c r="D178" s="279" t="s">
        <v>845</v>
      </c>
      <c r="E178" s="286">
        <v>5403977.9826302836</v>
      </c>
      <c r="F178" s="286">
        <f>SUM(F179:F181)</f>
        <v>5418168</v>
      </c>
      <c r="G178" s="134">
        <f t="shared" si="60"/>
        <v>14190.017369716428</v>
      </c>
      <c r="H178" s="275"/>
      <c r="I178" s="205">
        <f>SUM(I179:I181)</f>
        <v>5367776</v>
      </c>
      <c r="J178" s="134">
        <f t="shared" si="61"/>
        <v>-50392</v>
      </c>
      <c r="K178" s="157"/>
      <c r="L178" s="205">
        <f>SUM(L179:L181)</f>
        <v>5373200</v>
      </c>
      <c r="M178" s="134">
        <f t="shared" si="62"/>
        <v>5424</v>
      </c>
      <c r="N178" s="157"/>
      <c r="O178" s="205">
        <f>SUM(O179:O181)</f>
        <v>5380462</v>
      </c>
      <c r="P178" s="134">
        <f t="shared" si="63"/>
        <v>7262</v>
      </c>
      <c r="Q178" s="157"/>
      <c r="R178" s="205">
        <f>SUM(R179:R181)</f>
        <v>5420641</v>
      </c>
      <c r="S178" s="134">
        <f t="shared" si="64"/>
        <v>40179</v>
      </c>
      <c r="T178" s="157"/>
      <c r="U178" s="205">
        <f>SUM(U179:U181)</f>
        <v>5452687</v>
      </c>
      <c r="V178" s="134">
        <f t="shared" si="65"/>
        <v>32046</v>
      </c>
      <c r="W178" s="157"/>
      <c r="X178" s="205">
        <f>SUM(X179:X181)</f>
        <v>5446879</v>
      </c>
      <c r="Y178" s="134">
        <f t="shared" si="66"/>
        <v>-5808</v>
      </c>
      <c r="Z178" s="157"/>
    </row>
    <row r="179" spans="2:26" s="295" customFormat="1" ht="31.5" customHeight="1" x14ac:dyDescent="0.25">
      <c r="B179" s="287"/>
      <c r="C179" s="288" t="s">
        <v>846</v>
      </c>
      <c r="D179" s="289" t="s">
        <v>847</v>
      </c>
      <c r="E179" s="291">
        <v>4799085.2470302833</v>
      </c>
      <c r="F179" s="291">
        <f>ROUND(E179,0)+13000-645+1835</f>
        <v>4813275</v>
      </c>
      <c r="G179" s="290">
        <f t="shared" si="60"/>
        <v>14189.752969716676</v>
      </c>
      <c r="H179" s="292" t="s">
        <v>848</v>
      </c>
      <c r="I179" s="293">
        <f>ROUND(F179,0)-10919-6705-19453</f>
        <v>4776198</v>
      </c>
      <c r="J179" s="290">
        <f t="shared" si="61"/>
        <v>-37077</v>
      </c>
      <c r="K179" s="294" t="s">
        <v>849</v>
      </c>
      <c r="L179" s="293">
        <f>ROUND(I179,0)-9076+3500+11000</f>
        <v>4781622</v>
      </c>
      <c r="M179" s="290">
        <f t="shared" si="62"/>
        <v>5424</v>
      </c>
      <c r="N179" s="294" t="s">
        <v>850</v>
      </c>
      <c r="O179" s="293">
        <f>ROUND(L179,0)+276+62+102+28+165+6629</f>
        <v>4788884</v>
      </c>
      <c r="P179" s="290">
        <f t="shared" si="63"/>
        <v>7262</v>
      </c>
      <c r="Q179" s="157" t="s">
        <v>851</v>
      </c>
      <c r="R179" s="293">
        <f>ROUND(O179,0)-6508-328-4600+10757-2978+19000-6000+40000</f>
        <v>4838227</v>
      </c>
      <c r="S179" s="290">
        <f t="shared" si="64"/>
        <v>49343</v>
      </c>
      <c r="T179" s="157" t="s">
        <v>852</v>
      </c>
      <c r="U179" s="293">
        <f>ROUND(R179,0)+4000+4000-7614-12386+20000-7954-3872-18064</f>
        <v>4816337</v>
      </c>
      <c r="V179" s="290">
        <f t="shared" si="65"/>
        <v>-21890</v>
      </c>
      <c r="W179" s="157" t="s">
        <v>853</v>
      </c>
      <c r="X179" s="293">
        <f>ROUND(U179,0)-5808</f>
        <v>4810529</v>
      </c>
      <c r="Y179" s="290">
        <f t="shared" si="66"/>
        <v>-5808</v>
      </c>
      <c r="Z179" s="157" t="s">
        <v>854</v>
      </c>
    </row>
    <row r="180" spans="2:26" s="295" customFormat="1" ht="18.75" customHeight="1" x14ac:dyDescent="0.25">
      <c r="B180" s="287"/>
      <c r="C180" s="288" t="s">
        <v>855</v>
      </c>
      <c r="D180" s="289" t="s">
        <v>856</v>
      </c>
      <c r="E180" s="291">
        <v>350000</v>
      </c>
      <c r="F180" s="291">
        <f t="shared" si="88"/>
        <v>350000</v>
      </c>
      <c r="G180" s="290">
        <f t="shared" si="60"/>
        <v>0</v>
      </c>
      <c r="H180" s="292"/>
      <c r="I180" s="293">
        <f>ROUND(F180,0)-13315</f>
        <v>336685</v>
      </c>
      <c r="J180" s="290">
        <f t="shared" si="61"/>
        <v>-13315</v>
      </c>
      <c r="K180" s="294" t="s">
        <v>754</v>
      </c>
      <c r="L180" s="293">
        <f>ROUND(I180,0)</f>
        <v>336685</v>
      </c>
      <c r="M180" s="290">
        <f t="shared" si="62"/>
        <v>0</v>
      </c>
      <c r="N180" s="294"/>
      <c r="O180" s="293">
        <f t="shared" ref="O180:O191" si="89">ROUND(L180,0)</f>
        <v>336685</v>
      </c>
      <c r="P180" s="290">
        <f t="shared" si="63"/>
        <v>0</v>
      </c>
      <c r="Q180" s="294"/>
      <c r="R180" s="293">
        <f>ROUND(O180,0)-7000-3130-18034</f>
        <v>308521</v>
      </c>
      <c r="S180" s="290">
        <f t="shared" si="64"/>
        <v>-28164</v>
      </c>
      <c r="T180" s="294" t="s">
        <v>857</v>
      </c>
      <c r="U180" s="293">
        <f>ROUND(R180,0)+20000+7614+12386</f>
        <v>348521</v>
      </c>
      <c r="V180" s="290">
        <f t="shared" si="65"/>
        <v>40000</v>
      </c>
      <c r="W180" s="294" t="s">
        <v>858</v>
      </c>
      <c r="X180" s="293">
        <f>ROUND(U180,0)</f>
        <v>348521</v>
      </c>
      <c r="Y180" s="290">
        <f t="shared" si="66"/>
        <v>0</v>
      </c>
      <c r="Z180" s="294"/>
    </row>
    <row r="181" spans="2:26" s="295" customFormat="1" ht="17.25" customHeight="1" x14ac:dyDescent="0.25">
      <c r="B181" s="287"/>
      <c r="C181" s="288" t="s">
        <v>859</v>
      </c>
      <c r="D181" s="289" t="s">
        <v>860</v>
      </c>
      <c r="E181" s="291">
        <v>254892.73560000001</v>
      </c>
      <c r="F181" s="291">
        <f t="shared" si="88"/>
        <v>254893</v>
      </c>
      <c r="G181" s="290">
        <f t="shared" si="60"/>
        <v>0.26439999998547137</v>
      </c>
      <c r="H181" s="292"/>
      <c r="I181" s="293">
        <f>ROUND(F181,0)</f>
        <v>254893</v>
      </c>
      <c r="J181" s="290">
        <f t="shared" si="61"/>
        <v>0</v>
      </c>
      <c r="K181" s="294"/>
      <c r="L181" s="293">
        <f>ROUND(I181,0)</f>
        <v>254893</v>
      </c>
      <c r="M181" s="290">
        <f t="shared" si="62"/>
        <v>0</v>
      </c>
      <c r="N181" s="294"/>
      <c r="O181" s="293">
        <f t="shared" si="89"/>
        <v>254893</v>
      </c>
      <c r="P181" s="290">
        <f t="shared" si="63"/>
        <v>0</v>
      </c>
      <c r="Q181" s="294"/>
      <c r="R181" s="293">
        <f>ROUND(O181,0)+13000+6000</f>
        <v>273893</v>
      </c>
      <c r="S181" s="290">
        <f t="shared" si="64"/>
        <v>19000</v>
      </c>
      <c r="T181" s="294" t="s">
        <v>861</v>
      </c>
      <c r="U181" s="293">
        <f>ROUND(R181,0)-4000-4000+3872+18064</f>
        <v>287829</v>
      </c>
      <c r="V181" s="290">
        <f t="shared" si="65"/>
        <v>13936</v>
      </c>
      <c r="W181" s="157" t="s">
        <v>862</v>
      </c>
      <c r="X181" s="293">
        <f>ROUND(U181,0)</f>
        <v>287829</v>
      </c>
      <c r="Y181" s="290">
        <f t="shared" si="66"/>
        <v>0</v>
      </c>
      <c r="Z181" s="157"/>
    </row>
    <row r="182" spans="2:26" ht="26.45" customHeight="1" x14ac:dyDescent="0.25">
      <c r="B182" s="183" t="s">
        <v>359</v>
      </c>
      <c r="C182" s="278" t="s">
        <v>863</v>
      </c>
      <c r="D182" s="279" t="s">
        <v>864</v>
      </c>
      <c r="E182" s="135">
        <v>35000</v>
      </c>
      <c r="F182" s="135">
        <f t="shared" si="88"/>
        <v>35000</v>
      </c>
      <c r="G182" s="134">
        <f t="shared" si="60"/>
        <v>0</v>
      </c>
      <c r="H182" s="275"/>
      <c r="I182" s="134">
        <f t="shared" ref="I182:I191" si="90">ROUND(F182,0)</f>
        <v>35000</v>
      </c>
      <c r="J182" s="134">
        <f t="shared" si="61"/>
        <v>0</v>
      </c>
      <c r="K182" s="157"/>
      <c r="L182" s="134">
        <f t="shared" ref="L182:L189" si="91">ROUND(I182,0)</f>
        <v>35000</v>
      </c>
      <c r="M182" s="134">
        <f t="shared" si="62"/>
        <v>0</v>
      </c>
      <c r="N182" s="157"/>
      <c r="O182" s="134">
        <f t="shared" si="89"/>
        <v>35000</v>
      </c>
      <c r="P182" s="134">
        <f t="shared" si="63"/>
        <v>0</v>
      </c>
      <c r="Q182" s="157"/>
      <c r="R182" s="134">
        <f>ROUND(O182,0)</f>
        <v>35000</v>
      </c>
      <c r="S182" s="134">
        <f t="shared" si="64"/>
        <v>0</v>
      </c>
      <c r="T182" s="157"/>
      <c r="U182" s="134">
        <f t="shared" ref="U182:U191" si="92">ROUND(R182,0)</f>
        <v>35000</v>
      </c>
      <c r="V182" s="134">
        <f t="shared" si="65"/>
        <v>0</v>
      </c>
      <c r="W182" s="157"/>
      <c r="X182" s="134">
        <f t="shared" ref="X182:X187" si="93">ROUND(U182,0)</f>
        <v>35000</v>
      </c>
      <c r="Y182" s="134">
        <f t="shared" si="66"/>
        <v>0</v>
      </c>
      <c r="Z182" s="157"/>
    </row>
    <row r="183" spans="2:26" ht="41.45" customHeight="1" x14ac:dyDescent="0.25">
      <c r="B183" s="183" t="s">
        <v>359</v>
      </c>
      <c r="C183" s="278" t="s">
        <v>865</v>
      </c>
      <c r="D183" s="279" t="s">
        <v>866</v>
      </c>
      <c r="E183" s="135">
        <v>210000</v>
      </c>
      <c r="F183" s="135">
        <f t="shared" si="88"/>
        <v>210000</v>
      </c>
      <c r="G183" s="134">
        <f t="shared" si="60"/>
        <v>0</v>
      </c>
      <c r="H183" s="275"/>
      <c r="I183" s="134">
        <f>ROUND(F183,0)+90000</f>
        <v>300000</v>
      </c>
      <c r="J183" s="134">
        <f t="shared" si="61"/>
        <v>90000</v>
      </c>
      <c r="K183" s="157" t="s">
        <v>867</v>
      </c>
      <c r="L183" s="134">
        <f t="shared" si="91"/>
        <v>300000</v>
      </c>
      <c r="M183" s="134">
        <f t="shared" si="62"/>
        <v>0</v>
      </c>
      <c r="N183" s="157"/>
      <c r="O183" s="134">
        <f t="shared" si="89"/>
        <v>300000</v>
      </c>
      <c r="P183" s="134">
        <f t="shared" si="63"/>
        <v>0</v>
      </c>
      <c r="Q183" s="157"/>
      <c r="R183" s="134">
        <f t="shared" ref="R183:R189" si="94">ROUND(O183,0)</f>
        <v>300000</v>
      </c>
      <c r="S183" s="134">
        <f t="shared" si="64"/>
        <v>0</v>
      </c>
      <c r="T183" s="157"/>
      <c r="U183" s="134">
        <f t="shared" si="92"/>
        <v>300000</v>
      </c>
      <c r="V183" s="134">
        <f t="shared" si="65"/>
        <v>0</v>
      </c>
      <c r="W183" s="157"/>
      <c r="X183" s="134">
        <f t="shared" si="93"/>
        <v>300000</v>
      </c>
      <c r="Y183" s="134">
        <f t="shared" si="66"/>
        <v>0</v>
      </c>
      <c r="Z183" s="157"/>
    </row>
    <row r="184" spans="2:26" ht="18" customHeight="1" x14ac:dyDescent="0.25">
      <c r="B184" s="183" t="s">
        <v>359</v>
      </c>
      <c r="C184" s="278" t="s">
        <v>868</v>
      </c>
      <c r="D184" s="279" t="s">
        <v>869</v>
      </c>
      <c r="E184" s="135"/>
      <c r="F184" s="135"/>
      <c r="G184" s="134"/>
      <c r="H184" s="275"/>
      <c r="I184" s="134">
        <v>263703</v>
      </c>
      <c r="J184" s="134">
        <f t="shared" si="61"/>
        <v>263703</v>
      </c>
      <c r="K184" s="157"/>
      <c r="L184" s="134">
        <f>ROUND(I184,0)</f>
        <v>263703</v>
      </c>
      <c r="M184" s="134">
        <f>L184-I184</f>
        <v>0</v>
      </c>
      <c r="N184" s="157"/>
      <c r="O184" s="134">
        <f t="shared" si="89"/>
        <v>263703</v>
      </c>
      <c r="P184" s="134">
        <f>O184-L184</f>
        <v>0</v>
      </c>
      <c r="Q184" s="157"/>
      <c r="R184" s="134">
        <f t="shared" si="94"/>
        <v>263703</v>
      </c>
      <c r="S184" s="134">
        <f t="shared" si="64"/>
        <v>0</v>
      </c>
      <c r="T184" s="157"/>
      <c r="U184" s="134">
        <f t="shared" si="92"/>
        <v>263703</v>
      </c>
      <c r="V184" s="134">
        <f t="shared" si="65"/>
        <v>0</v>
      </c>
      <c r="W184" s="157"/>
      <c r="X184" s="134">
        <f t="shared" si="93"/>
        <v>263703</v>
      </c>
      <c r="Y184" s="134">
        <f t="shared" si="66"/>
        <v>0</v>
      </c>
      <c r="Z184" s="157"/>
    </row>
    <row r="185" spans="2:26" ht="30.75" customHeight="1" x14ac:dyDescent="0.25">
      <c r="B185" s="183" t="s">
        <v>359</v>
      </c>
      <c r="C185" s="278" t="s">
        <v>870</v>
      </c>
      <c r="D185" s="279" t="s">
        <v>871</v>
      </c>
      <c r="E185" s="135">
        <v>17500</v>
      </c>
      <c r="F185" s="135">
        <f t="shared" si="88"/>
        <v>17500</v>
      </c>
      <c r="G185" s="134">
        <f t="shared" si="60"/>
        <v>0</v>
      </c>
      <c r="H185" s="275"/>
      <c r="I185" s="134">
        <f t="shared" si="90"/>
        <v>17500</v>
      </c>
      <c r="J185" s="134">
        <f t="shared" si="61"/>
        <v>0</v>
      </c>
      <c r="K185" s="157"/>
      <c r="L185" s="134">
        <f>ROUND(I185,0)</f>
        <v>17500</v>
      </c>
      <c r="M185" s="134">
        <f t="shared" si="62"/>
        <v>0</v>
      </c>
      <c r="N185" s="157"/>
      <c r="O185" s="134">
        <f t="shared" si="89"/>
        <v>17500</v>
      </c>
      <c r="P185" s="134">
        <f t="shared" si="63"/>
        <v>0</v>
      </c>
      <c r="Q185" s="157"/>
      <c r="R185" s="134">
        <f t="shared" si="94"/>
        <v>17500</v>
      </c>
      <c r="S185" s="134">
        <f t="shared" si="64"/>
        <v>0</v>
      </c>
      <c r="T185" s="157"/>
      <c r="U185" s="134">
        <f t="shared" si="92"/>
        <v>17500</v>
      </c>
      <c r="V185" s="134">
        <f t="shared" si="65"/>
        <v>0</v>
      </c>
      <c r="W185" s="157"/>
      <c r="X185" s="134">
        <f>ROUND(U185,0)+5808</f>
        <v>23308</v>
      </c>
      <c r="Y185" s="134">
        <f t="shared" si="66"/>
        <v>5808</v>
      </c>
      <c r="Z185" s="157" t="s">
        <v>854</v>
      </c>
    </row>
    <row r="186" spans="2:26" ht="43.5" customHeight="1" x14ac:dyDescent="0.25">
      <c r="B186" s="183" t="s">
        <v>359</v>
      </c>
      <c r="C186" s="278" t="s">
        <v>872</v>
      </c>
      <c r="D186" s="279" t="s">
        <v>711</v>
      </c>
      <c r="E186" s="135">
        <v>255000</v>
      </c>
      <c r="F186" s="135">
        <f t="shared" si="88"/>
        <v>255000</v>
      </c>
      <c r="G186" s="134">
        <f t="shared" si="60"/>
        <v>0</v>
      </c>
      <c r="H186" s="275"/>
      <c r="I186" s="134">
        <f t="shared" si="90"/>
        <v>255000</v>
      </c>
      <c r="J186" s="134">
        <f t="shared" si="61"/>
        <v>0</v>
      </c>
      <c r="K186" s="157"/>
      <c r="L186" s="134">
        <f t="shared" si="91"/>
        <v>255000</v>
      </c>
      <c r="M186" s="134">
        <f t="shared" si="62"/>
        <v>0</v>
      </c>
      <c r="N186" s="157"/>
      <c r="O186" s="134">
        <f t="shared" si="89"/>
        <v>255000</v>
      </c>
      <c r="P186" s="134">
        <f t="shared" si="63"/>
        <v>0</v>
      </c>
      <c r="Q186" s="157"/>
      <c r="R186" s="134">
        <f>ROUND(O186,0)-15000</f>
        <v>240000</v>
      </c>
      <c r="S186" s="134">
        <f t="shared" si="64"/>
        <v>-15000</v>
      </c>
      <c r="T186" s="157" t="s">
        <v>873</v>
      </c>
      <c r="U186" s="134">
        <f t="shared" si="92"/>
        <v>240000</v>
      </c>
      <c r="V186" s="134">
        <f t="shared" si="65"/>
        <v>0</v>
      </c>
      <c r="W186" s="157"/>
      <c r="X186" s="134">
        <f t="shared" si="93"/>
        <v>240000</v>
      </c>
      <c r="Y186" s="134">
        <f t="shared" si="66"/>
        <v>0</v>
      </c>
      <c r="Z186" s="157"/>
    </row>
    <row r="187" spans="2:26" ht="25.9" customHeight="1" x14ac:dyDescent="0.25">
      <c r="B187" s="183" t="s">
        <v>359</v>
      </c>
      <c r="C187" s="278" t="s">
        <v>874</v>
      </c>
      <c r="D187" s="279" t="s">
        <v>875</v>
      </c>
      <c r="E187" s="135">
        <v>39800</v>
      </c>
      <c r="F187" s="135">
        <f t="shared" si="88"/>
        <v>39800</v>
      </c>
      <c r="G187" s="134">
        <f t="shared" si="60"/>
        <v>0</v>
      </c>
      <c r="H187" s="275"/>
      <c r="I187" s="134">
        <f t="shared" si="90"/>
        <v>39800</v>
      </c>
      <c r="J187" s="134">
        <f t="shared" si="61"/>
        <v>0</v>
      </c>
      <c r="K187" s="157"/>
      <c r="L187" s="134">
        <f t="shared" si="91"/>
        <v>39800</v>
      </c>
      <c r="M187" s="134">
        <f t="shared" si="62"/>
        <v>0</v>
      </c>
      <c r="N187" s="157"/>
      <c r="O187" s="134">
        <f t="shared" si="89"/>
        <v>39800</v>
      </c>
      <c r="P187" s="134">
        <f t="shared" si="63"/>
        <v>0</v>
      </c>
      <c r="Q187" s="157"/>
      <c r="R187" s="134">
        <f>ROUND(O187,0)-10022-10757-19000</f>
        <v>21</v>
      </c>
      <c r="S187" s="134">
        <f t="shared" si="64"/>
        <v>-39779</v>
      </c>
      <c r="T187" s="157" t="s">
        <v>876</v>
      </c>
      <c r="U187" s="134">
        <f t="shared" si="92"/>
        <v>21</v>
      </c>
      <c r="V187" s="134">
        <f t="shared" si="65"/>
        <v>0</v>
      </c>
      <c r="W187" s="157"/>
      <c r="X187" s="134">
        <f t="shared" si="93"/>
        <v>21</v>
      </c>
      <c r="Y187" s="134">
        <f t="shared" si="66"/>
        <v>0</v>
      </c>
      <c r="Z187" s="157"/>
    </row>
    <row r="188" spans="2:26" ht="45.6" customHeight="1" x14ac:dyDescent="0.25">
      <c r="B188" s="183" t="s">
        <v>359</v>
      </c>
      <c r="C188" s="278" t="s">
        <v>874</v>
      </c>
      <c r="D188" s="279" t="s">
        <v>877</v>
      </c>
      <c r="E188" s="135">
        <v>30000</v>
      </c>
      <c r="F188" s="135">
        <f>ROUND(E188,0)</f>
        <v>30000</v>
      </c>
      <c r="G188" s="134">
        <f>F188-E188</f>
        <v>0</v>
      </c>
      <c r="H188" s="275"/>
      <c r="I188" s="134">
        <f>ROUND(F188,0)</f>
        <v>30000</v>
      </c>
      <c r="J188" s="134">
        <f>I188-F188</f>
        <v>0</v>
      </c>
      <c r="K188" s="157"/>
      <c r="L188" s="134">
        <f>ROUND(I188,0)</f>
        <v>30000</v>
      </c>
      <c r="M188" s="134">
        <f>L188-I188</f>
        <v>0</v>
      </c>
      <c r="N188" s="157"/>
      <c r="O188" s="134">
        <f t="shared" si="89"/>
        <v>30000</v>
      </c>
      <c r="P188" s="134">
        <f>O188-L188</f>
        <v>0</v>
      </c>
      <c r="Q188" s="157"/>
      <c r="R188" s="134">
        <f t="shared" si="94"/>
        <v>30000</v>
      </c>
      <c r="S188" s="134">
        <f>R188-O188</f>
        <v>0</v>
      </c>
      <c r="T188" s="157"/>
      <c r="U188" s="134">
        <f>ROUND(R188,0)-20000</f>
        <v>10000</v>
      </c>
      <c r="V188" s="134">
        <f>U188-R188</f>
        <v>-20000</v>
      </c>
      <c r="W188" s="157" t="s">
        <v>878</v>
      </c>
      <c r="X188" s="134">
        <f>ROUND(U188,0)</f>
        <v>10000</v>
      </c>
      <c r="Y188" s="134">
        <f>X188-U188</f>
        <v>0</v>
      </c>
      <c r="Z188" s="157"/>
    </row>
    <row r="189" spans="2:26" ht="16.5" customHeight="1" x14ac:dyDescent="0.25">
      <c r="B189" s="183" t="s">
        <v>614</v>
      </c>
      <c r="C189" s="278" t="s">
        <v>879</v>
      </c>
      <c r="D189" s="279" t="s">
        <v>336</v>
      </c>
      <c r="E189" s="135">
        <v>546771</v>
      </c>
      <c r="F189" s="135">
        <f>ROUND(E189,0)</f>
        <v>546771</v>
      </c>
      <c r="G189" s="134">
        <f>F189-E189</f>
        <v>0</v>
      </c>
      <c r="H189" s="275"/>
      <c r="I189" s="134">
        <f t="shared" si="90"/>
        <v>546771</v>
      </c>
      <c r="J189" s="134">
        <f t="shared" si="61"/>
        <v>0</v>
      </c>
      <c r="K189" s="157"/>
      <c r="L189" s="134">
        <f t="shared" si="91"/>
        <v>546771</v>
      </c>
      <c r="M189" s="134">
        <f t="shared" si="62"/>
        <v>0</v>
      </c>
      <c r="N189" s="157"/>
      <c r="O189" s="134">
        <f t="shared" si="89"/>
        <v>546771</v>
      </c>
      <c r="P189" s="134">
        <f t="shared" si="63"/>
        <v>0</v>
      </c>
      <c r="Q189" s="157"/>
      <c r="R189" s="134">
        <f t="shared" si="94"/>
        <v>546771</v>
      </c>
      <c r="S189" s="134">
        <f t="shared" ref="S189:S259" si="95">R189-O189</f>
        <v>0</v>
      </c>
      <c r="T189" s="157"/>
      <c r="U189" s="134">
        <f t="shared" si="92"/>
        <v>546771</v>
      </c>
      <c r="V189" s="134">
        <f t="shared" ref="V189:V259" si="96">U189-R189</f>
        <v>0</v>
      </c>
      <c r="W189" s="157" t="s">
        <v>880</v>
      </c>
      <c r="X189" s="134">
        <f t="shared" ref="X189:X191" si="97">ROUND(U189,0)</f>
        <v>546771</v>
      </c>
      <c r="Y189" s="134">
        <f t="shared" ref="Y189:Y259" si="98">X189-U189</f>
        <v>0</v>
      </c>
      <c r="Z189" s="157"/>
    </row>
    <row r="190" spans="2:26" ht="16.5" customHeight="1" x14ac:dyDescent="0.25">
      <c r="B190" s="183"/>
      <c r="C190" s="278" t="s">
        <v>881</v>
      </c>
      <c r="D190" s="279" t="s">
        <v>882</v>
      </c>
      <c r="E190" s="135">
        <v>0</v>
      </c>
      <c r="F190" s="135">
        <f>ROUND(E190,0)</f>
        <v>0</v>
      </c>
      <c r="G190" s="134">
        <f>F190-E190</f>
        <v>0</v>
      </c>
      <c r="H190" s="157"/>
      <c r="I190" s="134">
        <f t="shared" si="90"/>
        <v>0</v>
      </c>
      <c r="J190" s="134">
        <f t="shared" si="61"/>
        <v>0</v>
      </c>
      <c r="K190" s="157"/>
      <c r="L190" s="134">
        <f>ROUND(I190,0)+55000</f>
        <v>55000</v>
      </c>
      <c r="M190" s="134">
        <f t="shared" si="62"/>
        <v>55000</v>
      </c>
      <c r="N190" s="157" t="s">
        <v>883</v>
      </c>
      <c r="O190" s="134">
        <f t="shared" si="89"/>
        <v>55000</v>
      </c>
      <c r="P190" s="134">
        <f t="shared" si="63"/>
        <v>0</v>
      </c>
      <c r="Q190" s="157"/>
      <c r="R190" s="134">
        <f>ROUND(O190,0)+6508+15000+328+7000+3130+18034</f>
        <v>105000</v>
      </c>
      <c r="S190" s="134">
        <f t="shared" si="95"/>
        <v>50000</v>
      </c>
      <c r="T190" s="157" t="s">
        <v>884</v>
      </c>
      <c r="U190" s="134">
        <f t="shared" si="92"/>
        <v>105000</v>
      </c>
      <c r="V190" s="134">
        <f t="shared" si="96"/>
        <v>0</v>
      </c>
      <c r="W190" s="157"/>
      <c r="X190" s="134">
        <f t="shared" si="97"/>
        <v>105000</v>
      </c>
      <c r="Y190" s="134">
        <f t="shared" si="98"/>
        <v>0</v>
      </c>
      <c r="Z190" s="157"/>
    </row>
    <row r="191" spans="2:26" ht="29.45" customHeight="1" x14ac:dyDescent="0.25">
      <c r="B191" s="183" t="s">
        <v>885</v>
      </c>
      <c r="C191" s="278" t="s">
        <v>886</v>
      </c>
      <c r="D191" s="279" t="s">
        <v>887</v>
      </c>
      <c r="E191" s="135">
        <v>0</v>
      </c>
      <c r="F191" s="135">
        <f>ROUND(E191,0)</f>
        <v>0</v>
      </c>
      <c r="G191" s="134">
        <f>F191-E191</f>
        <v>0</v>
      </c>
      <c r="H191" s="161"/>
      <c r="I191" s="134">
        <f t="shared" si="90"/>
        <v>0</v>
      </c>
      <c r="J191" s="134">
        <f t="shared" si="61"/>
        <v>0</v>
      </c>
      <c r="K191" s="138"/>
      <c r="L191" s="134">
        <f>ROUND(I191,0)+21000</f>
        <v>21000</v>
      </c>
      <c r="M191" s="134">
        <f t="shared" si="62"/>
        <v>21000</v>
      </c>
      <c r="N191" s="157" t="s">
        <v>883</v>
      </c>
      <c r="O191" s="134">
        <f t="shared" si="89"/>
        <v>21000</v>
      </c>
      <c r="P191" s="134">
        <f t="shared" si="63"/>
        <v>0</v>
      </c>
      <c r="Q191" s="138"/>
      <c r="R191" s="134">
        <f>ROUND(O191,0)+31000+10022</f>
        <v>62022</v>
      </c>
      <c r="S191" s="134">
        <f t="shared" si="95"/>
        <v>41022</v>
      </c>
      <c r="T191" s="138" t="s">
        <v>888</v>
      </c>
      <c r="U191" s="134">
        <f t="shared" si="92"/>
        <v>62022</v>
      </c>
      <c r="V191" s="134">
        <f t="shared" si="96"/>
        <v>0</v>
      </c>
      <c r="W191" s="138"/>
      <c r="X191" s="134">
        <f t="shared" si="97"/>
        <v>62022</v>
      </c>
      <c r="Y191" s="134">
        <f t="shared" si="98"/>
        <v>0</v>
      </c>
      <c r="Z191" s="138"/>
    </row>
    <row r="192" spans="2:26" x14ac:dyDescent="0.25">
      <c r="C192" s="263" t="s">
        <v>459</v>
      </c>
      <c r="D192" s="264" t="s">
        <v>889</v>
      </c>
      <c r="E192" s="141">
        <v>2519181.6714729005</v>
      </c>
      <c r="F192" s="142">
        <f t="shared" ref="F192" si="99">SUM(F193,F198:F202)+F205+F206</f>
        <v>2529195</v>
      </c>
      <c r="G192" s="141">
        <f>SUM(G193,G198:G206)</f>
        <v>10013.342056599839</v>
      </c>
      <c r="H192" s="145"/>
      <c r="I192" s="141">
        <f>SUM(I193,I198:I202)+I205+I206</f>
        <v>2529195</v>
      </c>
      <c r="J192" s="141">
        <f t="shared" si="61"/>
        <v>0</v>
      </c>
      <c r="K192" s="141"/>
      <c r="L192" s="141">
        <f>SUM(L193,L198:L202)+L205+L206</f>
        <v>2527695</v>
      </c>
      <c r="M192" s="141">
        <f t="shared" si="62"/>
        <v>-1500</v>
      </c>
      <c r="N192" s="141"/>
      <c r="O192" s="141">
        <f>SUM(O193,O198:O202)+O205+O206</f>
        <v>2554562</v>
      </c>
      <c r="P192" s="141">
        <f t="shared" si="63"/>
        <v>26867</v>
      </c>
      <c r="Q192" s="141"/>
      <c r="R192" s="141">
        <f>SUM(R193,R198:R202)+R205+R206</f>
        <v>2551562</v>
      </c>
      <c r="S192" s="141">
        <f t="shared" si="95"/>
        <v>-3000</v>
      </c>
      <c r="T192" s="141"/>
      <c r="U192" s="141">
        <f>SUM(U193,U198:U202)+U205+U206</f>
        <v>2566319</v>
      </c>
      <c r="V192" s="141">
        <f t="shared" si="96"/>
        <v>14757</v>
      </c>
      <c r="W192" s="141"/>
      <c r="X192" s="141">
        <f>SUM(X193,X198:X202)+X205+X206</f>
        <v>2566319</v>
      </c>
      <c r="Y192" s="141">
        <f t="shared" si="98"/>
        <v>0</v>
      </c>
      <c r="Z192" s="141"/>
    </row>
    <row r="193" spans="2:26" ht="23.25" customHeight="1" x14ac:dyDescent="0.25">
      <c r="C193" s="258" t="s">
        <v>462</v>
      </c>
      <c r="D193" s="259" t="s">
        <v>890</v>
      </c>
      <c r="E193" s="190">
        <v>1326357.7900424001</v>
      </c>
      <c r="F193" s="190">
        <f>SUM(F194:F197)</f>
        <v>1326358</v>
      </c>
      <c r="G193" s="190">
        <f>SUM(G194:G197)</f>
        <v>0.20995759987272322</v>
      </c>
      <c r="H193" s="190">
        <f>SUM(H194:H197)</f>
        <v>0</v>
      </c>
      <c r="I193" s="190">
        <f>SUM(I194:I197)</f>
        <v>1326358</v>
      </c>
      <c r="J193" s="166">
        <f t="shared" si="61"/>
        <v>0</v>
      </c>
      <c r="K193" s="166"/>
      <c r="L193" s="190">
        <f>SUM(L194:L197)</f>
        <v>1334858</v>
      </c>
      <c r="M193" s="166">
        <f t="shared" si="62"/>
        <v>8500</v>
      </c>
      <c r="N193" s="166"/>
      <c r="O193" s="166">
        <f>SUM(O194:O197)</f>
        <v>1355693</v>
      </c>
      <c r="P193" s="166">
        <f t="shared" si="63"/>
        <v>20835</v>
      </c>
      <c r="Q193" s="166"/>
      <c r="R193" s="166">
        <f>SUM(R194:R197)</f>
        <v>1352693</v>
      </c>
      <c r="S193" s="166">
        <f t="shared" si="95"/>
        <v>-3000</v>
      </c>
      <c r="T193" s="166"/>
      <c r="U193" s="166">
        <f>SUM(U194:U197)</f>
        <v>1367450</v>
      </c>
      <c r="V193" s="166">
        <f t="shared" si="96"/>
        <v>14757</v>
      </c>
      <c r="W193" s="166"/>
      <c r="X193" s="166">
        <f>SUM(X194:X197)</f>
        <v>1367450</v>
      </c>
      <c r="Y193" s="166">
        <f t="shared" si="98"/>
        <v>0</v>
      </c>
      <c r="Z193" s="166"/>
    </row>
    <row r="194" spans="2:26" ht="17.25" customHeight="1" x14ac:dyDescent="0.25">
      <c r="B194" s="183" t="s">
        <v>891</v>
      </c>
      <c r="C194" s="266" t="s">
        <v>892</v>
      </c>
      <c r="D194" s="267" t="s">
        <v>893</v>
      </c>
      <c r="E194" s="135">
        <v>638049.85509206681</v>
      </c>
      <c r="F194" s="135">
        <f>ROUND(E194,0)</f>
        <v>638050</v>
      </c>
      <c r="G194" s="134">
        <f t="shared" ref="G194:G257" si="100">F194-E194</f>
        <v>0.14490793319419026</v>
      </c>
      <c r="H194" s="275"/>
      <c r="I194" s="134">
        <f t="shared" ref="I194:I201" si="101">ROUND(F194,0)</f>
        <v>638050</v>
      </c>
      <c r="J194" s="134">
        <f t="shared" si="61"/>
        <v>0</v>
      </c>
      <c r="K194" s="297"/>
      <c r="L194" s="134">
        <f>ROUND(I194,0)</f>
        <v>638050</v>
      </c>
      <c r="M194" s="134">
        <f t="shared" si="62"/>
        <v>0</v>
      </c>
      <c r="N194" s="297"/>
      <c r="O194" s="134">
        <f>ROUND(L194,0)+21000</f>
        <v>659050</v>
      </c>
      <c r="P194" s="134">
        <f t="shared" si="63"/>
        <v>21000</v>
      </c>
      <c r="Q194" s="297" t="s">
        <v>448</v>
      </c>
      <c r="R194" s="134">
        <f t="shared" ref="R194:R201" si="102">ROUND(O194,0)</f>
        <v>659050</v>
      </c>
      <c r="S194" s="134">
        <f t="shared" si="95"/>
        <v>0</v>
      </c>
      <c r="T194" s="297"/>
      <c r="U194" s="134">
        <f>ROUND(R194,0)+7079</f>
        <v>666129</v>
      </c>
      <c r="V194" s="134">
        <f t="shared" si="96"/>
        <v>7079</v>
      </c>
      <c r="W194" s="157" t="s">
        <v>529</v>
      </c>
      <c r="X194" s="134">
        <f>ROUND(U194,0)</f>
        <v>666129</v>
      </c>
      <c r="Y194" s="134">
        <f t="shared" si="98"/>
        <v>0</v>
      </c>
      <c r="Z194" s="157"/>
    </row>
    <row r="195" spans="2:26" ht="18" customHeight="1" x14ac:dyDescent="0.25">
      <c r="B195" s="183" t="s">
        <v>894</v>
      </c>
      <c r="C195" s="266" t="s">
        <v>895</v>
      </c>
      <c r="D195" s="267" t="s">
        <v>896</v>
      </c>
      <c r="E195" s="135">
        <v>485179.86028633331</v>
      </c>
      <c r="F195" s="135">
        <f>ROUND(E195,0)</f>
        <v>485180</v>
      </c>
      <c r="G195" s="134">
        <f t="shared" si="100"/>
        <v>0.1397136666928418</v>
      </c>
      <c r="H195" s="275"/>
      <c r="I195" s="134">
        <f t="shared" si="101"/>
        <v>485180</v>
      </c>
      <c r="J195" s="134">
        <f t="shared" si="61"/>
        <v>0</v>
      </c>
      <c r="K195" s="157"/>
      <c r="L195" s="134">
        <f>ROUND(I195,0)+8500</f>
        <v>493680</v>
      </c>
      <c r="M195" s="134">
        <f t="shared" si="62"/>
        <v>8500</v>
      </c>
      <c r="N195" s="297" t="s">
        <v>897</v>
      </c>
      <c r="O195" s="134">
        <f>ROUND(L195,0)-165</f>
        <v>493515</v>
      </c>
      <c r="P195" s="134">
        <f t="shared" si="63"/>
        <v>-165</v>
      </c>
      <c r="Q195" s="157" t="s">
        <v>898</v>
      </c>
      <c r="R195" s="134">
        <f t="shared" si="102"/>
        <v>493515</v>
      </c>
      <c r="S195" s="134">
        <f t="shared" si="95"/>
        <v>0</v>
      </c>
      <c r="T195" s="157"/>
      <c r="U195" s="134">
        <f>ROUND(R195,0)+7678</f>
        <v>501193</v>
      </c>
      <c r="V195" s="134">
        <f t="shared" si="96"/>
        <v>7678</v>
      </c>
      <c r="W195" s="298"/>
      <c r="X195" s="134">
        <f>ROUND(U195,0)</f>
        <v>501193</v>
      </c>
      <c r="Y195" s="134">
        <f t="shared" si="98"/>
        <v>0</v>
      </c>
      <c r="Z195" s="298"/>
    </row>
    <row r="196" spans="2:26" ht="16.5" customHeight="1" x14ac:dyDescent="0.25">
      <c r="B196" s="183" t="s">
        <v>899</v>
      </c>
      <c r="C196" s="266" t="s">
        <v>900</v>
      </c>
      <c r="D196" s="267" t="s">
        <v>901</v>
      </c>
      <c r="E196" s="135">
        <v>172588.07466400001</v>
      </c>
      <c r="F196" s="135">
        <f>ROUND(E196,0)</f>
        <v>172588</v>
      </c>
      <c r="G196" s="134">
        <f t="shared" si="100"/>
        <v>-7.466400001430884E-2</v>
      </c>
      <c r="H196" s="161"/>
      <c r="I196" s="134">
        <f t="shared" si="101"/>
        <v>172588</v>
      </c>
      <c r="J196" s="134">
        <f t="shared" si="61"/>
        <v>0</v>
      </c>
      <c r="K196" s="138"/>
      <c r="L196" s="134">
        <f t="shared" ref="L196:L206" si="103">ROUND(I196,0)</f>
        <v>172588</v>
      </c>
      <c r="M196" s="134">
        <f t="shared" si="62"/>
        <v>0</v>
      </c>
      <c r="N196" s="138"/>
      <c r="O196" s="134">
        <f t="shared" ref="O196:O206" si="104">ROUND(L196,0)</f>
        <v>172588</v>
      </c>
      <c r="P196" s="134">
        <f t="shared" si="63"/>
        <v>0</v>
      </c>
      <c r="Q196" s="138"/>
      <c r="R196" s="134">
        <f>ROUND(O196,0)-1500</f>
        <v>171088</v>
      </c>
      <c r="S196" s="276">
        <f t="shared" si="95"/>
        <v>-1500</v>
      </c>
      <c r="T196" s="299" t="s">
        <v>902</v>
      </c>
      <c r="U196" s="134">
        <f t="shared" ref="U196:U201" si="105">ROUND(R196,0)</f>
        <v>171088</v>
      </c>
      <c r="V196" s="134">
        <f t="shared" si="96"/>
        <v>0</v>
      </c>
      <c r="W196" s="157"/>
      <c r="X196" s="134">
        <f t="shared" ref="X196:X201" si="106">ROUND(U196,0)</f>
        <v>171088</v>
      </c>
      <c r="Y196" s="134">
        <f t="shared" si="98"/>
        <v>0</v>
      </c>
      <c r="Z196" s="157"/>
    </row>
    <row r="197" spans="2:26" ht="18.75" customHeight="1" x14ac:dyDescent="0.25">
      <c r="B197" s="183" t="s">
        <v>903</v>
      </c>
      <c r="C197" s="266" t="s">
        <v>904</v>
      </c>
      <c r="D197" s="267" t="s">
        <v>905</v>
      </c>
      <c r="E197" s="185">
        <v>30540</v>
      </c>
      <c r="F197" s="185">
        <f>ROUND(E197,0)</f>
        <v>30540</v>
      </c>
      <c r="G197" s="134">
        <f>F197-E197</f>
        <v>0</v>
      </c>
      <c r="H197" s="300"/>
      <c r="I197" s="134">
        <f t="shared" si="101"/>
        <v>30540</v>
      </c>
      <c r="J197" s="134">
        <f t="shared" si="61"/>
        <v>0</v>
      </c>
      <c r="K197" s="138"/>
      <c r="L197" s="134">
        <f t="shared" si="103"/>
        <v>30540</v>
      </c>
      <c r="M197" s="134">
        <f t="shared" si="62"/>
        <v>0</v>
      </c>
      <c r="N197" s="301"/>
      <c r="O197" s="134">
        <f t="shared" si="104"/>
        <v>30540</v>
      </c>
      <c r="P197" s="134">
        <f t="shared" si="63"/>
        <v>0</v>
      </c>
      <c r="Q197" s="301"/>
      <c r="R197" s="134">
        <f>ROUND(O197,0)-1500</f>
        <v>29040</v>
      </c>
      <c r="S197" s="276">
        <f t="shared" si="95"/>
        <v>-1500</v>
      </c>
      <c r="T197" s="302"/>
      <c r="U197" s="134">
        <f t="shared" si="105"/>
        <v>29040</v>
      </c>
      <c r="V197" s="134">
        <f t="shared" si="96"/>
        <v>0</v>
      </c>
      <c r="W197" s="298"/>
      <c r="X197" s="134">
        <f t="shared" si="106"/>
        <v>29040</v>
      </c>
      <c r="Y197" s="134">
        <f t="shared" si="98"/>
        <v>0</v>
      </c>
      <c r="Z197" s="298"/>
    </row>
    <row r="198" spans="2:26" ht="29.45" customHeight="1" x14ac:dyDescent="0.25">
      <c r="B198" s="183" t="s">
        <v>906</v>
      </c>
      <c r="C198" s="303" t="s">
        <v>907</v>
      </c>
      <c r="D198" s="259" t="s">
        <v>908</v>
      </c>
      <c r="E198" s="190">
        <v>185742</v>
      </c>
      <c r="F198" s="190">
        <f>ROUND(E198,0)+10013</f>
        <v>195755</v>
      </c>
      <c r="G198" s="166">
        <f t="shared" si="100"/>
        <v>10013</v>
      </c>
      <c r="H198" s="304" t="s">
        <v>909</v>
      </c>
      <c r="I198" s="166">
        <f t="shared" si="101"/>
        <v>195755</v>
      </c>
      <c r="J198" s="166">
        <f t="shared" si="61"/>
        <v>0</v>
      </c>
      <c r="K198" s="305"/>
      <c r="L198" s="166">
        <f t="shared" si="103"/>
        <v>195755</v>
      </c>
      <c r="M198" s="166">
        <f t="shared" si="62"/>
        <v>0</v>
      </c>
      <c r="N198" s="305"/>
      <c r="O198" s="166">
        <f t="shared" si="104"/>
        <v>195755</v>
      </c>
      <c r="P198" s="166">
        <f t="shared" si="63"/>
        <v>0</v>
      </c>
      <c r="Q198" s="305"/>
      <c r="R198" s="166">
        <f t="shared" si="102"/>
        <v>195755</v>
      </c>
      <c r="S198" s="166">
        <f t="shared" si="95"/>
        <v>0</v>
      </c>
      <c r="T198" s="305"/>
      <c r="U198" s="166">
        <f t="shared" si="105"/>
        <v>195755</v>
      </c>
      <c r="V198" s="166">
        <f t="shared" si="96"/>
        <v>0</v>
      </c>
      <c r="W198" s="305"/>
      <c r="X198" s="166">
        <f t="shared" si="106"/>
        <v>195755</v>
      </c>
      <c r="Y198" s="166">
        <f t="shared" si="98"/>
        <v>0</v>
      </c>
      <c r="Z198" s="305"/>
    </row>
    <row r="199" spans="2:26" ht="27" customHeight="1" x14ac:dyDescent="0.25">
      <c r="B199" s="183" t="s">
        <v>910</v>
      </c>
      <c r="C199" s="303" t="s">
        <v>911</v>
      </c>
      <c r="D199" s="259" t="s">
        <v>912</v>
      </c>
      <c r="E199" s="190">
        <v>0</v>
      </c>
      <c r="F199" s="190">
        <f t="shared" ref="F199:F206" si="107">ROUND(E199,0)</f>
        <v>0</v>
      </c>
      <c r="G199" s="166">
        <f t="shared" si="100"/>
        <v>0</v>
      </c>
      <c r="H199" s="191"/>
      <c r="I199" s="166">
        <f t="shared" si="101"/>
        <v>0</v>
      </c>
      <c r="J199" s="166">
        <f t="shared" si="61"/>
        <v>0</v>
      </c>
      <c r="K199" s="192"/>
      <c r="L199" s="166">
        <f t="shared" si="103"/>
        <v>0</v>
      </c>
      <c r="M199" s="166">
        <f t="shared" si="62"/>
        <v>0</v>
      </c>
      <c r="N199" s="192"/>
      <c r="O199" s="166">
        <f t="shared" si="104"/>
        <v>0</v>
      </c>
      <c r="P199" s="166">
        <f t="shared" si="63"/>
        <v>0</v>
      </c>
      <c r="Q199" s="192"/>
      <c r="R199" s="166">
        <f t="shared" si="102"/>
        <v>0</v>
      </c>
      <c r="S199" s="166">
        <f t="shared" si="95"/>
        <v>0</v>
      </c>
      <c r="T199" s="192"/>
      <c r="U199" s="166">
        <f t="shared" si="105"/>
        <v>0</v>
      </c>
      <c r="V199" s="166">
        <f t="shared" si="96"/>
        <v>0</v>
      </c>
      <c r="W199" s="192"/>
      <c r="X199" s="166">
        <f t="shared" si="106"/>
        <v>0</v>
      </c>
      <c r="Y199" s="166">
        <f t="shared" si="98"/>
        <v>0</v>
      </c>
      <c r="Z199" s="192"/>
    </row>
    <row r="200" spans="2:26" ht="15" customHeight="1" x14ac:dyDescent="0.25">
      <c r="B200" s="183" t="s">
        <v>913</v>
      </c>
      <c r="C200" s="258" t="s">
        <v>914</v>
      </c>
      <c r="D200" s="259" t="s">
        <v>915</v>
      </c>
      <c r="E200" s="190">
        <v>153395.37309000001</v>
      </c>
      <c r="F200" s="190">
        <f t="shared" si="107"/>
        <v>153395</v>
      </c>
      <c r="G200" s="166">
        <f t="shared" si="100"/>
        <v>-0.37309000000823289</v>
      </c>
      <c r="H200" s="306"/>
      <c r="I200" s="166">
        <f t="shared" si="101"/>
        <v>153395</v>
      </c>
      <c r="J200" s="166">
        <f t="shared" si="61"/>
        <v>0</v>
      </c>
      <c r="K200" s="305"/>
      <c r="L200" s="166">
        <f t="shared" si="103"/>
        <v>153395</v>
      </c>
      <c r="M200" s="166">
        <f t="shared" si="62"/>
        <v>0</v>
      </c>
      <c r="N200" s="305"/>
      <c r="O200" s="166">
        <f>ROUND(L200,0)-276</f>
        <v>153119</v>
      </c>
      <c r="P200" s="166">
        <f t="shared" si="63"/>
        <v>-276</v>
      </c>
      <c r="Q200" s="305" t="s">
        <v>916</v>
      </c>
      <c r="R200" s="166">
        <f t="shared" si="102"/>
        <v>153119</v>
      </c>
      <c r="S200" s="166">
        <f t="shared" si="95"/>
        <v>0</v>
      </c>
      <c r="T200" s="305"/>
      <c r="U200" s="166">
        <f t="shared" si="105"/>
        <v>153119</v>
      </c>
      <c r="V200" s="166">
        <f t="shared" si="96"/>
        <v>0</v>
      </c>
      <c r="W200" s="305"/>
      <c r="X200" s="166">
        <f t="shared" si="106"/>
        <v>153119</v>
      </c>
      <c r="Y200" s="166">
        <f t="shared" si="98"/>
        <v>0</v>
      </c>
      <c r="Z200" s="305"/>
    </row>
    <row r="201" spans="2:26" ht="15.6" customHeight="1" x14ac:dyDescent="0.25">
      <c r="B201" s="183" t="s">
        <v>917</v>
      </c>
      <c r="C201" s="258" t="s">
        <v>918</v>
      </c>
      <c r="D201" s="259" t="s">
        <v>919</v>
      </c>
      <c r="E201" s="190">
        <v>64813.521870000011</v>
      </c>
      <c r="F201" s="190">
        <f t="shared" si="107"/>
        <v>64814</v>
      </c>
      <c r="G201" s="166">
        <f t="shared" si="100"/>
        <v>0.47812999998859596</v>
      </c>
      <c r="H201" s="306"/>
      <c r="I201" s="166">
        <f t="shared" si="101"/>
        <v>64814</v>
      </c>
      <c r="J201" s="166">
        <f t="shared" si="61"/>
        <v>0</v>
      </c>
      <c r="K201" s="305"/>
      <c r="L201" s="166">
        <f t="shared" si="103"/>
        <v>64814</v>
      </c>
      <c r="M201" s="166">
        <f t="shared" si="62"/>
        <v>0</v>
      </c>
      <c r="N201" s="305"/>
      <c r="O201" s="166">
        <f>ROUND(L201,0)-62</f>
        <v>64752</v>
      </c>
      <c r="P201" s="166">
        <f t="shared" si="63"/>
        <v>-62</v>
      </c>
      <c r="Q201" s="305" t="s">
        <v>920</v>
      </c>
      <c r="R201" s="166">
        <f t="shared" si="102"/>
        <v>64752</v>
      </c>
      <c r="S201" s="166">
        <f t="shared" si="95"/>
        <v>0</v>
      </c>
      <c r="T201" s="305"/>
      <c r="U201" s="166">
        <f t="shared" si="105"/>
        <v>64752</v>
      </c>
      <c r="V201" s="166">
        <f t="shared" si="96"/>
        <v>0</v>
      </c>
      <c r="W201" s="305"/>
      <c r="X201" s="166">
        <f t="shared" si="106"/>
        <v>64752</v>
      </c>
      <c r="Y201" s="166">
        <f t="shared" si="98"/>
        <v>0</v>
      </c>
      <c r="Z201" s="305"/>
    </row>
    <row r="202" spans="2:26" ht="15" customHeight="1" x14ac:dyDescent="0.25">
      <c r="B202" s="183" t="s">
        <v>664</v>
      </c>
      <c r="C202" s="258" t="s">
        <v>921</v>
      </c>
      <c r="D202" s="259" t="s">
        <v>922</v>
      </c>
      <c r="E202" s="190">
        <v>765644.98647050001</v>
      </c>
      <c r="F202" s="190">
        <f t="shared" ref="F202" si="108">F203+F204</f>
        <v>765645</v>
      </c>
      <c r="G202" s="166">
        <f t="shared" si="100"/>
        <v>1.3529499992728233E-2</v>
      </c>
      <c r="H202" s="191"/>
      <c r="I202" s="166">
        <f>I203+I204</f>
        <v>765645</v>
      </c>
      <c r="J202" s="166">
        <f t="shared" ref="J202:J282" si="109">I202-F202</f>
        <v>0</v>
      </c>
      <c r="K202" s="192"/>
      <c r="L202" s="166">
        <f>L203+L204</f>
        <v>755645</v>
      </c>
      <c r="M202" s="166">
        <f t="shared" ref="M202:M282" si="110">L202-I202</f>
        <v>-10000</v>
      </c>
      <c r="N202" s="192"/>
      <c r="O202" s="166">
        <f>O203+O204</f>
        <v>762015</v>
      </c>
      <c r="P202" s="166">
        <f t="shared" ref="P202:P282" si="111">O202-L202</f>
        <v>6370</v>
      </c>
      <c r="Q202" s="192"/>
      <c r="R202" s="166">
        <f>R203+R204</f>
        <v>762015</v>
      </c>
      <c r="S202" s="166">
        <f t="shared" si="95"/>
        <v>0</v>
      </c>
      <c r="T202" s="192"/>
      <c r="U202" s="166">
        <f>U203+U204</f>
        <v>762015</v>
      </c>
      <c r="V202" s="166">
        <f t="shared" si="96"/>
        <v>0</v>
      </c>
      <c r="W202" s="192"/>
      <c r="X202" s="166">
        <f>X203+X204</f>
        <v>762015</v>
      </c>
      <c r="Y202" s="166">
        <f t="shared" si="98"/>
        <v>0</v>
      </c>
      <c r="Z202" s="192"/>
    </row>
    <row r="203" spans="2:26" ht="15" customHeight="1" x14ac:dyDescent="0.25">
      <c r="B203" s="183"/>
      <c r="C203" s="307" t="s">
        <v>923</v>
      </c>
      <c r="D203" s="267" t="s">
        <v>924</v>
      </c>
      <c r="E203" s="185">
        <v>765644.98647050001</v>
      </c>
      <c r="F203" s="185">
        <f>ROUND(E203,0)-126968</f>
        <v>638677</v>
      </c>
      <c r="G203" s="296">
        <f t="shared" si="100"/>
        <v>-126967.98647050001</v>
      </c>
      <c r="H203" s="138" t="s">
        <v>925</v>
      </c>
      <c r="I203" s="134">
        <f>ROUND(F203,0)-43878</f>
        <v>594799</v>
      </c>
      <c r="J203" s="134">
        <f t="shared" si="109"/>
        <v>-43878</v>
      </c>
      <c r="K203" s="138" t="s">
        <v>926</v>
      </c>
      <c r="L203" s="134">
        <f>ROUND(I203,0)-10000</f>
        <v>584799</v>
      </c>
      <c r="M203" s="134">
        <f t="shared" si="110"/>
        <v>-10000</v>
      </c>
      <c r="N203" s="138" t="s">
        <v>927</v>
      </c>
      <c r="O203" s="134">
        <f>ROUND(L203,0)+6370-926</f>
        <v>590243</v>
      </c>
      <c r="P203" s="134">
        <f t="shared" si="111"/>
        <v>5444</v>
      </c>
      <c r="Q203" s="138" t="s">
        <v>928</v>
      </c>
      <c r="R203" s="134">
        <f>ROUND(O203,0)</f>
        <v>590243</v>
      </c>
      <c r="S203" s="134">
        <f t="shared" si="95"/>
        <v>0</v>
      </c>
      <c r="T203" s="138"/>
      <c r="U203" s="134">
        <f>ROUND(R203,0)</f>
        <v>590243</v>
      </c>
      <c r="V203" s="134">
        <f t="shared" si="96"/>
        <v>0</v>
      </c>
      <c r="W203" s="138"/>
      <c r="X203" s="134">
        <f>ROUND(U203,0)</f>
        <v>590243</v>
      </c>
      <c r="Y203" s="134">
        <f t="shared" si="98"/>
        <v>0</v>
      </c>
      <c r="Z203" s="138"/>
    </row>
    <row r="204" spans="2:26" ht="15" customHeight="1" x14ac:dyDescent="0.25">
      <c r="B204" s="183"/>
      <c r="C204" s="308" t="s">
        <v>929</v>
      </c>
      <c r="D204" s="267" t="s">
        <v>930</v>
      </c>
      <c r="E204" s="185">
        <v>0</v>
      </c>
      <c r="F204" s="185">
        <v>126968</v>
      </c>
      <c r="G204" s="296">
        <f t="shared" si="100"/>
        <v>126968</v>
      </c>
      <c r="H204" s="161"/>
      <c r="I204" s="134">
        <f>ROUND(F204,0)+43878</f>
        <v>170846</v>
      </c>
      <c r="J204" s="134">
        <f t="shared" si="109"/>
        <v>43878</v>
      </c>
      <c r="K204" s="138" t="s">
        <v>926</v>
      </c>
      <c r="L204" s="134">
        <f t="shared" si="103"/>
        <v>170846</v>
      </c>
      <c r="M204" s="134">
        <f t="shared" si="110"/>
        <v>0</v>
      </c>
      <c r="N204" s="138"/>
      <c r="O204" s="134">
        <f>ROUND(L204,0)+926</f>
        <v>171772</v>
      </c>
      <c r="P204" s="134">
        <f t="shared" si="111"/>
        <v>926</v>
      </c>
      <c r="Q204" s="138" t="s">
        <v>931</v>
      </c>
      <c r="R204" s="134">
        <f>ROUND(O204,0)</f>
        <v>171772</v>
      </c>
      <c r="S204" s="134">
        <f t="shared" si="95"/>
        <v>0</v>
      </c>
      <c r="T204" s="138"/>
      <c r="U204" s="134">
        <f>ROUND(R204,0)</f>
        <v>171772</v>
      </c>
      <c r="V204" s="134">
        <f t="shared" si="96"/>
        <v>0</v>
      </c>
      <c r="W204" s="138"/>
      <c r="X204" s="134">
        <f>ROUND(U204,0)</f>
        <v>171772</v>
      </c>
      <c r="Y204" s="134">
        <f t="shared" si="98"/>
        <v>0</v>
      </c>
      <c r="Z204" s="138"/>
    </row>
    <row r="205" spans="2:26" ht="15.6" customHeight="1" x14ac:dyDescent="0.25">
      <c r="B205" s="183" t="s">
        <v>932</v>
      </c>
      <c r="C205" s="258" t="s">
        <v>933</v>
      </c>
      <c r="D205" s="259" t="s">
        <v>934</v>
      </c>
      <c r="E205" s="190">
        <v>4000</v>
      </c>
      <c r="F205" s="190">
        <f t="shared" si="107"/>
        <v>4000</v>
      </c>
      <c r="G205" s="166">
        <f t="shared" si="100"/>
        <v>0</v>
      </c>
      <c r="H205" s="260"/>
      <c r="I205" s="166">
        <f>ROUND(F205,0)</f>
        <v>4000</v>
      </c>
      <c r="J205" s="166">
        <f t="shared" si="109"/>
        <v>0</v>
      </c>
      <c r="K205" s="261"/>
      <c r="L205" s="166">
        <f t="shared" si="103"/>
        <v>4000</v>
      </c>
      <c r="M205" s="166">
        <f t="shared" si="110"/>
        <v>0</v>
      </c>
      <c r="N205" s="261"/>
      <c r="O205" s="166">
        <f t="shared" si="104"/>
        <v>4000</v>
      </c>
      <c r="P205" s="166">
        <f t="shared" si="111"/>
        <v>0</v>
      </c>
      <c r="Q205" s="261"/>
      <c r="R205" s="166">
        <f>ROUND(O205,0)</f>
        <v>4000</v>
      </c>
      <c r="S205" s="166">
        <f t="shared" si="95"/>
        <v>0</v>
      </c>
      <c r="T205" s="261"/>
      <c r="U205" s="166">
        <f>ROUND(R205,0)</f>
        <v>4000</v>
      </c>
      <c r="V205" s="166">
        <f t="shared" si="96"/>
        <v>0</v>
      </c>
      <c r="W205" s="261"/>
      <c r="X205" s="166">
        <f>ROUND(U205,0)</f>
        <v>4000</v>
      </c>
      <c r="Y205" s="166">
        <f t="shared" si="98"/>
        <v>0</v>
      </c>
      <c r="Z205" s="261"/>
    </row>
    <row r="206" spans="2:26" ht="15.6" customHeight="1" x14ac:dyDescent="0.25">
      <c r="B206" s="183" t="s">
        <v>935</v>
      </c>
      <c r="C206" s="258" t="s">
        <v>936</v>
      </c>
      <c r="D206" s="259" t="s">
        <v>937</v>
      </c>
      <c r="E206" s="190">
        <v>19228</v>
      </c>
      <c r="F206" s="190">
        <f t="shared" si="107"/>
        <v>19228</v>
      </c>
      <c r="G206" s="166">
        <f t="shared" si="100"/>
        <v>0</v>
      </c>
      <c r="H206" s="260"/>
      <c r="I206" s="166">
        <f>ROUND(F206,0)</f>
        <v>19228</v>
      </c>
      <c r="J206" s="166">
        <f t="shared" si="109"/>
        <v>0</v>
      </c>
      <c r="K206" s="261"/>
      <c r="L206" s="166">
        <f t="shared" si="103"/>
        <v>19228</v>
      </c>
      <c r="M206" s="166">
        <f t="shared" si="110"/>
        <v>0</v>
      </c>
      <c r="N206" s="261"/>
      <c r="O206" s="166">
        <f t="shared" si="104"/>
        <v>19228</v>
      </c>
      <c r="P206" s="166">
        <f t="shared" si="111"/>
        <v>0</v>
      </c>
      <c r="Q206" s="261"/>
      <c r="R206" s="166">
        <f>ROUND(O206,0)</f>
        <v>19228</v>
      </c>
      <c r="S206" s="166">
        <f t="shared" si="95"/>
        <v>0</v>
      </c>
      <c r="T206" s="261"/>
      <c r="U206" s="166">
        <f>ROUND(R206,0)</f>
        <v>19228</v>
      </c>
      <c r="V206" s="166">
        <f t="shared" si="96"/>
        <v>0</v>
      </c>
      <c r="W206" s="261"/>
      <c r="X206" s="166">
        <f>ROUND(U206,0)</f>
        <v>19228</v>
      </c>
      <c r="Y206" s="166">
        <f t="shared" si="98"/>
        <v>0</v>
      </c>
      <c r="Z206" s="261"/>
    </row>
    <row r="207" spans="2:26" s="249" customFormat="1" ht="15.6" customHeight="1" x14ac:dyDescent="0.2">
      <c r="C207" s="263" t="s">
        <v>469</v>
      </c>
      <c r="D207" s="264" t="s">
        <v>938</v>
      </c>
      <c r="E207" s="141">
        <v>3797025.7610668591</v>
      </c>
      <c r="F207" s="141">
        <f t="shared" ref="F207:L207" si="112">F208+F215+F218+F223+F224+F225+F226+F227+F228</f>
        <v>3834372</v>
      </c>
      <c r="G207" s="141">
        <f t="shared" si="112"/>
        <v>37346.238933140878</v>
      </c>
      <c r="H207" s="141">
        <f t="shared" si="112"/>
        <v>0</v>
      </c>
      <c r="I207" s="141">
        <f t="shared" si="112"/>
        <v>3834372</v>
      </c>
      <c r="J207" s="141">
        <f t="shared" si="112"/>
        <v>0</v>
      </c>
      <c r="K207" s="141">
        <f t="shared" si="112"/>
        <v>0</v>
      </c>
      <c r="L207" s="141">
        <f t="shared" si="112"/>
        <v>3806675</v>
      </c>
      <c r="M207" s="141">
        <f t="shared" si="110"/>
        <v>-27697</v>
      </c>
      <c r="N207" s="141"/>
      <c r="O207" s="141">
        <f>O208+O215+O218+O223+O224+O225+O226+O227+O228</f>
        <v>3850931</v>
      </c>
      <c r="P207" s="141">
        <f t="shared" si="111"/>
        <v>44256</v>
      </c>
      <c r="Q207" s="141"/>
      <c r="R207" s="141">
        <f>R208+R215+R218+R223+R224+R225+R226+R227+R228</f>
        <v>3850931</v>
      </c>
      <c r="S207" s="141">
        <f t="shared" si="95"/>
        <v>0</v>
      </c>
      <c r="T207" s="141"/>
      <c r="U207" s="141">
        <f>U208+U215+U218+U223+U224+U225+U226+U227+U228</f>
        <v>3870931</v>
      </c>
      <c r="V207" s="141">
        <f t="shared" si="96"/>
        <v>20000</v>
      </c>
      <c r="W207" s="141"/>
      <c r="X207" s="141">
        <f>X208+X215+X218+X223+X224+X225+X226+X227+X228</f>
        <v>3832063</v>
      </c>
      <c r="Y207" s="141">
        <f t="shared" si="98"/>
        <v>-38868</v>
      </c>
      <c r="Z207" s="141"/>
    </row>
    <row r="208" spans="2:26" s="249" customFormat="1" ht="15" customHeight="1" x14ac:dyDescent="0.25">
      <c r="C208" s="258" t="s">
        <v>472</v>
      </c>
      <c r="D208" s="259" t="s">
        <v>939</v>
      </c>
      <c r="E208" s="190">
        <v>2756987.0633929078</v>
      </c>
      <c r="F208" s="190">
        <f t="shared" ref="F208:G208" si="113">F209+F210+F211+F212+F214</f>
        <v>2756987</v>
      </c>
      <c r="G208" s="166">
        <f t="shared" si="113"/>
        <v>-6.3392907846719027E-2</v>
      </c>
      <c r="H208" s="262"/>
      <c r="I208" s="166">
        <f>SUM(I209:I214)</f>
        <v>2756987</v>
      </c>
      <c r="J208" s="166">
        <f>SUM(J209:J214)</f>
        <v>0</v>
      </c>
      <c r="K208" s="166">
        <f>SUM(K209:K214)</f>
        <v>0</v>
      </c>
      <c r="L208" s="166">
        <f>SUM(L209:L214)</f>
        <v>2756987</v>
      </c>
      <c r="M208" s="166">
        <f t="shared" si="110"/>
        <v>0</v>
      </c>
      <c r="N208" s="166"/>
      <c r="O208" s="166">
        <f>SUM(O209:O214)</f>
        <v>2756959</v>
      </c>
      <c r="P208" s="166">
        <f t="shared" si="111"/>
        <v>-28</v>
      </c>
      <c r="Q208" s="166"/>
      <c r="R208" s="166">
        <f>SUM(R209:R214)</f>
        <v>2756959</v>
      </c>
      <c r="S208" s="166">
        <f t="shared" si="95"/>
        <v>0</v>
      </c>
      <c r="T208" s="166"/>
      <c r="U208" s="166">
        <f>SUM(U209:U214)</f>
        <v>2756959</v>
      </c>
      <c r="V208" s="166">
        <f t="shared" si="96"/>
        <v>0</v>
      </c>
      <c r="W208" s="166"/>
      <c r="X208" s="166">
        <f>SUM(X209:X214)</f>
        <v>2718091</v>
      </c>
      <c r="Y208" s="166">
        <f t="shared" si="98"/>
        <v>-38868</v>
      </c>
      <c r="Z208" s="166"/>
    </row>
    <row r="209" spans="2:26" s="309" customFormat="1" ht="18.600000000000001" customHeight="1" outlineLevel="1" x14ac:dyDescent="0.25">
      <c r="B209" s="309">
        <v>1010</v>
      </c>
      <c r="C209" s="307" t="s">
        <v>940</v>
      </c>
      <c r="D209" s="310" t="s">
        <v>941</v>
      </c>
      <c r="E209" s="311">
        <v>650934.06339290785</v>
      </c>
      <c r="F209" s="311">
        <f>ROUND(E209,0)</f>
        <v>650934</v>
      </c>
      <c r="G209" s="296">
        <f t="shared" si="100"/>
        <v>-6.3392907846719027E-2</v>
      </c>
      <c r="H209" s="312"/>
      <c r="I209" s="296">
        <f>ROUND(F209,0)</f>
        <v>650934</v>
      </c>
      <c r="J209" s="296">
        <f t="shared" si="109"/>
        <v>0</v>
      </c>
      <c r="K209" s="157"/>
      <c r="L209" s="296">
        <f>ROUND(I209,0)</f>
        <v>650934</v>
      </c>
      <c r="M209" s="296">
        <f t="shared" si="110"/>
        <v>0</v>
      </c>
      <c r="N209" s="157"/>
      <c r="O209" s="296">
        <f>ROUND(L209,0)-1186</f>
        <v>649748</v>
      </c>
      <c r="P209" s="296">
        <f t="shared" si="111"/>
        <v>-1186</v>
      </c>
      <c r="Q209" s="138" t="s">
        <v>942</v>
      </c>
      <c r="R209" s="296">
        <f>ROUND(O209,0)</f>
        <v>649748</v>
      </c>
      <c r="S209" s="296">
        <f t="shared" si="95"/>
        <v>0</v>
      </c>
      <c r="T209" s="138"/>
      <c r="U209" s="296">
        <f>ROUND(R209,0)</f>
        <v>649748</v>
      </c>
      <c r="V209" s="296">
        <f t="shared" si="96"/>
        <v>0</v>
      </c>
      <c r="W209" s="138"/>
      <c r="X209" s="296">
        <f>ROUND(U209,0)</f>
        <v>649748</v>
      </c>
      <c r="Y209" s="296">
        <f t="shared" si="98"/>
        <v>0</v>
      </c>
      <c r="Z209" s="138"/>
    </row>
    <row r="210" spans="2:26" s="309" customFormat="1" ht="59.25" customHeight="1" outlineLevel="1" x14ac:dyDescent="0.25">
      <c r="B210" s="309">
        <v>1010</v>
      </c>
      <c r="C210" s="308" t="s">
        <v>943</v>
      </c>
      <c r="D210" s="310" t="s">
        <v>944</v>
      </c>
      <c r="E210" s="311">
        <v>1598833</v>
      </c>
      <c r="F210" s="311">
        <f>ROUND(E210,0)</f>
        <v>1598833</v>
      </c>
      <c r="G210" s="296">
        <f t="shared" si="100"/>
        <v>0</v>
      </c>
      <c r="H210" s="161"/>
      <c r="I210" s="296">
        <f>ROUND(F210,0)</f>
        <v>1598833</v>
      </c>
      <c r="J210" s="296">
        <f t="shared" si="109"/>
        <v>0</v>
      </c>
      <c r="K210" s="188"/>
      <c r="L210" s="296">
        <f>ROUND(I210,0)</f>
        <v>1598833</v>
      </c>
      <c r="M210" s="296">
        <f t="shared" si="110"/>
        <v>0</v>
      </c>
      <c r="N210" s="188"/>
      <c r="O210" s="296">
        <f>ROUND(L210,0)</f>
        <v>1598833</v>
      </c>
      <c r="P210" s="296">
        <f t="shared" si="111"/>
        <v>0</v>
      </c>
      <c r="Q210" s="188"/>
      <c r="R210" s="296">
        <f>ROUND(O210,0)</f>
        <v>1598833</v>
      </c>
      <c r="S210" s="296">
        <f t="shared" si="95"/>
        <v>0</v>
      </c>
      <c r="T210" s="188"/>
      <c r="U210" s="296">
        <f>ROUND(R210,0)</f>
        <v>1598833</v>
      </c>
      <c r="V210" s="296">
        <f t="shared" si="96"/>
        <v>0</v>
      </c>
      <c r="W210" s="188" t="s">
        <v>945</v>
      </c>
      <c r="X210" s="296">
        <f>ROUND(U210,0)-35046-3822</f>
        <v>1559965</v>
      </c>
      <c r="Y210" s="296">
        <f t="shared" si="98"/>
        <v>-38868</v>
      </c>
      <c r="Z210" s="188" t="s">
        <v>946</v>
      </c>
    </row>
    <row r="211" spans="2:26" s="309" customFormat="1" ht="17.45" customHeight="1" outlineLevel="1" x14ac:dyDescent="0.25">
      <c r="B211" s="309">
        <v>1010</v>
      </c>
      <c r="C211" s="308" t="s">
        <v>947</v>
      </c>
      <c r="D211" s="310" t="s">
        <v>948</v>
      </c>
      <c r="E211" s="311">
        <v>0</v>
      </c>
      <c r="F211" s="311">
        <f>ROUND(E211,0)</f>
        <v>0</v>
      </c>
      <c r="G211" s="296">
        <f t="shared" si="100"/>
        <v>0</v>
      </c>
      <c r="H211" s="187"/>
      <c r="I211" s="296">
        <f>ROUND(F211,0)</f>
        <v>0</v>
      </c>
      <c r="J211" s="296">
        <f t="shared" si="109"/>
        <v>0</v>
      </c>
      <c r="K211" s="188"/>
      <c r="L211" s="296">
        <f>ROUND(I211,0)</f>
        <v>0</v>
      </c>
      <c r="M211" s="296">
        <f t="shared" si="110"/>
        <v>0</v>
      </c>
      <c r="N211" s="188"/>
      <c r="O211" s="296">
        <f>ROUND(L211,0)</f>
        <v>0</v>
      </c>
      <c r="P211" s="296">
        <f t="shared" si="111"/>
        <v>0</v>
      </c>
      <c r="Q211" s="188"/>
      <c r="R211" s="296">
        <f>ROUND(O211,0)</f>
        <v>0</v>
      </c>
      <c r="S211" s="296">
        <f t="shared" si="95"/>
        <v>0</v>
      </c>
      <c r="T211" s="188"/>
      <c r="U211" s="296">
        <f>ROUND(R211,0)</f>
        <v>0</v>
      </c>
      <c r="V211" s="296">
        <f t="shared" si="96"/>
        <v>0</v>
      </c>
      <c r="W211" s="188"/>
      <c r="X211" s="296">
        <f>ROUND(U211,0)</f>
        <v>0</v>
      </c>
      <c r="Y211" s="296">
        <f t="shared" si="98"/>
        <v>0</v>
      </c>
      <c r="Z211" s="188"/>
    </row>
    <row r="212" spans="2:26" s="309" customFormat="1" outlineLevel="1" x14ac:dyDescent="0.25">
      <c r="B212" s="309">
        <v>1012</v>
      </c>
      <c r="C212" s="308" t="s">
        <v>949</v>
      </c>
      <c r="D212" s="310" t="s">
        <v>950</v>
      </c>
      <c r="E212" s="311">
        <v>501000</v>
      </c>
      <c r="F212" s="311">
        <f>ROUND(E212,0)</f>
        <v>501000</v>
      </c>
      <c r="G212" s="296">
        <f t="shared" si="100"/>
        <v>0</v>
      </c>
      <c r="H212" s="312"/>
      <c r="I212" s="296">
        <f>ROUND(F212,0)</f>
        <v>501000</v>
      </c>
      <c r="J212" s="296">
        <f t="shared" si="109"/>
        <v>0</v>
      </c>
      <c r="K212" s="313"/>
      <c r="L212" s="296">
        <f>ROUND(I212,0)</f>
        <v>501000</v>
      </c>
      <c r="M212" s="296">
        <f t="shared" si="110"/>
        <v>0</v>
      </c>
      <c r="N212" s="313"/>
      <c r="O212" s="296">
        <f>ROUND(L212,0)</f>
        <v>501000</v>
      </c>
      <c r="P212" s="296">
        <f t="shared" si="111"/>
        <v>0</v>
      </c>
      <c r="Q212" s="313"/>
      <c r="R212" s="296">
        <f>ROUND(O212,0)</f>
        <v>501000</v>
      </c>
      <c r="S212" s="296">
        <f t="shared" si="95"/>
        <v>0</v>
      </c>
      <c r="T212" s="313"/>
      <c r="U212" s="296">
        <f>ROUND(R212,0)</f>
        <v>501000</v>
      </c>
      <c r="V212" s="296">
        <f t="shared" si="96"/>
        <v>0</v>
      </c>
      <c r="W212" s="313"/>
      <c r="X212" s="296">
        <f>ROUND(U212,0)</f>
        <v>501000</v>
      </c>
      <c r="Y212" s="296">
        <f t="shared" si="98"/>
        <v>0</v>
      </c>
      <c r="Z212" s="313"/>
    </row>
    <row r="213" spans="2:26" s="309" customFormat="1" outlineLevel="1" x14ac:dyDescent="0.25">
      <c r="C213" s="308" t="s">
        <v>951</v>
      </c>
      <c r="D213" s="310" t="s">
        <v>952</v>
      </c>
      <c r="E213" s="311"/>
      <c r="F213" s="311"/>
      <c r="G213" s="296"/>
      <c r="H213" s="312"/>
      <c r="I213" s="296"/>
      <c r="J213" s="296"/>
      <c r="K213" s="313"/>
      <c r="L213" s="296"/>
      <c r="M213" s="296"/>
      <c r="N213" s="313"/>
      <c r="O213" s="296">
        <f>1186</f>
        <v>1186</v>
      </c>
      <c r="P213" s="296">
        <f t="shared" si="111"/>
        <v>1186</v>
      </c>
      <c r="Q213" s="138" t="s">
        <v>942</v>
      </c>
      <c r="R213" s="296">
        <f>1186</f>
        <v>1186</v>
      </c>
      <c r="S213" s="296">
        <f t="shared" si="95"/>
        <v>0</v>
      </c>
      <c r="T213" s="138"/>
      <c r="U213" s="296">
        <f>1186</f>
        <v>1186</v>
      </c>
      <c r="V213" s="296">
        <f t="shared" si="96"/>
        <v>0</v>
      </c>
      <c r="W213" s="138"/>
      <c r="X213" s="296">
        <f>1186</f>
        <v>1186</v>
      </c>
      <c r="Y213" s="296">
        <f t="shared" si="98"/>
        <v>0</v>
      </c>
      <c r="Z213" s="138"/>
    </row>
    <row r="214" spans="2:26" s="309" customFormat="1" outlineLevel="1" x14ac:dyDescent="0.25">
      <c r="B214" s="309">
        <v>1015</v>
      </c>
      <c r="C214" s="308" t="s">
        <v>953</v>
      </c>
      <c r="D214" s="310" t="s">
        <v>954</v>
      </c>
      <c r="E214" s="311">
        <v>6220</v>
      </c>
      <c r="F214" s="311">
        <f>ROUND(E214,0)</f>
        <v>6220</v>
      </c>
      <c r="G214" s="296">
        <f t="shared" si="100"/>
        <v>0</v>
      </c>
      <c r="H214" s="312"/>
      <c r="I214" s="296">
        <f>ROUND(F214,0)</f>
        <v>6220</v>
      </c>
      <c r="J214" s="296">
        <f t="shared" si="109"/>
        <v>0</v>
      </c>
      <c r="K214" s="313"/>
      <c r="L214" s="296">
        <f>ROUND(I214,0)</f>
        <v>6220</v>
      </c>
      <c r="M214" s="296">
        <f t="shared" si="110"/>
        <v>0</v>
      </c>
      <c r="N214" s="313"/>
      <c r="O214" s="296">
        <f>ROUND(L214,0)-28</f>
        <v>6192</v>
      </c>
      <c r="P214" s="296">
        <f t="shared" si="111"/>
        <v>-28</v>
      </c>
      <c r="Q214" s="313" t="s">
        <v>955</v>
      </c>
      <c r="R214" s="296">
        <f>ROUND(O214,0)</f>
        <v>6192</v>
      </c>
      <c r="S214" s="296">
        <f t="shared" si="95"/>
        <v>0</v>
      </c>
      <c r="T214" s="313"/>
      <c r="U214" s="296">
        <f>ROUND(R214,0)</f>
        <v>6192</v>
      </c>
      <c r="V214" s="296">
        <f t="shared" si="96"/>
        <v>0</v>
      </c>
      <c r="W214" s="313"/>
      <c r="X214" s="296">
        <f>ROUND(U214,0)</f>
        <v>6192</v>
      </c>
      <c r="Y214" s="296">
        <f t="shared" si="98"/>
        <v>0</v>
      </c>
      <c r="Z214" s="313"/>
    </row>
    <row r="215" spans="2:26" s="249" customFormat="1" ht="19.5" customHeight="1" x14ac:dyDescent="0.25">
      <c r="C215" s="258" t="s">
        <v>480</v>
      </c>
      <c r="D215" s="259" t="s">
        <v>956</v>
      </c>
      <c r="E215" s="190">
        <v>14014</v>
      </c>
      <c r="F215" s="190">
        <f>F216+F217</f>
        <v>14244</v>
      </c>
      <c r="G215" s="166">
        <f t="shared" si="100"/>
        <v>230</v>
      </c>
      <c r="H215" s="191"/>
      <c r="I215" s="166">
        <f>I216+I217</f>
        <v>14244</v>
      </c>
      <c r="J215" s="166">
        <f t="shared" si="109"/>
        <v>0</v>
      </c>
      <c r="K215" s="192"/>
      <c r="L215" s="166">
        <f>L216+L217</f>
        <v>14244</v>
      </c>
      <c r="M215" s="166">
        <f t="shared" si="110"/>
        <v>0</v>
      </c>
      <c r="N215" s="192"/>
      <c r="O215" s="166">
        <f>O216+O217</f>
        <v>14244</v>
      </c>
      <c r="P215" s="166">
        <f t="shared" si="111"/>
        <v>0</v>
      </c>
      <c r="Q215" s="192"/>
      <c r="R215" s="166">
        <f>R216+R217</f>
        <v>14244</v>
      </c>
      <c r="S215" s="166">
        <f t="shared" si="95"/>
        <v>0</v>
      </c>
      <c r="T215" s="192"/>
      <c r="U215" s="166">
        <f>U216+U217</f>
        <v>14244</v>
      </c>
      <c r="V215" s="166">
        <f t="shared" si="96"/>
        <v>0</v>
      </c>
      <c r="W215" s="192"/>
      <c r="X215" s="166">
        <f>X216+X217</f>
        <v>14244</v>
      </c>
      <c r="Y215" s="166">
        <f t="shared" si="98"/>
        <v>0</v>
      </c>
      <c r="Z215" s="192"/>
    </row>
    <row r="216" spans="2:26" s="309" customFormat="1" outlineLevel="1" x14ac:dyDescent="0.25">
      <c r="B216" s="309">
        <v>1011</v>
      </c>
      <c r="C216" s="308" t="s">
        <v>957</v>
      </c>
      <c r="D216" s="310" t="s">
        <v>958</v>
      </c>
      <c r="E216" s="311">
        <v>1407</v>
      </c>
      <c r="F216" s="311">
        <f>ROUND(E216,0)</f>
        <v>1407</v>
      </c>
      <c r="G216" s="296">
        <f t="shared" si="100"/>
        <v>0</v>
      </c>
      <c r="H216" s="312"/>
      <c r="I216" s="296">
        <f>ROUND(F216,0)</f>
        <v>1407</v>
      </c>
      <c r="J216" s="296">
        <f t="shared" si="109"/>
        <v>0</v>
      </c>
      <c r="K216" s="313"/>
      <c r="L216" s="296">
        <f>ROUND(I216,0)</f>
        <v>1407</v>
      </c>
      <c r="M216" s="296">
        <f t="shared" si="110"/>
        <v>0</v>
      </c>
      <c r="N216" s="313"/>
      <c r="O216" s="296">
        <f>ROUND(L216,0)</f>
        <v>1407</v>
      </c>
      <c r="P216" s="296">
        <f t="shared" si="111"/>
        <v>0</v>
      </c>
      <c r="Q216" s="313"/>
      <c r="R216" s="296">
        <f>ROUND(O216,0)</f>
        <v>1407</v>
      </c>
      <c r="S216" s="296">
        <f t="shared" si="95"/>
        <v>0</v>
      </c>
      <c r="T216" s="313"/>
      <c r="U216" s="296">
        <f>ROUND(R216,0)</f>
        <v>1407</v>
      </c>
      <c r="V216" s="296">
        <f t="shared" si="96"/>
        <v>0</v>
      </c>
      <c r="W216" s="313"/>
      <c r="X216" s="296">
        <f>ROUND(U216,0)</f>
        <v>1407</v>
      </c>
      <c r="Y216" s="296">
        <f t="shared" si="98"/>
        <v>0</v>
      </c>
      <c r="Z216" s="313"/>
    </row>
    <row r="217" spans="2:26" s="309" customFormat="1" outlineLevel="1" x14ac:dyDescent="0.25">
      <c r="B217" s="309">
        <v>1011</v>
      </c>
      <c r="C217" s="308" t="s">
        <v>959</v>
      </c>
      <c r="D217" s="310" t="s">
        <v>960</v>
      </c>
      <c r="E217" s="311">
        <v>12607</v>
      </c>
      <c r="F217" s="311">
        <f>ROUND(E217,0)+230</f>
        <v>12837</v>
      </c>
      <c r="G217" s="296">
        <f t="shared" si="100"/>
        <v>230</v>
      </c>
      <c r="H217" s="313" t="s">
        <v>357</v>
      </c>
      <c r="I217" s="296">
        <f>ROUND(F217,0)</f>
        <v>12837</v>
      </c>
      <c r="J217" s="296">
        <f t="shared" si="109"/>
        <v>0</v>
      </c>
      <c r="K217" s="313"/>
      <c r="L217" s="296">
        <f>ROUND(I217,0)</f>
        <v>12837</v>
      </c>
      <c r="M217" s="296">
        <f t="shared" si="110"/>
        <v>0</v>
      </c>
      <c r="N217" s="313"/>
      <c r="O217" s="296">
        <f>ROUND(L217,0)</f>
        <v>12837</v>
      </c>
      <c r="P217" s="296">
        <f t="shared" si="111"/>
        <v>0</v>
      </c>
      <c r="Q217" s="313"/>
      <c r="R217" s="296">
        <f>ROUND(O217,0)</f>
        <v>12837</v>
      </c>
      <c r="S217" s="296">
        <f t="shared" si="95"/>
        <v>0</v>
      </c>
      <c r="T217" s="313"/>
      <c r="U217" s="296">
        <f>ROUND(R217,0)</f>
        <v>12837</v>
      </c>
      <c r="V217" s="296">
        <f t="shared" si="96"/>
        <v>0</v>
      </c>
      <c r="W217" s="313"/>
      <c r="X217" s="296">
        <f>ROUND(U217,0)</f>
        <v>12837</v>
      </c>
      <c r="Y217" s="296">
        <f t="shared" si="98"/>
        <v>0</v>
      </c>
      <c r="Z217" s="313"/>
    </row>
    <row r="218" spans="2:26" s="249" customFormat="1" ht="27" customHeight="1" x14ac:dyDescent="0.25">
      <c r="C218" s="258" t="s">
        <v>482</v>
      </c>
      <c r="D218" s="259" t="s">
        <v>961</v>
      </c>
      <c r="E218" s="167">
        <v>622113.62317695003</v>
      </c>
      <c r="F218" s="167">
        <f t="shared" ref="F218:G218" si="114">SUM(F219:F222)</f>
        <v>659230</v>
      </c>
      <c r="G218" s="168">
        <f t="shared" si="114"/>
        <v>37116.376823049912</v>
      </c>
      <c r="H218" s="260"/>
      <c r="I218" s="168">
        <f>SUM(I219:I222)</f>
        <v>659230</v>
      </c>
      <c r="J218" s="168">
        <f t="shared" si="109"/>
        <v>0</v>
      </c>
      <c r="K218" s="261"/>
      <c r="L218" s="168">
        <f>SUM(L219:L222)</f>
        <v>631533</v>
      </c>
      <c r="M218" s="168">
        <f t="shared" si="110"/>
        <v>-27697</v>
      </c>
      <c r="N218" s="261"/>
      <c r="O218" s="168">
        <f>SUM(O219:O222)</f>
        <v>631533</v>
      </c>
      <c r="P218" s="168">
        <f t="shared" si="111"/>
        <v>0</v>
      </c>
      <c r="Q218" s="261"/>
      <c r="R218" s="168">
        <f>SUM(R219:R222)</f>
        <v>631533</v>
      </c>
      <c r="S218" s="168">
        <f t="shared" si="95"/>
        <v>0</v>
      </c>
      <c r="T218" s="261"/>
      <c r="U218" s="168">
        <f>SUM(U219:U222)</f>
        <v>631533</v>
      </c>
      <c r="V218" s="168">
        <f t="shared" si="96"/>
        <v>0</v>
      </c>
      <c r="W218" s="261"/>
      <c r="X218" s="168">
        <f>SUM(X219:X222)</f>
        <v>631533</v>
      </c>
      <c r="Y218" s="168">
        <f t="shared" si="98"/>
        <v>0</v>
      </c>
      <c r="Z218" s="261"/>
    </row>
    <row r="219" spans="2:26" s="249" customFormat="1" ht="15" customHeight="1" x14ac:dyDescent="0.25">
      <c r="B219" s="95" t="s">
        <v>962</v>
      </c>
      <c r="C219" s="314" t="s">
        <v>963</v>
      </c>
      <c r="D219" s="315" t="s">
        <v>964</v>
      </c>
      <c r="E219" s="135">
        <v>402246.62317695009</v>
      </c>
      <c r="F219" s="135">
        <f>ROUND(E219,0)</f>
        <v>402247</v>
      </c>
      <c r="G219" s="134">
        <f t="shared" si="100"/>
        <v>0.37682304991176352</v>
      </c>
      <c r="H219" s="136"/>
      <c r="I219" s="134">
        <f>ROUND(F219,0)</f>
        <v>402247</v>
      </c>
      <c r="J219" s="134">
        <f t="shared" si="109"/>
        <v>0</v>
      </c>
      <c r="K219" s="157"/>
      <c r="L219" s="134">
        <f>ROUND(I219,0)-27697</f>
        <v>374550</v>
      </c>
      <c r="M219" s="134">
        <f t="shared" si="110"/>
        <v>-27697</v>
      </c>
      <c r="N219" s="157" t="s">
        <v>747</v>
      </c>
      <c r="O219" s="134">
        <f>ROUND(L219,0)-3745</f>
        <v>370805</v>
      </c>
      <c r="P219" s="134">
        <f t="shared" si="111"/>
        <v>-3745</v>
      </c>
      <c r="Q219" s="138" t="s">
        <v>965</v>
      </c>
      <c r="R219" s="134">
        <f>ROUND(O219,0)</f>
        <v>370805</v>
      </c>
      <c r="S219" s="134">
        <f t="shared" si="95"/>
        <v>0</v>
      </c>
      <c r="T219" s="138"/>
      <c r="U219" s="134">
        <f>ROUND(R219,0)</f>
        <v>370805</v>
      </c>
      <c r="V219" s="134">
        <f t="shared" si="96"/>
        <v>0</v>
      </c>
      <c r="W219" s="138"/>
      <c r="X219" s="134">
        <f>ROUND(U219,0)</f>
        <v>370805</v>
      </c>
      <c r="Y219" s="134">
        <f t="shared" si="98"/>
        <v>0</v>
      </c>
      <c r="Z219" s="138"/>
    </row>
    <row r="220" spans="2:26" s="249" customFormat="1" ht="15" customHeight="1" x14ac:dyDescent="0.25">
      <c r="B220" s="95" t="s">
        <v>962</v>
      </c>
      <c r="C220" s="314" t="s">
        <v>966</v>
      </c>
      <c r="D220" s="315" t="s">
        <v>967</v>
      </c>
      <c r="E220" s="135"/>
      <c r="F220" s="135"/>
      <c r="G220" s="134"/>
      <c r="H220" s="136"/>
      <c r="I220" s="134"/>
      <c r="J220" s="134"/>
      <c r="K220" s="157"/>
      <c r="L220" s="134"/>
      <c r="M220" s="134"/>
      <c r="N220" s="157"/>
      <c r="O220" s="134">
        <f>3745</f>
        <v>3745</v>
      </c>
      <c r="P220" s="134">
        <f t="shared" si="111"/>
        <v>3745</v>
      </c>
      <c r="Q220" s="138" t="s">
        <v>965</v>
      </c>
      <c r="R220" s="134">
        <f>3745</f>
        <v>3745</v>
      </c>
      <c r="S220" s="134">
        <f t="shared" si="95"/>
        <v>0</v>
      </c>
      <c r="T220" s="138"/>
      <c r="U220" s="134">
        <f>3745</f>
        <v>3745</v>
      </c>
      <c r="V220" s="134">
        <f t="shared" si="96"/>
        <v>0</v>
      </c>
      <c r="W220" s="138"/>
      <c r="X220" s="134">
        <f>3745</f>
        <v>3745</v>
      </c>
      <c r="Y220" s="134">
        <f t="shared" si="98"/>
        <v>0</v>
      </c>
      <c r="Z220" s="138"/>
    </row>
    <row r="221" spans="2:26" s="249" customFormat="1" ht="15.75" customHeight="1" x14ac:dyDescent="0.25">
      <c r="B221" s="95" t="s">
        <v>962</v>
      </c>
      <c r="C221" s="316" t="s">
        <v>968</v>
      </c>
      <c r="D221" s="315" t="s">
        <v>969</v>
      </c>
      <c r="E221" s="135">
        <v>10250</v>
      </c>
      <c r="F221" s="135">
        <f>ROUND(E221,0)+38150</f>
        <v>48400</v>
      </c>
      <c r="G221" s="134">
        <f t="shared" si="100"/>
        <v>38150</v>
      </c>
      <c r="H221" s="137" t="s">
        <v>970</v>
      </c>
      <c r="I221" s="134">
        <f t="shared" ref="I221:I228" si="115">ROUND(F221,0)</f>
        <v>48400</v>
      </c>
      <c r="J221" s="134">
        <f t="shared" si="109"/>
        <v>0</v>
      </c>
      <c r="K221" s="137"/>
      <c r="L221" s="134">
        <f t="shared" ref="L221:L228" si="116">ROUND(I221,0)</f>
        <v>48400</v>
      </c>
      <c r="M221" s="134">
        <f t="shared" si="110"/>
        <v>0</v>
      </c>
      <c r="N221" s="137"/>
      <c r="O221" s="134">
        <f t="shared" ref="O221:O228" si="117">ROUND(L221,0)</f>
        <v>48400</v>
      </c>
      <c r="P221" s="134">
        <f t="shared" si="111"/>
        <v>0</v>
      </c>
      <c r="Q221" s="137"/>
      <c r="R221" s="134">
        <f t="shared" ref="R221:R228" si="118">ROUND(O221,0)</f>
        <v>48400</v>
      </c>
      <c r="S221" s="134">
        <f t="shared" si="95"/>
        <v>0</v>
      </c>
      <c r="T221" s="137"/>
      <c r="U221" s="134">
        <f t="shared" ref="U221:U228" si="119">ROUND(R221,0)</f>
        <v>48400</v>
      </c>
      <c r="V221" s="134">
        <f t="shared" si="96"/>
        <v>0</v>
      </c>
      <c r="W221" s="137"/>
      <c r="X221" s="134">
        <f t="shared" ref="X221:X223" si="120">ROUND(U221,0)</f>
        <v>48400</v>
      </c>
      <c r="Y221" s="134">
        <f t="shared" si="98"/>
        <v>0</v>
      </c>
      <c r="Z221" s="137"/>
    </row>
    <row r="222" spans="2:26" s="249" customFormat="1" ht="15.6" customHeight="1" x14ac:dyDescent="0.25">
      <c r="B222" s="95" t="s">
        <v>971</v>
      </c>
      <c r="C222" s="314" t="s">
        <v>972</v>
      </c>
      <c r="D222" s="315" t="s">
        <v>973</v>
      </c>
      <c r="E222" s="135">
        <v>209617</v>
      </c>
      <c r="F222" s="135">
        <f>ROUND(E222,0)-1034</f>
        <v>208583</v>
      </c>
      <c r="G222" s="134">
        <f t="shared" si="100"/>
        <v>-1034</v>
      </c>
      <c r="H222" s="137" t="s">
        <v>357</v>
      </c>
      <c r="I222" s="134">
        <f t="shared" si="115"/>
        <v>208583</v>
      </c>
      <c r="J222" s="134">
        <f t="shared" si="109"/>
        <v>0</v>
      </c>
      <c r="K222" s="137"/>
      <c r="L222" s="134">
        <f t="shared" si="116"/>
        <v>208583</v>
      </c>
      <c r="M222" s="134">
        <f t="shared" si="110"/>
        <v>0</v>
      </c>
      <c r="N222" s="137"/>
      <c r="O222" s="134">
        <f t="shared" si="117"/>
        <v>208583</v>
      </c>
      <c r="P222" s="134">
        <f t="shared" si="111"/>
        <v>0</v>
      </c>
      <c r="Q222" s="137"/>
      <c r="R222" s="134">
        <f t="shared" si="118"/>
        <v>208583</v>
      </c>
      <c r="S222" s="134">
        <f t="shared" si="95"/>
        <v>0</v>
      </c>
      <c r="T222" s="137"/>
      <c r="U222" s="134">
        <f t="shared" si="119"/>
        <v>208583</v>
      </c>
      <c r="V222" s="134">
        <f t="shared" si="96"/>
        <v>0</v>
      </c>
      <c r="W222" s="137"/>
      <c r="X222" s="134">
        <f t="shared" si="120"/>
        <v>208583</v>
      </c>
      <c r="Y222" s="134">
        <f t="shared" si="98"/>
        <v>0</v>
      </c>
      <c r="Z222" s="137"/>
    </row>
    <row r="223" spans="2:26" s="249" customFormat="1" ht="16.149999999999999" customHeight="1" x14ac:dyDescent="0.25">
      <c r="C223" s="258" t="s">
        <v>974</v>
      </c>
      <c r="D223" s="259" t="s">
        <v>975</v>
      </c>
      <c r="E223" s="190">
        <v>139599.07449700119</v>
      </c>
      <c r="F223" s="190">
        <f>ROUND(E223,0)</f>
        <v>139599</v>
      </c>
      <c r="G223" s="166">
        <f t="shared" si="100"/>
        <v>-7.4497001187410206E-2</v>
      </c>
      <c r="H223" s="260"/>
      <c r="I223" s="166">
        <f>ROUND(F223,0)</f>
        <v>139599</v>
      </c>
      <c r="J223" s="166">
        <f t="shared" si="109"/>
        <v>0</v>
      </c>
      <c r="K223" s="192"/>
      <c r="L223" s="166">
        <f t="shared" si="116"/>
        <v>139599</v>
      </c>
      <c r="M223" s="166">
        <f t="shared" si="110"/>
        <v>0</v>
      </c>
      <c r="N223" s="192"/>
      <c r="O223" s="166">
        <f t="shared" si="117"/>
        <v>139599</v>
      </c>
      <c r="P223" s="166">
        <f t="shared" si="111"/>
        <v>0</v>
      </c>
      <c r="Q223" s="192"/>
      <c r="R223" s="166">
        <f t="shared" si="118"/>
        <v>139599</v>
      </c>
      <c r="S223" s="166">
        <f t="shared" si="95"/>
        <v>0</v>
      </c>
      <c r="T223" s="192"/>
      <c r="U223" s="166">
        <f t="shared" si="119"/>
        <v>139599</v>
      </c>
      <c r="V223" s="166">
        <f t="shared" si="96"/>
        <v>0</v>
      </c>
      <c r="W223" s="192"/>
      <c r="X223" s="166">
        <f t="shared" si="120"/>
        <v>139599</v>
      </c>
      <c r="Y223" s="166">
        <f t="shared" si="98"/>
        <v>0</v>
      </c>
      <c r="Z223" s="192"/>
    </row>
    <row r="224" spans="2:26" s="249" customFormat="1" ht="18.75" customHeight="1" x14ac:dyDescent="0.25">
      <c r="B224" s="95">
        <v>1016</v>
      </c>
      <c r="C224" s="258" t="s">
        <v>976</v>
      </c>
      <c r="D224" s="259" t="s">
        <v>549</v>
      </c>
      <c r="E224" s="190">
        <v>50000</v>
      </c>
      <c r="F224" s="190">
        <f>ROUND(E224,0)</f>
        <v>50000</v>
      </c>
      <c r="G224" s="166">
        <f t="shared" si="100"/>
        <v>0</v>
      </c>
      <c r="H224" s="260"/>
      <c r="I224" s="166">
        <f>ROUND(F224,0)</f>
        <v>50000</v>
      </c>
      <c r="J224" s="166">
        <f t="shared" si="109"/>
        <v>0</v>
      </c>
      <c r="K224" s="261"/>
      <c r="L224" s="166">
        <f t="shared" si="116"/>
        <v>50000</v>
      </c>
      <c r="M224" s="166">
        <f t="shared" si="110"/>
        <v>0</v>
      </c>
      <c r="N224" s="261"/>
      <c r="O224" s="166">
        <f>ROUND(L224,0)</f>
        <v>50000</v>
      </c>
      <c r="P224" s="166">
        <f t="shared" si="111"/>
        <v>0</v>
      </c>
      <c r="Q224" s="261"/>
      <c r="R224" s="166">
        <f t="shared" si="118"/>
        <v>50000</v>
      </c>
      <c r="S224" s="166">
        <f t="shared" si="95"/>
        <v>0</v>
      </c>
      <c r="T224" s="261"/>
      <c r="U224" s="166">
        <f>ROUND(R224,0)+20000</f>
        <v>70000</v>
      </c>
      <c r="V224" s="166">
        <f t="shared" si="96"/>
        <v>20000</v>
      </c>
      <c r="W224" s="192" t="s">
        <v>550</v>
      </c>
      <c r="X224" s="166">
        <f>ROUND(U224,0)</f>
        <v>70000</v>
      </c>
      <c r="Y224" s="166">
        <f t="shared" si="98"/>
        <v>0</v>
      </c>
      <c r="Z224" s="192"/>
    </row>
    <row r="225" spans="2:26" s="249" customFormat="1" ht="18.75" customHeight="1" x14ac:dyDescent="0.25">
      <c r="B225" s="95">
        <v>1017</v>
      </c>
      <c r="C225" s="258" t="s">
        <v>977</v>
      </c>
      <c r="D225" s="259" t="s">
        <v>552</v>
      </c>
      <c r="E225" s="190">
        <v>200000</v>
      </c>
      <c r="F225" s="190">
        <f>ROUND(E225,0)</f>
        <v>200000</v>
      </c>
      <c r="G225" s="166">
        <f t="shared" si="100"/>
        <v>0</v>
      </c>
      <c r="H225" s="260"/>
      <c r="I225" s="166">
        <f t="shared" si="115"/>
        <v>200000</v>
      </c>
      <c r="J225" s="166">
        <f t="shared" si="109"/>
        <v>0</v>
      </c>
      <c r="K225" s="261"/>
      <c r="L225" s="166">
        <f t="shared" si="116"/>
        <v>200000</v>
      </c>
      <c r="M225" s="166">
        <f t="shared" si="110"/>
        <v>0</v>
      </c>
      <c r="N225" s="261"/>
      <c r="O225" s="166">
        <f t="shared" si="117"/>
        <v>200000</v>
      </c>
      <c r="P225" s="166">
        <f t="shared" si="111"/>
        <v>0</v>
      </c>
      <c r="Q225" s="261"/>
      <c r="R225" s="166">
        <f t="shared" si="118"/>
        <v>200000</v>
      </c>
      <c r="S225" s="166">
        <f t="shared" si="95"/>
        <v>0</v>
      </c>
      <c r="T225" s="261"/>
      <c r="U225" s="166">
        <f t="shared" si="119"/>
        <v>200000</v>
      </c>
      <c r="V225" s="166">
        <f t="shared" si="96"/>
        <v>0</v>
      </c>
      <c r="W225" s="261"/>
      <c r="X225" s="166">
        <f t="shared" ref="X225:X228" si="121">ROUND(U225,0)</f>
        <v>200000</v>
      </c>
      <c r="Y225" s="166">
        <f t="shared" si="98"/>
        <v>0</v>
      </c>
      <c r="Z225" s="261"/>
    </row>
    <row r="226" spans="2:26" s="249" customFormat="1" ht="40.15" customHeight="1" x14ac:dyDescent="0.25">
      <c r="B226" s="95">
        <v>1018</v>
      </c>
      <c r="C226" s="258" t="s">
        <v>978</v>
      </c>
      <c r="D226" s="259" t="s">
        <v>816</v>
      </c>
      <c r="E226" s="190"/>
      <c r="F226" s="190"/>
      <c r="G226" s="166"/>
      <c r="H226" s="260"/>
      <c r="I226" s="166"/>
      <c r="J226" s="166"/>
      <c r="K226" s="261"/>
      <c r="L226" s="166"/>
      <c r="M226" s="166"/>
      <c r="N226" s="261"/>
      <c r="O226" s="166">
        <v>44284</v>
      </c>
      <c r="P226" s="166">
        <f t="shared" si="111"/>
        <v>44284</v>
      </c>
      <c r="Q226" s="192" t="s">
        <v>979</v>
      </c>
      <c r="R226" s="166">
        <f t="shared" si="118"/>
        <v>44284</v>
      </c>
      <c r="S226" s="166">
        <f t="shared" si="95"/>
        <v>0</v>
      </c>
      <c r="T226" s="192"/>
      <c r="U226" s="166">
        <f t="shared" si="119"/>
        <v>44284</v>
      </c>
      <c r="V226" s="166">
        <f t="shared" si="96"/>
        <v>0</v>
      </c>
      <c r="W226" s="192"/>
      <c r="X226" s="166">
        <f t="shared" si="121"/>
        <v>44284</v>
      </c>
      <c r="Y226" s="166">
        <f t="shared" si="98"/>
        <v>0</v>
      </c>
      <c r="Z226" s="192"/>
    </row>
    <row r="227" spans="2:26" ht="40.9" customHeight="1" x14ac:dyDescent="0.25">
      <c r="B227" s="95" t="s">
        <v>980</v>
      </c>
      <c r="C227" s="258" t="s">
        <v>981</v>
      </c>
      <c r="D227" s="259" t="s">
        <v>982</v>
      </c>
      <c r="E227" s="190">
        <v>10226</v>
      </c>
      <c r="F227" s="190">
        <f>ROUND(E227,0)</f>
        <v>10226</v>
      </c>
      <c r="G227" s="166">
        <f>F227-E227</f>
        <v>0</v>
      </c>
      <c r="H227" s="260"/>
      <c r="I227" s="134">
        <f t="shared" si="115"/>
        <v>10226</v>
      </c>
      <c r="J227" s="134">
        <f t="shared" si="109"/>
        <v>0</v>
      </c>
      <c r="K227" s="157"/>
      <c r="L227" s="134">
        <f t="shared" si="116"/>
        <v>10226</v>
      </c>
      <c r="M227" s="134">
        <f t="shared" si="110"/>
        <v>0</v>
      </c>
      <c r="N227" s="157"/>
      <c r="O227" s="134">
        <f t="shared" si="117"/>
        <v>10226</v>
      </c>
      <c r="P227" s="134">
        <f t="shared" si="111"/>
        <v>0</v>
      </c>
      <c r="Q227" s="157"/>
      <c r="R227" s="134">
        <f t="shared" si="118"/>
        <v>10226</v>
      </c>
      <c r="S227" s="134">
        <f t="shared" si="95"/>
        <v>0</v>
      </c>
      <c r="T227" s="157"/>
      <c r="U227" s="134">
        <f t="shared" si="119"/>
        <v>10226</v>
      </c>
      <c r="V227" s="134">
        <f t="shared" si="96"/>
        <v>0</v>
      </c>
      <c r="W227" s="157"/>
      <c r="X227" s="134">
        <f t="shared" si="121"/>
        <v>10226</v>
      </c>
      <c r="Y227" s="134">
        <f t="shared" si="98"/>
        <v>0</v>
      </c>
      <c r="Z227" s="157"/>
    </row>
    <row r="228" spans="2:26" ht="44.45" customHeight="1" x14ac:dyDescent="0.25">
      <c r="B228" s="95" t="s">
        <v>983</v>
      </c>
      <c r="C228" s="258" t="s">
        <v>984</v>
      </c>
      <c r="D228" s="259" t="s">
        <v>985</v>
      </c>
      <c r="E228" s="190">
        <v>4086</v>
      </c>
      <c r="F228" s="190">
        <f>ROUND(E228,0)</f>
        <v>4086</v>
      </c>
      <c r="G228" s="166">
        <f>F228-E228</f>
        <v>0</v>
      </c>
      <c r="H228" s="260"/>
      <c r="I228" s="134">
        <f t="shared" si="115"/>
        <v>4086</v>
      </c>
      <c r="J228" s="134">
        <f t="shared" si="109"/>
        <v>0</v>
      </c>
      <c r="K228" s="157"/>
      <c r="L228" s="134">
        <f t="shared" si="116"/>
        <v>4086</v>
      </c>
      <c r="M228" s="134">
        <f t="shared" si="110"/>
        <v>0</v>
      </c>
      <c r="N228" s="157"/>
      <c r="O228" s="134">
        <f t="shared" si="117"/>
        <v>4086</v>
      </c>
      <c r="P228" s="134">
        <f t="shared" si="111"/>
        <v>0</v>
      </c>
      <c r="Q228" s="157"/>
      <c r="R228" s="134">
        <f t="shared" si="118"/>
        <v>4086</v>
      </c>
      <c r="S228" s="134">
        <f t="shared" si="95"/>
        <v>0</v>
      </c>
      <c r="T228" s="157"/>
      <c r="U228" s="134">
        <f t="shared" si="119"/>
        <v>4086</v>
      </c>
      <c r="V228" s="134">
        <f t="shared" si="96"/>
        <v>0</v>
      </c>
      <c r="W228" s="157"/>
      <c r="X228" s="134">
        <f t="shared" si="121"/>
        <v>4086</v>
      </c>
      <c r="Y228" s="134">
        <f t="shared" si="98"/>
        <v>0</v>
      </c>
      <c r="Z228" s="157"/>
    </row>
    <row r="229" spans="2:26" x14ac:dyDescent="0.25">
      <c r="C229" s="263" t="s">
        <v>485</v>
      </c>
      <c r="D229" s="264" t="s">
        <v>986</v>
      </c>
      <c r="E229" s="142">
        <v>24609695.260866992</v>
      </c>
      <c r="F229" s="142">
        <f t="shared" ref="F229" si="122">F230+F231+F235+F239+F243+F247+F251+F262+F263+F281+F284+F287+F288+F289+F290+F291+F292+F293</f>
        <v>25093873</v>
      </c>
      <c r="G229" s="141">
        <f>F229-E229</f>
        <v>484177.73913300782</v>
      </c>
      <c r="H229" s="145"/>
      <c r="I229" s="141">
        <f>I230+I231+I235+I239+I243+I247+I251+I262+I263+I281+I284+I287+I288+I289+I290+I291+I292+I293</f>
        <v>25311613</v>
      </c>
      <c r="J229" s="141">
        <f t="shared" si="109"/>
        <v>217740</v>
      </c>
      <c r="K229" s="141"/>
      <c r="L229" s="141">
        <f>L230+L231+L235+L239+L243+L247+L251+L262+L263+L281+L284+L287+L288+L289+L290+L291+L292+L293</f>
        <v>25298401</v>
      </c>
      <c r="M229" s="141">
        <f t="shared" si="110"/>
        <v>-13212</v>
      </c>
      <c r="N229" s="141"/>
      <c r="O229" s="141">
        <f>O230+O231+O235+O239+O243+O247+O251+O262+O263+O281+O284+O287+O288+O289+O290+O291+O292+O293</f>
        <v>25291772</v>
      </c>
      <c r="P229" s="141">
        <f t="shared" si="111"/>
        <v>-6629</v>
      </c>
      <c r="Q229" s="141"/>
      <c r="R229" s="141">
        <f>R230+R231+R235+R239+R243+R247+R251+R262+R263+R281+R284+R287+R288+R289+R290+R291+R292+R293</f>
        <v>25713889</v>
      </c>
      <c r="S229" s="141">
        <f t="shared" si="95"/>
        <v>422117</v>
      </c>
      <c r="T229" s="141"/>
      <c r="U229" s="141">
        <f>U230+U231+U235+U239+U243+U247+U251+U262+U263+U281+U284+U287+U288+U289+U290+U291+U292+U293</f>
        <v>25861417</v>
      </c>
      <c r="V229" s="141">
        <f t="shared" si="96"/>
        <v>147528</v>
      </c>
      <c r="W229" s="141"/>
      <c r="X229" s="141">
        <f>X230+X231+X235+X239+X243+X247+X251+X262+X263+X281+X284+X287+X288+X289+X290+X291+X292+X293</f>
        <v>26012585</v>
      </c>
      <c r="Y229" s="141">
        <f t="shared" si="98"/>
        <v>151168</v>
      </c>
      <c r="Z229" s="141"/>
    </row>
    <row r="230" spans="2:26" ht="27.6" customHeight="1" x14ac:dyDescent="0.25">
      <c r="B230" s="317" t="s">
        <v>987</v>
      </c>
      <c r="C230" s="258" t="s">
        <v>988</v>
      </c>
      <c r="D230" s="270" t="s">
        <v>989</v>
      </c>
      <c r="E230" s="190">
        <v>750000</v>
      </c>
      <c r="F230" s="190">
        <f>ROUND(E230,0)</f>
        <v>750000</v>
      </c>
      <c r="G230" s="166">
        <f t="shared" si="100"/>
        <v>0</v>
      </c>
      <c r="H230" s="191"/>
      <c r="I230" s="166">
        <f>ROUND(F230,0)</f>
        <v>750000</v>
      </c>
      <c r="J230" s="166">
        <f t="shared" si="109"/>
        <v>0</v>
      </c>
      <c r="K230" s="192"/>
      <c r="L230" s="166">
        <f>ROUND(I230,0)</f>
        <v>750000</v>
      </c>
      <c r="M230" s="166">
        <f t="shared" si="110"/>
        <v>0</v>
      </c>
      <c r="N230" s="192"/>
      <c r="O230" s="166">
        <f>ROUND(L230,0)</f>
        <v>750000</v>
      </c>
      <c r="P230" s="166">
        <f t="shared" si="111"/>
        <v>0</v>
      </c>
      <c r="Q230" s="192"/>
      <c r="R230" s="166">
        <f>ROUND(O230,0)+80000+70000</f>
        <v>900000</v>
      </c>
      <c r="S230" s="166">
        <f t="shared" si="95"/>
        <v>150000</v>
      </c>
      <c r="T230" s="192" t="s">
        <v>654</v>
      </c>
      <c r="U230" s="166">
        <f>ROUND(R230,0)</f>
        <v>900000</v>
      </c>
      <c r="V230" s="166">
        <f t="shared" si="96"/>
        <v>0</v>
      </c>
      <c r="W230" s="192"/>
      <c r="X230" s="166">
        <f>ROUND(U230,0)</f>
        <v>900000</v>
      </c>
      <c r="Y230" s="166">
        <f t="shared" si="98"/>
        <v>0</v>
      </c>
      <c r="Z230" s="192"/>
    </row>
    <row r="231" spans="2:26" ht="17.45" customHeight="1" x14ac:dyDescent="0.25">
      <c r="C231" s="258" t="s">
        <v>990</v>
      </c>
      <c r="D231" s="270" t="s">
        <v>991</v>
      </c>
      <c r="E231" s="190">
        <v>2321467.5649073655</v>
      </c>
      <c r="F231" s="190">
        <f t="shared" ref="F231" si="123">SUM(F232:F234)</f>
        <v>2327886</v>
      </c>
      <c r="G231" s="166">
        <f t="shared" si="100"/>
        <v>6418.4350926345214</v>
      </c>
      <c r="H231" s="260"/>
      <c r="I231" s="166">
        <f>SUM(I232:I234)</f>
        <v>2335378</v>
      </c>
      <c r="J231" s="166">
        <f t="shared" si="109"/>
        <v>7492</v>
      </c>
      <c r="K231" s="261"/>
      <c r="L231" s="166">
        <f>SUM(L232:L234)</f>
        <v>2312869</v>
      </c>
      <c r="M231" s="166">
        <f t="shared" si="110"/>
        <v>-22509</v>
      </c>
      <c r="N231" s="261"/>
      <c r="O231" s="166">
        <f>SUM(O232:O234)</f>
        <v>2312869</v>
      </c>
      <c r="P231" s="166">
        <f t="shared" si="111"/>
        <v>0</v>
      </c>
      <c r="Q231" s="261"/>
      <c r="R231" s="166">
        <f>SUM(R232:R234)</f>
        <v>2315847</v>
      </c>
      <c r="S231" s="166">
        <f t="shared" si="95"/>
        <v>2978</v>
      </c>
      <c r="T231" s="261"/>
      <c r="U231" s="166">
        <f>SUM(U232:U234)</f>
        <v>2299371</v>
      </c>
      <c r="V231" s="166">
        <f t="shared" si="96"/>
        <v>-16476</v>
      </c>
      <c r="W231" s="261"/>
      <c r="X231" s="166">
        <f>SUM(X232:X234)</f>
        <v>2299371</v>
      </c>
      <c r="Y231" s="166">
        <f t="shared" si="98"/>
        <v>0</v>
      </c>
      <c r="Z231" s="261"/>
    </row>
    <row r="232" spans="2:26" ht="16.149999999999999" customHeight="1" x14ac:dyDescent="0.25">
      <c r="B232" s="183" t="s">
        <v>992</v>
      </c>
      <c r="C232" s="266" t="s">
        <v>993</v>
      </c>
      <c r="D232" s="231" t="s">
        <v>994</v>
      </c>
      <c r="E232" s="319">
        <v>413462</v>
      </c>
      <c r="F232" s="319">
        <f>ROUND(E232,0)+399+324</f>
        <v>414185</v>
      </c>
      <c r="G232" s="318">
        <f t="shared" si="100"/>
        <v>723</v>
      </c>
      <c r="H232" s="138" t="s">
        <v>995</v>
      </c>
      <c r="I232" s="318">
        <f>ROUND(F232,0)+7380+112</f>
        <v>421677</v>
      </c>
      <c r="J232" s="318">
        <f t="shared" si="109"/>
        <v>7492</v>
      </c>
      <c r="K232" s="138" t="s">
        <v>996</v>
      </c>
      <c r="L232" s="318">
        <f>ROUND(I232,0)</f>
        <v>421677</v>
      </c>
      <c r="M232" s="318">
        <f t="shared" si="110"/>
        <v>0</v>
      </c>
      <c r="N232" s="138"/>
      <c r="O232" s="318">
        <f>ROUND(L232,0)</f>
        <v>421677</v>
      </c>
      <c r="P232" s="318">
        <f t="shared" si="111"/>
        <v>0</v>
      </c>
      <c r="Q232" s="138"/>
      <c r="R232" s="318">
        <f>ROUND(O232,0)</f>
        <v>421677</v>
      </c>
      <c r="S232" s="318">
        <f t="shared" si="95"/>
        <v>0</v>
      </c>
      <c r="T232" s="138"/>
      <c r="U232" s="318">
        <f>ROUND(R232,0)-18775-2065</f>
        <v>400837</v>
      </c>
      <c r="V232" s="318">
        <f t="shared" si="96"/>
        <v>-20840</v>
      </c>
      <c r="W232" s="138" t="s">
        <v>497</v>
      </c>
      <c r="X232" s="318">
        <f>ROUND(U232,0)</f>
        <v>400837</v>
      </c>
      <c r="Y232" s="318">
        <f t="shared" si="98"/>
        <v>0</v>
      </c>
      <c r="Z232" s="138"/>
    </row>
    <row r="233" spans="2:26" ht="17.25" customHeight="1" x14ac:dyDescent="0.25">
      <c r="B233" s="183" t="s">
        <v>997</v>
      </c>
      <c r="C233" s="266" t="s">
        <v>998</v>
      </c>
      <c r="D233" s="231" t="s">
        <v>999</v>
      </c>
      <c r="E233" s="319">
        <v>1908005.5649073652</v>
      </c>
      <c r="F233" s="319">
        <f>ROUND(E233,0)-160317+5695</f>
        <v>1753384</v>
      </c>
      <c r="G233" s="318">
        <f t="shared" si="100"/>
        <v>-154621.56490736525</v>
      </c>
      <c r="H233" s="138" t="s">
        <v>1000</v>
      </c>
      <c r="I233" s="318">
        <f>ROUND(F233,0)-145959</f>
        <v>1607425</v>
      </c>
      <c r="J233" s="318">
        <f t="shared" si="109"/>
        <v>-145959</v>
      </c>
      <c r="K233" s="138" t="s">
        <v>1001</v>
      </c>
      <c r="L233" s="318">
        <f>ROUND(I233,0)-22509</f>
        <v>1584916</v>
      </c>
      <c r="M233" s="318">
        <f t="shared" si="110"/>
        <v>-22509</v>
      </c>
      <c r="N233" s="138" t="s">
        <v>747</v>
      </c>
      <c r="O233" s="318">
        <f>ROUND(L233,0)-7811</f>
        <v>1577105</v>
      </c>
      <c r="P233" s="318">
        <f t="shared" si="111"/>
        <v>-7811</v>
      </c>
      <c r="Q233" s="138" t="s">
        <v>1002</v>
      </c>
      <c r="R233" s="318">
        <f>ROUND(O233,0)</f>
        <v>1577105</v>
      </c>
      <c r="S233" s="318">
        <f t="shared" si="95"/>
        <v>0</v>
      </c>
      <c r="T233" s="138"/>
      <c r="U233" s="318">
        <f>ROUND(R233,0)+10721-2109</f>
        <v>1585717</v>
      </c>
      <c r="V233" s="318">
        <f t="shared" si="96"/>
        <v>8612</v>
      </c>
      <c r="W233" s="268" t="s">
        <v>1003</v>
      </c>
      <c r="X233" s="318">
        <f>ROUND(U233,0)</f>
        <v>1585717</v>
      </c>
      <c r="Y233" s="318">
        <f t="shared" si="98"/>
        <v>0</v>
      </c>
      <c r="Z233" s="320"/>
    </row>
    <row r="234" spans="2:26" ht="18" customHeight="1" x14ac:dyDescent="0.25">
      <c r="B234" s="183"/>
      <c r="C234" s="266" t="s">
        <v>1004</v>
      </c>
      <c r="D234" s="231" t="s">
        <v>1005</v>
      </c>
      <c r="E234" s="319"/>
      <c r="F234" s="319">
        <v>160317</v>
      </c>
      <c r="G234" s="318">
        <f t="shared" si="100"/>
        <v>160317</v>
      </c>
      <c r="H234" s="321"/>
      <c r="I234" s="318">
        <f>ROUND(F234,0)+145959</f>
        <v>306276</v>
      </c>
      <c r="J234" s="318">
        <f>I234-F234</f>
        <v>145959</v>
      </c>
      <c r="K234" s="138" t="s">
        <v>1001</v>
      </c>
      <c r="L234" s="318">
        <f>ROUND(I234,0)</f>
        <v>306276</v>
      </c>
      <c r="M234" s="318">
        <f t="shared" si="110"/>
        <v>0</v>
      </c>
      <c r="N234" s="138"/>
      <c r="O234" s="318">
        <f>ROUND(L234,0)+7811</f>
        <v>314087</v>
      </c>
      <c r="P234" s="318">
        <f t="shared" si="111"/>
        <v>7811</v>
      </c>
      <c r="Q234" s="138" t="s">
        <v>1002</v>
      </c>
      <c r="R234" s="318">
        <f>ROUND(O234,0)+2978</f>
        <v>317065</v>
      </c>
      <c r="S234" s="318">
        <f t="shared" si="95"/>
        <v>2978</v>
      </c>
      <c r="T234" s="138" t="s">
        <v>1006</v>
      </c>
      <c r="U234" s="318">
        <f>ROUND(R234,0)-10721+2109+4364</f>
        <v>312817</v>
      </c>
      <c r="V234" s="318">
        <f t="shared" si="96"/>
        <v>-4248</v>
      </c>
      <c r="W234" s="269"/>
      <c r="X234" s="318">
        <f>ROUND(U234,0)</f>
        <v>312817</v>
      </c>
      <c r="Y234" s="318">
        <f t="shared" si="98"/>
        <v>0</v>
      </c>
      <c r="Z234" s="298"/>
    </row>
    <row r="235" spans="2:26" ht="18" customHeight="1" x14ac:dyDescent="0.25">
      <c r="C235" s="258" t="s">
        <v>1007</v>
      </c>
      <c r="D235" s="270" t="s">
        <v>1008</v>
      </c>
      <c r="E235" s="190">
        <v>1447835.9786112006</v>
      </c>
      <c r="F235" s="190">
        <f t="shared" ref="F235" si="124">F236+F237+F238</f>
        <v>1429177</v>
      </c>
      <c r="G235" s="166">
        <f t="shared" si="100"/>
        <v>-18658.978611200582</v>
      </c>
      <c r="H235" s="260"/>
      <c r="I235" s="166">
        <f>I236+I237+I238</f>
        <v>1432166</v>
      </c>
      <c r="J235" s="166">
        <f t="shared" si="109"/>
        <v>2989</v>
      </c>
      <c r="K235" s="261"/>
      <c r="L235" s="166">
        <f>L236+L237+L238</f>
        <v>1426182</v>
      </c>
      <c r="M235" s="166">
        <f t="shared" si="110"/>
        <v>-5984</v>
      </c>
      <c r="N235" s="261"/>
      <c r="O235" s="166">
        <f>O236+O237+O238</f>
        <v>1426182</v>
      </c>
      <c r="P235" s="166">
        <f t="shared" si="111"/>
        <v>0</v>
      </c>
      <c r="Q235" s="261"/>
      <c r="R235" s="166">
        <f>R236+R237+R238</f>
        <v>1430782</v>
      </c>
      <c r="S235" s="166">
        <f t="shared" si="95"/>
        <v>4600</v>
      </c>
      <c r="T235" s="261"/>
      <c r="U235" s="166">
        <f>U236+U237+U238</f>
        <v>1425343</v>
      </c>
      <c r="V235" s="166">
        <f t="shared" si="96"/>
        <v>-5439</v>
      </c>
      <c r="W235" s="261"/>
      <c r="X235" s="166">
        <f>X236+X237+X238</f>
        <v>1425343</v>
      </c>
      <c r="Y235" s="166">
        <f t="shared" si="98"/>
        <v>0</v>
      </c>
      <c r="Z235" s="261"/>
    </row>
    <row r="236" spans="2:26" ht="16.5" customHeight="1" x14ac:dyDescent="0.25">
      <c r="B236" s="183" t="s">
        <v>1009</v>
      </c>
      <c r="C236" s="266" t="s">
        <v>1010</v>
      </c>
      <c r="D236" s="231" t="s">
        <v>994</v>
      </c>
      <c r="E236" s="135">
        <v>158733</v>
      </c>
      <c r="F236" s="135">
        <f>ROUND(E236,0)+525</f>
        <v>159258</v>
      </c>
      <c r="G236" s="134">
        <f t="shared" si="100"/>
        <v>525</v>
      </c>
      <c r="H236" s="138" t="s">
        <v>995</v>
      </c>
      <c r="I236" s="134">
        <f>ROUND(F236,0)+2989</f>
        <v>162247</v>
      </c>
      <c r="J236" s="134">
        <f t="shared" si="109"/>
        <v>2989</v>
      </c>
      <c r="K236" s="138" t="s">
        <v>996</v>
      </c>
      <c r="L236" s="134">
        <f>ROUND(I236,0)</f>
        <v>162247</v>
      </c>
      <c r="M236" s="134">
        <f t="shared" si="110"/>
        <v>0</v>
      </c>
      <c r="N236" s="138"/>
      <c r="O236" s="134">
        <f>ROUND(L236,0)</f>
        <v>162247</v>
      </c>
      <c r="P236" s="134">
        <f t="shared" si="111"/>
        <v>0</v>
      </c>
      <c r="Q236" s="138"/>
      <c r="R236" s="134">
        <f>ROUND(O236,0)</f>
        <v>162247</v>
      </c>
      <c r="S236" s="134">
        <f t="shared" si="95"/>
        <v>0</v>
      </c>
      <c r="T236" s="138"/>
      <c r="U236" s="134">
        <f>ROUND(R236,0)-5439</f>
        <v>156808</v>
      </c>
      <c r="V236" s="134">
        <f t="shared" si="96"/>
        <v>-5439</v>
      </c>
      <c r="W236" s="138" t="s">
        <v>497</v>
      </c>
      <c r="X236" s="134">
        <f>ROUND(U236,0)</f>
        <v>156808</v>
      </c>
      <c r="Y236" s="134">
        <f t="shared" si="98"/>
        <v>0</v>
      </c>
      <c r="Z236" s="138"/>
    </row>
    <row r="237" spans="2:26" ht="13.5" customHeight="1" x14ac:dyDescent="0.25">
      <c r="B237" s="183" t="s">
        <v>1011</v>
      </c>
      <c r="C237" s="266" t="s">
        <v>1012</v>
      </c>
      <c r="D237" s="231" t="s">
        <v>999</v>
      </c>
      <c r="E237" s="135">
        <v>1289102.9786112006</v>
      </c>
      <c r="F237" s="135">
        <f>ROUND(E237,0)-119772-19184</f>
        <v>1150147</v>
      </c>
      <c r="G237" s="134">
        <f t="shared" si="100"/>
        <v>-138955.97861120058</v>
      </c>
      <c r="H237" s="138" t="s">
        <v>1000</v>
      </c>
      <c r="I237" s="134">
        <f>ROUND(F237,0)-64977</f>
        <v>1085170</v>
      </c>
      <c r="J237" s="134">
        <f t="shared" si="109"/>
        <v>-64977</v>
      </c>
      <c r="K237" s="138" t="s">
        <v>1013</v>
      </c>
      <c r="L237" s="134">
        <f>ROUND(I237,0)-3036</f>
        <v>1082134</v>
      </c>
      <c r="M237" s="134">
        <f t="shared" si="110"/>
        <v>-3036</v>
      </c>
      <c r="N237" s="138" t="s">
        <v>747</v>
      </c>
      <c r="O237" s="134">
        <f>ROUND(L237,0)</f>
        <v>1082134</v>
      </c>
      <c r="P237" s="134">
        <f t="shared" si="111"/>
        <v>0</v>
      </c>
      <c r="Q237" s="138"/>
      <c r="R237" s="134">
        <f>ROUND(O237,0)</f>
        <v>1082134</v>
      </c>
      <c r="S237" s="134">
        <f t="shared" si="95"/>
        <v>0</v>
      </c>
      <c r="T237" s="138"/>
      <c r="U237" s="134">
        <f>ROUND(R237,0)-7000</f>
        <v>1075134</v>
      </c>
      <c r="V237" s="134">
        <f t="shared" si="96"/>
        <v>-7000</v>
      </c>
      <c r="W237" s="138" t="s">
        <v>1014</v>
      </c>
      <c r="X237" s="134">
        <f>ROUND(U237,0)</f>
        <v>1075134</v>
      </c>
      <c r="Y237" s="134">
        <f t="shared" si="98"/>
        <v>0</v>
      </c>
      <c r="Z237" s="138"/>
    </row>
    <row r="238" spans="2:26" ht="16.899999999999999" customHeight="1" x14ac:dyDescent="0.25">
      <c r="B238" s="183"/>
      <c r="C238" s="266" t="s">
        <v>1015</v>
      </c>
      <c r="D238" s="231" t="s">
        <v>1005</v>
      </c>
      <c r="E238" s="135"/>
      <c r="F238" s="135">
        <v>119772</v>
      </c>
      <c r="G238" s="134">
        <f t="shared" si="100"/>
        <v>119772</v>
      </c>
      <c r="H238" s="161"/>
      <c r="I238" s="134">
        <f>ROUND(F238,0)+64977</f>
        <v>184749</v>
      </c>
      <c r="J238" s="134">
        <f>I238-F238</f>
        <v>64977</v>
      </c>
      <c r="K238" s="138" t="s">
        <v>1013</v>
      </c>
      <c r="L238" s="134">
        <f>ROUND(I238,0)-2948</f>
        <v>181801</v>
      </c>
      <c r="M238" s="134">
        <f t="shared" si="110"/>
        <v>-2948</v>
      </c>
      <c r="N238" s="138" t="s">
        <v>747</v>
      </c>
      <c r="O238" s="134">
        <f>ROUND(L238,0)</f>
        <v>181801</v>
      </c>
      <c r="P238" s="134">
        <f>O238-L238</f>
        <v>0</v>
      </c>
      <c r="Q238" s="138"/>
      <c r="R238" s="134">
        <f>ROUND(O238,0)+4600</f>
        <v>186401</v>
      </c>
      <c r="S238" s="134">
        <f t="shared" si="95"/>
        <v>4600</v>
      </c>
      <c r="T238" s="138" t="s">
        <v>1016</v>
      </c>
      <c r="U238" s="134">
        <f>ROUND(R238,0)+7000</f>
        <v>193401</v>
      </c>
      <c r="V238" s="134">
        <f t="shared" si="96"/>
        <v>7000</v>
      </c>
      <c r="W238" s="138"/>
      <c r="X238" s="134">
        <f>ROUND(U238,0)</f>
        <v>193401</v>
      </c>
      <c r="Y238" s="134">
        <f t="shared" si="98"/>
        <v>0</v>
      </c>
      <c r="Z238" s="138"/>
    </row>
    <row r="239" spans="2:26" ht="27.6" customHeight="1" x14ac:dyDescent="0.25">
      <c r="C239" s="322" t="s">
        <v>1017</v>
      </c>
      <c r="D239" s="270" t="s">
        <v>1018</v>
      </c>
      <c r="E239" s="190">
        <v>1594129.4529886562</v>
      </c>
      <c r="F239" s="190">
        <f>F240+F241+F242</f>
        <v>1595142</v>
      </c>
      <c r="G239" s="166">
        <f t="shared" si="100"/>
        <v>1012.5470113437623</v>
      </c>
      <c r="H239" s="260"/>
      <c r="I239" s="166">
        <f>I240+I241+I242</f>
        <v>1599680</v>
      </c>
      <c r="J239" s="166">
        <f t="shared" si="109"/>
        <v>4538</v>
      </c>
      <c r="K239" s="261"/>
      <c r="L239" s="166">
        <f>L240+L241+L242</f>
        <v>1599680</v>
      </c>
      <c r="M239" s="166">
        <f t="shared" si="110"/>
        <v>0</v>
      </c>
      <c r="N239" s="261"/>
      <c r="O239" s="166">
        <f>O240+O241+O242</f>
        <v>1602830</v>
      </c>
      <c r="P239" s="166">
        <f t="shared" si="111"/>
        <v>3150</v>
      </c>
      <c r="Q239" s="261"/>
      <c r="R239" s="166">
        <f>R240+R241+R242</f>
        <v>1614666</v>
      </c>
      <c r="S239" s="166">
        <f t="shared" si="95"/>
        <v>11836</v>
      </c>
      <c r="T239" s="261"/>
      <c r="U239" s="166">
        <f>U240+U241+U242</f>
        <v>1599521</v>
      </c>
      <c r="V239" s="166">
        <f t="shared" si="96"/>
        <v>-15145</v>
      </c>
      <c r="W239" s="261"/>
      <c r="X239" s="166">
        <f>X240+X241+X242</f>
        <v>1599521</v>
      </c>
      <c r="Y239" s="166">
        <f t="shared" si="98"/>
        <v>0</v>
      </c>
      <c r="Z239" s="261"/>
    </row>
    <row r="240" spans="2:26" ht="13.5" customHeight="1" x14ac:dyDescent="0.25">
      <c r="B240" s="95" t="s">
        <v>1019</v>
      </c>
      <c r="C240" s="266" t="s">
        <v>1020</v>
      </c>
      <c r="D240" s="231" t="s">
        <v>994</v>
      </c>
      <c r="E240" s="135">
        <v>238164</v>
      </c>
      <c r="F240" s="135">
        <f>ROUND(E240,0)+1013</f>
        <v>239177</v>
      </c>
      <c r="G240" s="134">
        <f t="shared" si="100"/>
        <v>1013</v>
      </c>
      <c r="H240" s="138" t="s">
        <v>995</v>
      </c>
      <c r="I240" s="134">
        <f>ROUND(F240,0)+4538</f>
        <v>243715</v>
      </c>
      <c r="J240" s="134">
        <f t="shared" si="109"/>
        <v>4538</v>
      </c>
      <c r="K240" s="137" t="s">
        <v>1021</v>
      </c>
      <c r="L240" s="134">
        <f>ROUND(I240,0)</f>
        <v>243715</v>
      </c>
      <c r="M240" s="134">
        <f t="shared" si="110"/>
        <v>0</v>
      </c>
      <c r="N240" s="138"/>
      <c r="O240" s="134">
        <f>ROUND(L240,0)</f>
        <v>243715</v>
      </c>
      <c r="P240" s="134">
        <f t="shared" si="111"/>
        <v>0</v>
      </c>
      <c r="Q240" s="138"/>
      <c r="R240" s="134">
        <f>ROUND(O240,0)</f>
        <v>243715</v>
      </c>
      <c r="S240" s="134">
        <f t="shared" si="95"/>
        <v>0</v>
      </c>
      <c r="T240" s="138"/>
      <c r="U240" s="134">
        <f>ROUND(R240,0)-15145</f>
        <v>228570</v>
      </c>
      <c r="V240" s="134">
        <f t="shared" si="96"/>
        <v>-15145</v>
      </c>
      <c r="W240" s="138" t="s">
        <v>497</v>
      </c>
      <c r="X240" s="134">
        <f>ROUND(U240,0)</f>
        <v>228570</v>
      </c>
      <c r="Y240" s="134">
        <f t="shared" si="98"/>
        <v>0</v>
      </c>
      <c r="Z240" s="138"/>
    </row>
    <row r="241" spans="2:26" ht="15.6" customHeight="1" x14ac:dyDescent="0.25">
      <c r="B241" s="95" t="s">
        <v>1022</v>
      </c>
      <c r="C241" s="266" t="s">
        <v>1023</v>
      </c>
      <c r="D241" s="231" t="s">
        <v>999</v>
      </c>
      <c r="E241" s="135">
        <v>1201933.4529886562</v>
      </c>
      <c r="F241" s="135">
        <f>ROUND(E241,0)-10900</f>
        <v>1191033</v>
      </c>
      <c r="G241" s="134">
        <f t="shared" si="100"/>
        <v>-10900.452988656238</v>
      </c>
      <c r="H241" s="323" t="s">
        <v>1024</v>
      </c>
      <c r="I241" s="134">
        <f>ROUND(F241,0)</f>
        <v>1191033</v>
      </c>
      <c r="J241" s="134">
        <f t="shared" si="109"/>
        <v>0</v>
      </c>
      <c r="K241" s="138"/>
      <c r="L241" s="134">
        <f>ROUND(I241,0)</f>
        <v>1191033</v>
      </c>
      <c r="M241" s="134">
        <f t="shared" si="110"/>
        <v>0</v>
      </c>
      <c r="N241" s="138"/>
      <c r="O241" s="134">
        <f>ROUND(L241,0)+3150</f>
        <v>1194183</v>
      </c>
      <c r="P241" s="134">
        <f t="shared" si="111"/>
        <v>3150</v>
      </c>
      <c r="Q241" s="138" t="s">
        <v>1025</v>
      </c>
      <c r="R241" s="134">
        <f>ROUND(O241,0)+2300+9536</f>
        <v>1206019</v>
      </c>
      <c r="S241" s="148">
        <f t="shared" si="95"/>
        <v>11836</v>
      </c>
      <c r="T241" s="161" t="s">
        <v>1026</v>
      </c>
      <c r="U241" s="134">
        <f>ROUND(R241,0)</f>
        <v>1206019</v>
      </c>
      <c r="V241" s="134">
        <f t="shared" si="96"/>
        <v>0</v>
      </c>
      <c r="W241" s="138"/>
      <c r="X241" s="134">
        <f>ROUND(U241,0)</f>
        <v>1206019</v>
      </c>
      <c r="Y241" s="134">
        <f t="shared" si="98"/>
        <v>0</v>
      </c>
      <c r="Z241" s="138"/>
    </row>
    <row r="242" spans="2:26" ht="17.45" customHeight="1" x14ac:dyDescent="0.25">
      <c r="C242" s="266" t="s">
        <v>1027</v>
      </c>
      <c r="D242" s="231" t="s">
        <v>1005</v>
      </c>
      <c r="E242" s="135">
        <v>154032</v>
      </c>
      <c r="F242" s="135">
        <f>ROUND(E242,0)+10900</f>
        <v>164932</v>
      </c>
      <c r="G242" s="134">
        <f>F242-E242</f>
        <v>10900</v>
      </c>
      <c r="H242" s="324"/>
      <c r="I242" s="134">
        <f>ROUND(F242,0)</f>
        <v>164932</v>
      </c>
      <c r="J242" s="134">
        <f t="shared" si="109"/>
        <v>0</v>
      </c>
      <c r="K242" s="138"/>
      <c r="L242" s="134">
        <f>ROUND(I242,0)</f>
        <v>164932</v>
      </c>
      <c r="M242" s="134">
        <f t="shared" si="110"/>
        <v>0</v>
      </c>
      <c r="N242" s="138"/>
      <c r="O242" s="134">
        <f>ROUND(L242,0)</f>
        <v>164932</v>
      </c>
      <c r="P242" s="134">
        <f t="shared" si="111"/>
        <v>0</v>
      </c>
      <c r="Q242" s="138"/>
      <c r="R242" s="134">
        <f>ROUND(O242,0)</f>
        <v>164932</v>
      </c>
      <c r="S242" s="134">
        <f t="shared" si="95"/>
        <v>0</v>
      </c>
      <c r="T242" s="138"/>
      <c r="U242" s="134">
        <f>ROUND(R242,0)</f>
        <v>164932</v>
      </c>
      <c r="V242" s="134">
        <f t="shared" si="96"/>
        <v>0</v>
      </c>
      <c r="W242" s="138"/>
      <c r="X242" s="134">
        <f>ROUND(U242,0)</f>
        <v>164932</v>
      </c>
      <c r="Y242" s="134">
        <f t="shared" si="98"/>
        <v>0</v>
      </c>
      <c r="Z242" s="138"/>
    </row>
    <row r="243" spans="2:26" x14ac:dyDescent="0.25">
      <c r="B243" s="95" t="s">
        <v>1028</v>
      </c>
      <c r="C243" s="322" t="s">
        <v>1029</v>
      </c>
      <c r="D243" s="270" t="s">
        <v>1030</v>
      </c>
      <c r="E243" s="190">
        <v>1451440.1020564402</v>
      </c>
      <c r="F243" s="190">
        <f t="shared" ref="F243" si="125">SUM(F244:F246)</f>
        <v>1453093</v>
      </c>
      <c r="G243" s="166">
        <f t="shared" si="100"/>
        <v>1652.8979435598012</v>
      </c>
      <c r="H243" s="260"/>
      <c r="I243" s="166">
        <f>SUM(I244:I246)</f>
        <v>1456118</v>
      </c>
      <c r="J243" s="166">
        <f t="shared" si="109"/>
        <v>3025</v>
      </c>
      <c r="K243" s="261"/>
      <c r="L243" s="166">
        <f>SUM(L244:L246)</f>
        <v>1451590</v>
      </c>
      <c r="M243" s="166">
        <f t="shared" si="110"/>
        <v>-4528</v>
      </c>
      <c r="N243" s="261"/>
      <c r="O243" s="166">
        <f>SUM(O244:O246)</f>
        <v>1451590</v>
      </c>
      <c r="P243" s="166">
        <f t="shared" si="111"/>
        <v>0</v>
      </c>
      <c r="Q243" s="261"/>
      <c r="R243" s="166">
        <f>SUM(R244:R246)</f>
        <v>1451590</v>
      </c>
      <c r="S243" s="166">
        <f t="shared" si="95"/>
        <v>0</v>
      </c>
      <c r="T243" s="261"/>
      <c r="U243" s="166">
        <f>SUM(U244:U246)</f>
        <v>1485448</v>
      </c>
      <c r="V243" s="166">
        <f t="shared" si="96"/>
        <v>33858</v>
      </c>
      <c r="W243" s="261"/>
      <c r="X243" s="166">
        <f>SUM(X244:X246)</f>
        <v>1485448</v>
      </c>
      <c r="Y243" s="166">
        <f t="shared" si="98"/>
        <v>0</v>
      </c>
      <c r="Z243" s="261"/>
    </row>
    <row r="244" spans="2:26" s="326" customFormat="1" ht="17.25" customHeight="1" x14ac:dyDescent="0.25">
      <c r="B244" s="325" t="s">
        <v>1031</v>
      </c>
      <c r="C244" s="266" t="s">
        <v>1032</v>
      </c>
      <c r="D244" s="231" t="s">
        <v>994</v>
      </c>
      <c r="E244" s="135">
        <v>152284</v>
      </c>
      <c r="F244" s="135">
        <f>ROUND(E244,0)+1917-264</f>
        <v>153937</v>
      </c>
      <c r="G244" s="318">
        <f t="shared" si="100"/>
        <v>1653</v>
      </c>
      <c r="H244" s="138" t="s">
        <v>995</v>
      </c>
      <c r="I244" s="134">
        <f>ROUND(F244,0)+3025</f>
        <v>156962</v>
      </c>
      <c r="J244" s="318">
        <f t="shared" si="109"/>
        <v>3025</v>
      </c>
      <c r="K244" s="137" t="s">
        <v>1021</v>
      </c>
      <c r="L244" s="134">
        <f>ROUND(I244,0)</f>
        <v>156962</v>
      </c>
      <c r="M244" s="318">
        <f t="shared" si="110"/>
        <v>0</v>
      </c>
      <c r="N244" s="137"/>
      <c r="O244" s="134">
        <f>ROUND(L244,0)</f>
        <v>156962</v>
      </c>
      <c r="P244" s="318">
        <f t="shared" si="111"/>
        <v>0</v>
      </c>
      <c r="Q244" s="137"/>
      <c r="R244" s="134">
        <f>ROUND(O244,0)</f>
        <v>156962</v>
      </c>
      <c r="S244" s="318">
        <f t="shared" si="95"/>
        <v>0</v>
      </c>
      <c r="T244" s="137"/>
      <c r="U244" s="134">
        <f>ROUND(R244,0)+33858</f>
        <v>190820</v>
      </c>
      <c r="V244" s="318">
        <f t="shared" si="96"/>
        <v>33858</v>
      </c>
      <c r="W244" s="137" t="s">
        <v>497</v>
      </c>
      <c r="X244" s="134">
        <f>ROUND(U244,0)</f>
        <v>190820</v>
      </c>
      <c r="Y244" s="318">
        <f t="shared" si="98"/>
        <v>0</v>
      </c>
      <c r="Z244" s="137"/>
    </row>
    <row r="245" spans="2:26" s="326" customFormat="1" ht="15.6" customHeight="1" x14ac:dyDescent="0.25">
      <c r="C245" s="266" t="s">
        <v>1033</v>
      </c>
      <c r="D245" s="231" t="s">
        <v>999</v>
      </c>
      <c r="E245" s="135">
        <v>1154321.1020564402</v>
      </c>
      <c r="F245" s="135">
        <f>ROUND(E245,0)</f>
        <v>1154321</v>
      </c>
      <c r="G245" s="318">
        <f t="shared" si="100"/>
        <v>-0.10205644019879401</v>
      </c>
      <c r="H245" s="161"/>
      <c r="I245" s="134">
        <f>ROUND(F245,0)</f>
        <v>1154321</v>
      </c>
      <c r="J245" s="318">
        <f t="shared" si="109"/>
        <v>0</v>
      </c>
      <c r="K245" s="137"/>
      <c r="L245" s="134">
        <f>ROUND(I245,0)-4528</f>
        <v>1149793</v>
      </c>
      <c r="M245" s="318">
        <f t="shared" si="110"/>
        <v>-4528</v>
      </c>
      <c r="N245" s="137" t="s">
        <v>747</v>
      </c>
      <c r="O245" s="134">
        <f>ROUND(L245,0)</f>
        <v>1149793</v>
      </c>
      <c r="P245" s="318">
        <f t="shared" si="111"/>
        <v>0</v>
      </c>
      <c r="Q245" s="137"/>
      <c r="R245" s="134">
        <f>ROUND(O245,0)</f>
        <v>1149793</v>
      </c>
      <c r="S245" s="318">
        <f t="shared" si="95"/>
        <v>0</v>
      </c>
      <c r="T245" s="137"/>
      <c r="U245" s="134">
        <f>ROUND(R245,0)</f>
        <v>1149793</v>
      </c>
      <c r="V245" s="318">
        <f t="shared" si="96"/>
        <v>0</v>
      </c>
      <c r="W245" s="137"/>
      <c r="X245" s="134">
        <f>ROUND(U245,0)</f>
        <v>1149793</v>
      </c>
      <c r="Y245" s="318">
        <f t="shared" si="98"/>
        <v>0</v>
      </c>
      <c r="Z245" s="137"/>
    </row>
    <row r="246" spans="2:26" s="326" customFormat="1" ht="13.9" customHeight="1" x14ac:dyDescent="0.25">
      <c r="C246" s="266" t="s">
        <v>1034</v>
      </c>
      <c r="D246" s="231" t="s">
        <v>1005</v>
      </c>
      <c r="E246" s="135">
        <v>144835</v>
      </c>
      <c r="F246" s="135">
        <f>ROUND(E246,0)</f>
        <v>144835</v>
      </c>
      <c r="G246" s="318">
        <f>F246-E246</f>
        <v>0</v>
      </c>
      <c r="H246" s="161"/>
      <c r="I246" s="134">
        <f>ROUND(F246,0)</f>
        <v>144835</v>
      </c>
      <c r="J246" s="318">
        <f t="shared" si="109"/>
        <v>0</v>
      </c>
      <c r="K246" s="138"/>
      <c r="L246" s="134">
        <f>ROUND(I246,0)</f>
        <v>144835</v>
      </c>
      <c r="M246" s="318">
        <f t="shared" si="110"/>
        <v>0</v>
      </c>
      <c r="N246" s="138"/>
      <c r="O246" s="134">
        <f>ROUND(L246,0)</f>
        <v>144835</v>
      </c>
      <c r="P246" s="318">
        <f t="shared" si="111"/>
        <v>0</v>
      </c>
      <c r="Q246" s="138"/>
      <c r="R246" s="134">
        <f>ROUND(O246,0)</f>
        <v>144835</v>
      </c>
      <c r="S246" s="318">
        <f t="shared" si="95"/>
        <v>0</v>
      </c>
      <c r="T246" s="138"/>
      <c r="U246" s="134">
        <f>ROUND(R246,0)</f>
        <v>144835</v>
      </c>
      <c r="V246" s="318">
        <f t="shared" si="96"/>
        <v>0</v>
      </c>
      <c r="W246" s="138"/>
      <c r="X246" s="134">
        <f>ROUND(U246,0)</f>
        <v>144835</v>
      </c>
      <c r="Y246" s="318">
        <f t="shared" si="98"/>
        <v>0</v>
      </c>
      <c r="Z246" s="138"/>
    </row>
    <row r="247" spans="2:26" x14ac:dyDescent="0.25">
      <c r="C247" s="322" t="s">
        <v>1035</v>
      </c>
      <c r="D247" s="270" t="s">
        <v>1036</v>
      </c>
      <c r="E247" s="190">
        <v>2861690</v>
      </c>
      <c r="F247" s="190">
        <f>F248+F249+F250</f>
        <v>2818998</v>
      </c>
      <c r="G247" s="166">
        <f t="shared" si="100"/>
        <v>-42692</v>
      </c>
      <c r="H247" s="260"/>
      <c r="I247" s="166">
        <f>I248+I249+I250</f>
        <v>2827823</v>
      </c>
      <c r="J247" s="166">
        <f t="shared" si="109"/>
        <v>8825</v>
      </c>
      <c r="K247" s="261"/>
      <c r="L247" s="166">
        <f>L248+L249+L250</f>
        <v>2827823</v>
      </c>
      <c r="M247" s="166">
        <f t="shared" si="110"/>
        <v>0</v>
      </c>
      <c r="N247" s="261"/>
      <c r="O247" s="166">
        <f>O248+O249+O250</f>
        <v>2827823</v>
      </c>
      <c r="P247" s="166">
        <f t="shared" si="111"/>
        <v>0</v>
      </c>
      <c r="Q247" s="261"/>
      <c r="R247" s="166">
        <f>R248+R249+R250</f>
        <v>3046262</v>
      </c>
      <c r="S247" s="166">
        <f t="shared" si="95"/>
        <v>218439</v>
      </c>
      <c r="T247" s="261" t="s">
        <v>654</v>
      </c>
      <c r="U247" s="166">
        <f>U248+U249+U250</f>
        <v>3076350</v>
      </c>
      <c r="V247" s="166">
        <f t="shared" si="96"/>
        <v>30088</v>
      </c>
      <c r="W247" s="261"/>
      <c r="X247" s="166">
        <f>X248+X249+X250</f>
        <v>3101350</v>
      </c>
      <c r="Y247" s="166">
        <f t="shared" si="98"/>
        <v>25000</v>
      </c>
      <c r="Z247" s="261"/>
    </row>
    <row r="248" spans="2:26" s="326" customFormat="1" ht="47.25" customHeight="1" x14ac:dyDescent="0.25">
      <c r="B248" s="325" t="s">
        <v>1037</v>
      </c>
      <c r="C248" s="327" t="s">
        <v>1038</v>
      </c>
      <c r="D248" s="328" t="s">
        <v>1039</v>
      </c>
      <c r="E248" s="135">
        <v>833320</v>
      </c>
      <c r="F248" s="135">
        <f>ROUND(E248,0)-44403+1711</f>
        <v>790628</v>
      </c>
      <c r="G248" s="318">
        <f t="shared" si="100"/>
        <v>-42692</v>
      </c>
      <c r="H248" s="189" t="s">
        <v>1040</v>
      </c>
      <c r="I248" s="134">
        <f>ROUND(F248,0)+8825</f>
        <v>799453</v>
      </c>
      <c r="J248" s="318">
        <f t="shared" si="109"/>
        <v>8825</v>
      </c>
      <c r="K248" s="301" t="s">
        <v>1041</v>
      </c>
      <c r="L248" s="134">
        <f>ROUND(I248,0)</f>
        <v>799453</v>
      </c>
      <c r="M248" s="318">
        <f t="shared" si="110"/>
        <v>0</v>
      </c>
      <c r="N248" s="137"/>
      <c r="O248" s="134">
        <f>ROUND(L248,0)</f>
        <v>799453</v>
      </c>
      <c r="P248" s="318">
        <f t="shared" si="111"/>
        <v>0</v>
      </c>
      <c r="Q248" s="137"/>
      <c r="R248" s="134">
        <f>ROUND(O248,0)-179115</f>
        <v>620338</v>
      </c>
      <c r="S248" s="318">
        <f t="shared" si="95"/>
        <v>-179115</v>
      </c>
      <c r="T248" s="137" t="s">
        <v>654</v>
      </c>
      <c r="U248" s="134">
        <f>ROUND(R248,0)+30088</f>
        <v>650426</v>
      </c>
      <c r="V248" s="318">
        <f t="shared" si="96"/>
        <v>30088</v>
      </c>
      <c r="W248" s="137" t="s">
        <v>497</v>
      </c>
      <c r="X248" s="134">
        <f>ROUND(U248,0)+15000+10000</f>
        <v>675426</v>
      </c>
      <c r="Y248" s="318">
        <f t="shared" si="98"/>
        <v>25000</v>
      </c>
      <c r="Z248" s="138" t="s">
        <v>1042</v>
      </c>
    </row>
    <row r="249" spans="2:26" s="326" customFormat="1" ht="16.149999999999999" customHeight="1" x14ac:dyDescent="0.25">
      <c r="B249" s="325" t="s">
        <v>1043</v>
      </c>
      <c r="C249" s="327" t="s">
        <v>1044</v>
      </c>
      <c r="D249" s="328" t="s">
        <v>1045</v>
      </c>
      <c r="E249" s="135">
        <v>1865620</v>
      </c>
      <c r="F249" s="135">
        <f>ROUND(E249,0)</f>
        <v>1865620</v>
      </c>
      <c r="G249" s="318">
        <f t="shared" si="100"/>
        <v>0</v>
      </c>
      <c r="H249" s="136"/>
      <c r="I249" s="134">
        <f>ROUND(F249,0)</f>
        <v>1865620</v>
      </c>
      <c r="J249" s="318">
        <f t="shared" si="109"/>
        <v>0</v>
      </c>
      <c r="K249" s="137"/>
      <c r="L249" s="134">
        <f>ROUND(I249,0)</f>
        <v>1865620</v>
      </c>
      <c r="M249" s="318">
        <f t="shared" si="110"/>
        <v>0</v>
      </c>
      <c r="N249" s="137"/>
      <c r="O249" s="134">
        <f>ROUND(L249,0)</f>
        <v>1865620</v>
      </c>
      <c r="P249" s="318">
        <f t="shared" si="111"/>
        <v>0</v>
      </c>
      <c r="Q249" s="137"/>
      <c r="R249" s="134">
        <f>ROUND(O249,0)+338737</f>
        <v>2204357</v>
      </c>
      <c r="S249" s="318">
        <f t="shared" si="95"/>
        <v>338737</v>
      </c>
      <c r="T249" s="137" t="s">
        <v>654</v>
      </c>
      <c r="U249" s="134">
        <f>ROUND(R249,0)</f>
        <v>2204357</v>
      </c>
      <c r="V249" s="318">
        <f t="shared" si="96"/>
        <v>0</v>
      </c>
      <c r="W249" s="137"/>
      <c r="X249" s="134">
        <f>ROUND(U249,0)</f>
        <v>2204357</v>
      </c>
      <c r="Y249" s="318">
        <f t="shared" si="98"/>
        <v>0</v>
      </c>
      <c r="Z249" s="137"/>
    </row>
    <row r="250" spans="2:26" ht="14.45" customHeight="1" x14ac:dyDescent="0.25">
      <c r="B250" s="183" t="s">
        <v>1046</v>
      </c>
      <c r="C250" s="266" t="s">
        <v>1047</v>
      </c>
      <c r="D250" s="231" t="s">
        <v>1048</v>
      </c>
      <c r="E250" s="135">
        <v>162750</v>
      </c>
      <c r="F250" s="135">
        <f>ROUND(E250,0)</f>
        <v>162750</v>
      </c>
      <c r="G250" s="318">
        <f t="shared" si="100"/>
        <v>0</v>
      </c>
      <c r="H250" s="136"/>
      <c r="I250" s="134">
        <f>ROUND(F250,0)</f>
        <v>162750</v>
      </c>
      <c r="J250" s="318">
        <f t="shared" si="109"/>
        <v>0</v>
      </c>
      <c r="K250" s="137"/>
      <c r="L250" s="134">
        <f>ROUND(I250,0)</f>
        <v>162750</v>
      </c>
      <c r="M250" s="318">
        <f t="shared" si="110"/>
        <v>0</v>
      </c>
      <c r="N250" s="137"/>
      <c r="O250" s="134">
        <f>ROUND(L250,0)</f>
        <v>162750</v>
      </c>
      <c r="P250" s="318">
        <f t="shared" si="111"/>
        <v>0</v>
      </c>
      <c r="Q250" s="137"/>
      <c r="R250" s="134">
        <f>ROUND(O250,0)+58817</f>
        <v>221567</v>
      </c>
      <c r="S250" s="318">
        <f t="shared" si="95"/>
        <v>58817</v>
      </c>
      <c r="T250" s="137" t="s">
        <v>654</v>
      </c>
      <c r="U250" s="134">
        <f>ROUND(R250,0)</f>
        <v>221567</v>
      </c>
      <c r="V250" s="318">
        <f t="shared" si="96"/>
        <v>0</v>
      </c>
      <c r="W250" s="137"/>
      <c r="X250" s="134">
        <f>ROUND(U250,0)</f>
        <v>221567</v>
      </c>
      <c r="Y250" s="318">
        <f t="shared" si="98"/>
        <v>0</v>
      </c>
      <c r="Z250" s="137"/>
    </row>
    <row r="251" spans="2:26" s="249" customFormat="1" ht="15.75" customHeight="1" x14ac:dyDescent="0.2">
      <c r="C251" s="322" t="s">
        <v>1049</v>
      </c>
      <c r="D251" s="270" t="s">
        <v>1050</v>
      </c>
      <c r="E251" s="272">
        <v>2139500.4741500001</v>
      </c>
      <c r="F251" s="272">
        <f>F252+F256+F257+F258+F259+F260+F261</f>
        <v>2133236</v>
      </c>
      <c r="G251" s="271">
        <f t="shared" si="100"/>
        <v>-6264.4741500001401</v>
      </c>
      <c r="H251" s="283"/>
      <c r="I251" s="271">
        <f>I252+I256+I257+I258+I259+I260+I261</f>
        <v>2205896</v>
      </c>
      <c r="J251" s="271">
        <f t="shared" si="109"/>
        <v>72660</v>
      </c>
      <c r="K251" s="284"/>
      <c r="L251" s="271">
        <f>L252+L256+L257+L258+L259+L260+L261</f>
        <v>2200705</v>
      </c>
      <c r="M251" s="271">
        <f t="shared" si="110"/>
        <v>-5191</v>
      </c>
      <c r="N251" s="284"/>
      <c r="O251" s="271">
        <f>O252+O256+O257+O258+O259+O260+O261</f>
        <v>2200705</v>
      </c>
      <c r="P251" s="271">
        <f t="shared" si="111"/>
        <v>0</v>
      </c>
      <c r="Q251" s="284"/>
      <c r="R251" s="271">
        <f>R252+R256+R257+R258+R259+R260+R261</f>
        <v>2246805</v>
      </c>
      <c r="S251" s="271">
        <f t="shared" si="95"/>
        <v>46100</v>
      </c>
      <c r="T251" s="284"/>
      <c r="U251" s="271">
        <f>U252+U256+U257+U258+U259+U260+U261</f>
        <v>2387345</v>
      </c>
      <c r="V251" s="271">
        <f t="shared" si="96"/>
        <v>140540</v>
      </c>
      <c r="W251" s="284"/>
      <c r="X251" s="271">
        <f>X252+X256+X257+X258+X259+X260+X261</f>
        <v>2425467</v>
      </c>
      <c r="Y251" s="271">
        <f t="shared" si="98"/>
        <v>38122</v>
      </c>
      <c r="Z251" s="284"/>
    </row>
    <row r="252" spans="2:26" s="131" customFormat="1" ht="17.25" customHeight="1" x14ac:dyDescent="0.25">
      <c r="B252" s="156" t="s">
        <v>1051</v>
      </c>
      <c r="C252" s="266" t="s">
        <v>1052</v>
      </c>
      <c r="D252" s="231" t="s">
        <v>994</v>
      </c>
      <c r="E252" s="135">
        <v>1127101</v>
      </c>
      <c r="F252" s="135">
        <f>F253+F254+F255</f>
        <v>1201531</v>
      </c>
      <c r="G252" s="134">
        <f t="shared" si="100"/>
        <v>74430</v>
      </c>
      <c r="H252" s="189" t="s">
        <v>1040</v>
      </c>
      <c r="I252" s="134">
        <f>I253+I254+I255</f>
        <v>1239539</v>
      </c>
      <c r="J252" s="134">
        <f t="shared" si="109"/>
        <v>38008</v>
      </c>
      <c r="K252" s="138"/>
      <c r="L252" s="134">
        <f>L253+L254+L255</f>
        <v>1239539</v>
      </c>
      <c r="M252" s="134">
        <f t="shared" si="110"/>
        <v>0</v>
      </c>
      <c r="N252" s="138"/>
      <c r="O252" s="134">
        <f>O253+O254+O255</f>
        <v>1239539</v>
      </c>
      <c r="P252" s="134">
        <f t="shared" si="111"/>
        <v>0</v>
      </c>
      <c r="Q252" s="138"/>
      <c r="R252" s="134">
        <f>R253+R254+R255</f>
        <v>1239539</v>
      </c>
      <c r="S252" s="134">
        <f t="shared" si="95"/>
        <v>0</v>
      </c>
      <c r="T252" s="138"/>
      <c r="U252" s="134">
        <f>U253+U254+U255</f>
        <v>1322260</v>
      </c>
      <c r="V252" s="134">
        <f t="shared" si="96"/>
        <v>82721</v>
      </c>
      <c r="W252" s="138" t="s">
        <v>497</v>
      </c>
      <c r="X252" s="134">
        <f>X253+X254+X255</f>
        <v>1322260</v>
      </c>
      <c r="Y252" s="134">
        <f t="shared" si="98"/>
        <v>0</v>
      </c>
      <c r="Z252" s="138"/>
    </row>
    <row r="253" spans="2:26" s="332" customFormat="1" ht="17.25" customHeight="1" x14ac:dyDescent="0.25">
      <c r="B253" s="329"/>
      <c r="C253" s="288" t="s">
        <v>1053</v>
      </c>
      <c r="D253" s="289" t="s">
        <v>1054</v>
      </c>
      <c r="E253" s="330">
        <v>1070901</v>
      </c>
      <c r="F253" s="330">
        <f>1070901+22307</f>
        <v>1093208</v>
      </c>
      <c r="G253" s="290">
        <f t="shared" si="100"/>
        <v>22307</v>
      </c>
      <c r="H253" s="331" t="s">
        <v>1040</v>
      </c>
      <c r="I253" s="290">
        <f t="shared" ref="I253:I262" si="126">ROUND(F253,0)</f>
        <v>1093208</v>
      </c>
      <c r="J253" s="290">
        <f t="shared" si="109"/>
        <v>0</v>
      </c>
      <c r="K253" s="301"/>
      <c r="L253" s="290">
        <f>ROUND(I253,0)</f>
        <v>1093208</v>
      </c>
      <c r="M253" s="134">
        <f t="shared" si="110"/>
        <v>0</v>
      </c>
      <c r="N253" s="301"/>
      <c r="O253" s="290">
        <f>ROUND(L253,0)</f>
        <v>1093208</v>
      </c>
      <c r="P253" s="290">
        <f>O253-L253</f>
        <v>0</v>
      </c>
      <c r="Q253" s="301"/>
      <c r="R253" s="290">
        <f t="shared" ref="R253:R262" si="127">ROUND(O253,0)</f>
        <v>1093208</v>
      </c>
      <c r="S253" s="290">
        <f t="shared" si="95"/>
        <v>0</v>
      </c>
      <c r="T253" s="301"/>
      <c r="U253" s="290">
        <f>ROUND(R253,0)+85381</f>
        <v>1178589</v>
      </c>
      <c r="V253" s="290">
        <f t="shared" si="96"/>
        <v>85381</v>
      </c>
      <c r="W253" s="301"/>
      <c r="X253" s="290">
        <f>ROUND(U253,0)</f>
        <v>1178589</v>
      </c>
      <c r="Y253" s="290">
        <f t="shared" si="98"/>
        <v>0</v>
      </c>
      <c r="Z253" s="301"/>
    </row>
    <row r="254" spans="2:26" s="332" customFormat="1" ht="19.899999999999999" customHeight="1" x14ac:dyDescent="0.25">
      <c r="B254" s="329"/>
      <c r="C254" s="288" t="s">
        <v>1055</v>
      </c>
      <c r="D254" s="289" t="s">
        <v>1056</v>
      </c>
      <c r="E254" s="330">
        <v>56200</v>
      </c>
      <c r="F254" s="330">
        <f>56200+52004-31</f>
        <v>108173</v>
      </c>
      <c r="G254" s="290">
        <f t="shared" si="100"/>
        <v>51973</v>
      </c>
      <c r="H254" s="331" t="s">
        <v>1040</v>
      </c>
      <c r="I254" s="290">
        <f>ROUND(F254,0)+18425</f>
        <v>126598</v>
      </c>
      <c r="J254" s="290">
        <f t="shared" si="109"/>
        <v>18425</v>
      </c>
      <c r="K254" s="301" t="s">
        <v>1041</v>
      </c>
      <c r="L254" s="290">
        <f>ROUND(I254,0)</f>
        <v>126598</v>
      </c>
      <c r="M254" s="134">
        <f t="shared" si="110"/>
        <v>0</v>
      </c>
      <c r="N254" s="301"/>
      <c r="O254" s="290">
        <f>ROUND(L254,0)</f>
        <v>126598</v>
      </c>
      <c r="P254" s="290">
        <f>O254-L254</f>
        <v>0</v>
      </c>
      <c r="Q254" s="301"/>
      <c r="R254" s="290">
        <f t="shared" si="127"/>
        <v>126598</v>
      </c>
      <c r="S254" s="290">
        <f t="shared" si="95"/>
        <v>0</v>
      </c>
      <c r="T254" s="301"/>
      <c r="U254" s="290">
        <f>ROUND(R254,0)-2660</f>
        <v>123938</v>
      </c>
      <c r="V254" s="290">
        <f t="shared" si="96"/>
        <v>-2660</v>
      </c>
      <c r="W254" s="301"/>
      <c r="X254" s="290">
        <f>ROUND(U254,0)</f>
        <v>123938</v>
      </c>
      <c r="Y254" s="290">
        <f t="shared" si="98"/>
        <v>0</v>
      </c>
      <c r="Z254" s="301"/>
    </row>
    <row r="255" spans="2:26" s="332" customFormat="1" ht="17.25" customHeight="1" x14ac:dyDescent="0.25">
      <c r="B255" s="329"/>
      <c r="C255" s="288" t="s">
        <v>1057</v>
      </c>
      <c r="D255" s="289" t="s">
        <v>1058</v>
      </c>
      <c r="E255" s="330"/>
      <c r="F255" s="330">
        <v>150</v>
      </c>
      <c r="G255" s="290">
        <f t="shared" si="100"/>
        <v>150</v>
      </c>
      <c r="H255" s="331" t="s">
        <v>1040</v>
      </c>
      <c r="I255" s="290">
        <f>ROUND(F255,0)+19583</f>
        <v>19733</v>
      </c>
      <c r="J255" s="290">
        <f t="shared" si="109"/>
        <v>19583</v>
      </c>
      <c r="K255" s="301" t="s">
        <v>996</v>
      </c>
      <c r="L255" s="290">
        <f>ROUND(I255,0)</f>
        <v>19733</v>
      </c>
      <c r="M255" s="134">
        <f t="shared" si="110"/>
        <v>0</v>
      </c>
      <c r="N255" s="301"/>
      <c r="O255" s="290">
        <f>ROUND(L255,0)</f>
        <v>19733</v>
      </c>
      <c r="P255" s="290">
        <f>O255-L255</f>
        <v>0</v>
      </c>
      <c r="Q255" s="301"/>
      <c r="R255" s="290">
        <f t="shared" si="127"/>
        <v>19733</v>
      </c>
      <c r="S255" s="290">
        <f t="shared" si="95"/>
        <v>0</v>
      </c>
      <c r="T255" s="301"/>
      <c r="U255" s="290">
        <f t="shared" ref="U255:U262" si="128">ROUND(R255,0)</f>
        <v>19733</v>
      </c>
      <c r="V255" s="290">
        <f t="shared" si="96"/>
        <v>0</v>
      </c>
      <c r="W255" s="301"/>
      <c r="X255" s="290">
        <f t="shared" ref="X255" si="129">ROUND(U255,0)</f>
        <v>19733</v>
      </c>
      <c r="Y255" s="290">
        <f t="shared" si="98"/>
        <v>0</v>
      </c>
      <c r="Z255" s="301"/>
    </row>
    <row r="256" spans="2:26" s="131" customFormat="1" ht="45" x14ac:dyDescent="0.25">
      <c r="B256" s="131" t="s">
        <v>1051</v>
      </c>
      <c r="C256" s="266" t="s">
        <v>1059</v>
      </c>
      <c r="D256" s="231" t="s">
        <v>1060</v>
      </c>
      <c r="E256" s="185">
        <v>49493</v>
      </c>
      <c r="F256" s="185">
        <f>ROUND(E256,0)+4754</f>
        <v>54247</v>
      </c>
      <c r="G256" s="134">
        <f t="shared" si="100"/>
        <v>4754</v>
      </c>
      <c r="H256" s="138" t="s">
        <v>995</v>
      </c>
      <c r="I256" s="134">
        <f t="shared" si="126"/>
        <v>54247</v>
      </c>
      <c r="J256" s="134">
        <f t="shared" si="109"/>
        <v>0</v>
      </c>
      <c r="K256" s="138"/>
      <c r="L256" s="134">
        <f t="shared" ref="L256:L262" si="130">ROUND(I256,0)</f>
        <v>54247</v>
      </c>
      <c r="M256" s="134">
        <f t="shared" si="110"/>
        <v>0</v>
      </c>
      <c r="N256" s="138"/>
      <c r="O256" s="134">
        <f t="shared" ref="O256:O261" si="131">ROUND(L256,0)</f>
        <v>54247</v>
      </c>
      <c r="P256" s="134">
        <f t="shared" si="111"/>
        <v>0</v>
      </c>
      <c r="Q256" s="138"/>
      <c r="R256" s="134">
        <f t="shared" si="127"/>
        <v>54247</v>
      </c>
      <c r="S256" s="134">
        <f t="shared" si="95"/>
        <v>0</v>
      </c>
      <c r="T256" s="138"/>
      <c r="U256" s="134">
        <f t="shared" si="128"/>
        <v>54247</v>
      </c>
      <c r="V256" s="134">
        <f t="shared" si="96"/>
        <v>0</v>
      </c>
      <c r="W256" s="138"/>
      <c r="X256" s="134">
        <f>ROUND(U256,0)+28000</f>
        <v>82247</v>
      </c>
      <c r="Y256" s="134">
        <f t="shared" si="98"/>
        <v>28000</v>
      </c>
      <c r="Z256" s="138" t="s">
        <v>1061</v>
      </c>
    </row>
    <row r="257" spans="2:26" s="131" customFormat="1" ht="87.75" customHeight="1" x14ac:dyDescent="0.25">
      <c r="B257" s="156" t="s">
        <v>1062</v>
      </c>
      <c r="C257" s="266" t="s">
        <v>1063</v>
      </c>
      <c r="D257" s="231" t="s">
        <v>999</v>
      </c>
      <c r="E257" s="135">
        <v>659972.47414999991</v>
      </c>
      <c r="F257" s="135">
        <f>ROUND(E257,0)-42018-43430</f>
        <v>574524</v>
      </c>
      <c r="G257" s="134">
        <f t="shared" si="100"/>
        <v>-85448.474149999907</v>
      </c>
      <c r="H257" s="189" t="s">
        <v>1064</v>
      </c>
      <c r="I257" s="134">
        <f t="shared" si="126"/>
        <v>574524</v>
      </c>
      <c r="J257" s="134">
        <f t="shared" si="109"/>
        <v>0</v>
      </c>
      <c r="K257" s="138" t="s">
        <v>1065</v>
      </c>
      <c r="L257" s="134">
        <f>ROUND(I257,0)-5191</f>
        <v>569333</v>
      </c>
      <c r="M257" s="134">
        <f t="shared" si="110"/>
        <v>-5191</v>
      </c>
      <c r="N257" s="138" t="s">
        <v>747</v>
      </c>
      <c r="O257" s="134">
        <f t="shared" si="131"/>
        <v>569333</v>
      </c>
      <c r="P257" s="134">
        <f t="shared" si="111"/>
        <v>0</v>
      </c>
      <c r="Q257" s="138"/>
      <c r="R257" s="134">
        <f t="shared" si="127"/>
        <v>569333</v>
      </c>
      <c r="S257" s="134">
        <f t="shared" si="95"/>
        <v>0</v>
      </c>
      <c r="T257" s="138"/>
      <c r="U257" s="134">
        <f>ROUND(R257,0)+57819</f>
        <v>627152</v>
      </c>
      <c r="V257" s="134">
        <f t="shared" si="96"/>
        <v>57819</v>
      </c>
      <c r="W257" s="138" t="s">
        <v>1066</v>
      </c>
      <c r="X257" s="134">
        <f>ROUND(U257,0)+6300+3822</f>
        <v>637274</v>
      </c>
      <c r="Y257" s="134">
        <f t="shared" si="98"/>
        <v>10122</v>
      </c>
      <c r="Z257" s="138" t="s">
        <v>1067</v>
      </c>
    </row>
    <row r="258" spans="2:26" s="131" customFormat="1" ht="16.899999999999999" customHeight="1" x14ac:dyDescent="0.25">
      <c r="B258" s="156"/>
      <c r="C258" s="266" t="s">
        <v>1068</v>
      </c>
      <c r="D258" s="231" t="s">
        <v>1005</v>
      </c>
      <c r="E258" s="135">
        <v>283797</v>
      </c>
      <c r="F258" s="135">
        <f>ROUND(E258,0)</f>
        <v>283797</v>
      </c>
      <c r="G258" s="134">
        <f t="shared" ref="G258:G261" si="132">F258-E258</f>
        <v>0</v>
      </c>
      <c r="H258" s="161"/>
      <c r="I258" s="134">
        <f t="shared" si="126"/>
        <v>283797</v>
      </c>
      <c r="J258" s="134">
        <f t="shared" si="109"/>
        <v>0</v>
      </c>
      <c r="K258" s="138"/>
      <c r="L258" s="134">
        <f t="shared" si="130"/>
        <v>283797</v>
      </c>
      <c r="M258" s="134">
        <f t="shared" si="110"/>
        <v>0</v>
      </c>
      <c r="N258" s="138"/>
      <c r="O258" s="134">
        <f>ROUND(L258,0)</f>
        <v>283797</v>
      </c>
      <c r="P258" s="134">
        <f t="shared" si="111"/>
        <v>0</v>
      </c>
      <c r="Q258" s="138"/>
      <c r="R258" s="134">
        <f t="shared" si="127"/>
        <v>283797</v>
      </c>
      <c r="S258" s="134">
        <f t="shared" si="95"/>
        <v>0</v>
      </c>
      <c r="T258" s="138"/>
      <c r="U258" s="134">
        <f t="shared" si="128"/>
        <v>283797</v>
      </c>
      <c r="V258" s="134">
        <f t="shared" si="96"/>
        <v>0</v>
      </c>
      <c r="W258" s="138"/>
      <c r="X258" s="134">
        <f t="shared" ref="X258:X262" si="133">ROUND(U258,0)</f>
        <v>283797</v>
      </c>
      <c r="Y258" s="134">
        <f t="shared" si="98"/>
        <v>0</v>
      </c>
      <c r="Z258" s="138"/>
    </row>
    <row r="259" spans="2:26" s="131" customFormat="1" ht="16.899999999999999" customHeight="1" x14ac:dyDescent="0.25">
      <c r="B259" s="156" t="s">
        <v>1069</v>
      </c>
      <c r="C259" s="266" t="s">
        <v>1070</v>
      </c>
      <c r="D259" s="231" t="s">
        <v>1071</v>
      </c>
      <c r="E259" s="135">
        <v>3668</v>
      </c>
      <c r="F259" s="135">
        <f>ROUND(E259,0)</f>
        <v>3668</v>
      </c>
      <c r="G259" s="134">
        <f t="shared" si="132"/>
        <v>0</v>
      </c>
      <c r="H259" s="136"/>
      <c r="I259" s="134">
        <f>ROUND(F259,0)+7552</f>
        <v>11220</v>
      </c>
      <c r="J259" s="134">
        <f t="shared" si="109"/>
        <v>7552</v>
      </c>
      <c r="K259" s="137" t="s">
        <v>533</v>
      </c>
      <c r="L259" s="134">
        <f t="shared" si="130"/>
        <v>11220</v>
      </c>
      <c r="M259" s="134">
        <f t="shared" si="110"/>
        <v>0</v>
      </c>
      <c r="N259" s="137"/>
      <c r="O259" s="134">
        <f t="shared" si="131"/>
        <v>11220</v>
      </c>
      <c r="P259" s="134">
        <f t="shared" si="111"/>
        <v>0</v>
      </c>
      <c r="Q259" s="137"/>
      <c r="R259" s="134">
        <f t="shared" si="127"/>
        <v>11220</v>
      </c>
      <c r="S259" s="134">
        <f t="shared" si="95"/>
        <v>0</v>
      </c>
      <c r="T259" s="137"/>
      <c r="U259" s="134">
        <f t="shared" si="128"/>
        <v>11220</v>
      </c>
      <c r="V259" s="134">
        <f t="shared" si="96"/>
        <v>0</v>
      </c>
      <c r="W259" s="137"/>
      <c r="X259" s="134">
        <f t="shared" si="133"/>
        <v>11220</v>
      </c>
      <c r="Y259" s="134">
        <f t="shared" si="98"/>
        <v>0</v>
      </c>
      <c r="Z259" s="137"/>
    </row>
    <row r="260" spans="2:26" s="249" customFormat="1" ht="15.6" customHeight="1" x14ac:dyDescent="0.25">
      <c r="B260" s="183" t="s">
        <v>1072</v>
      </c>
      <c r="C260" s="266" t="s">
        <v>1073</v>
      </c>
      <c r="D260" s="231" t="s">
        <v>1074</v>
      </c>
      <c r="E260" s="135">
        <v>15469</v>
      </c>
      <c r="F260" s="135">
        <f>ROUND(E260,0)</f>
        <v>15469</v>
      </c>
      <c r="G260" s="134">
        <f t="shared" si="132"/>
        <v>0</v>
      </c>
      <c r="H260" s="136"/>
      <c r="I260" s="134">
        <f>ROUND(F260,0)+27100</f>
        <v>42569</v>
      </c>
      <c r="J260" s="134">
        <f t="shared" si="109"/>
        <v>27100</v>
      </c>
      <c r="K260" s="333" t="s">
        <v>1075</v>
      </c>
      <c r="L260" s="134">
        <f t="shared" si="130"/>
        <v>42569</v>
      </c>
      <c r="M260" s="134">
        <f t="shared" si="110"/>
        <v>0</v>
      </c>
      <c r="N260" s="196"/>
      <c r="O260" s="134">
        <f t="shared" si="131"/>
        <v>42569</v>
      </c>
      <c r="P260" s="134">
        <f t="shared" si="111"/>
        <v>0</v>
      </c>
      <c r="Q260" s="196"/>
      <c r="R260" s="134">
        <f>ROUND(O260,0)+16100+30000</f>
        <v>88669</v>
      </c>
      <c r="S260" s="134">
        <f t="shared" ref="S260:S302" si="134">R260-O260</f>
        <v>46100</v>
      </c>
      <c r="T260" s="198" t="s">
        <v>608</v>
      </c>
      <c r="U260" s="134">
        <f t="shared" si="128"/>
        <v>88669</v>
      </c>
      <c r="V260" s="134">
        <f t="shared" ref="V260:V302" si="135">U260-R260</f>
        <v>0</v>
      </c>
      <c r="W260" s="198"/>
      <c r="X260" s="134">
        <f t="shared" si="133"/>
        <v>88669</v>
      </c>
      <c r="Y260" s="134">
        <f t="shared" ref="Y260:Y302" si="136">X260-U260</f>
        <v>0</v>
      </c>
      <c r="Z260" s="198"/>
    </row>
    <row r="261" spans="2:26" s="249" customFormat="1" ht="15" customHeight="1" x14ac:dyDescent="0.25">
      <c r="B261" s="183" t="s">
        <v>1076</v>
      </c>
      <c r="C261" s="266" t="s">
        <v>1077</v>
      </c>
      <c r="D261" s="231" t="s">
        <v>1078</v>
      </c>
      <c r="E261" s="135">
        <v>0</v>
      </c>
      <c r="F261" s="135">
        <f>ROUND(E261,0)</f>
        <v>0</v>
      </c>
      <c r="G261" s="134">
        <f t="shared" si="132"/>
        <v>0</v>
      </c>
      <c r="H261" s="136"/>
      <c r="I261" s="134">
        <f t="shared" si="126"/>
        <v>0</v>
      </c>
      <c r="J261" s="134">
        <f t="shared" si="109"/>
        <v>0</v>
      </c>
      <c r="K261" s="137"/>
      <c r="L261" s="134">
        <f t="shared" si="130"/>
        <v>0</v>
      </c>
      <c r="M261" s="134">
        <f t="shared" si="110"/>
        <v>0</v>
      </c>
      <c r="N261" s="137"/>
      <c r="O261" s="134">
        <f t="shared" si="131"/>
        <v>0</v>
      </c>
      <c r="P261" s="134">
        <f t="shared" si="111"/>
        <v>0</v>
      </c>
      <c r="Q261" s="137"/>
      <c r="R261" s="134">
        <f t="shared" si="127"/>
        <v>0</v>
      </c>
      <c r="S261" s="134">
        <f t="shared" si="134"/>
        <v>0</v>
      </c>
      <c r="T261" s="137"/>
      <c r="U261" s="134">
        <f t="shared" si="128"/>
        <v>0</v>
      </c>
      <c r="V261" s="134">
        <f t="shared" si="135"/>
        <v>0</v>
      </c>
      <c r="W261" s="137"/>
      <c r="X261" s="134">
        <f t="shared" si="133"/>
        <v>0</v>
      </c>
      <c r="Y261" s="134">
        <f t="shared" si="136"/>
        <v>0</v>
      </c>
      <c r="Z261" s="137"/>
    </row>
    <row r="262" spans="2:26" ht="13.5" customHeight="1" x14ac:dyDescent="0.25">
      <c r="B262" s="183" t="s">
        <v>1079</v>
      </c>
      <c r="C262" s="322" t="s">
        <v>1080</v>
      </c>
      <c r="D262" s="270" t="s">
        <v>308</v>
      </c>
      <c r="E262" s="272">
        <v>0</v>
      </c>
      <c r="F262" s="272">
        <f>ROUND(E262,0)+19357+102058</f>
        <v>121415</v>
      </c>
      <c r="G262" s="271">
        <f>F262-E262</f>
        <v>121415</v>
      </c>
      <c r="H262" s="192" t="s">
        <v>1081</v>
      </c>
      <c r="I262" s="271">
        <f t="shared" si="126"/>
        <v>121415</v>
      </c>
      <c r="J262" s="271">
        <f t="shared" si="109"/>
        <v>0</v>
      </c>
      <c r="K262" s="192"/>
      <c r="L262" s="271">
        <f t="shared" si="130"/>
        <v>121415</v>
      </c>
      <c r="M262" s="271">
        <f t="shared" si="110"/>
        <v>0</v>
      </c>
      <c r="N262" s="192"/>
      <c r="O262" s="271">
        <f>ROUND(L262,0)-6629</f>
        <v>114786</v>
      </c>
      <c r="P262" s="271">
        <f t="shared" si="111"/>
        <v>-6629</v>
      </c>
      <c r="Q262" s="192" t="s">
        <v>1082</v>
      </c>
      <c r="R262" s="271">
        <f t="shared" si="127"/>
        <v>114786</v>
      </c>
      <c r="S262" s="271">
        <f t="shared" si="134"/>
        <v>0</v>
      </c>
      <c r="T262" s="192"/>
      <c r="U262" s="271">
        <f t="shared" si="128"/>
        <v>114786</v>
      </c>
      <c r="V262" s="271">
        <f t="shared" si="135"/>
        <v>0</v>
      </c>
      <c r="W262" s="192"/>
      <c r="X262" s="271">
        <f t="shared" si="133"/>
        <v>114786</v>
      </c>
      <c r="Y262" s="271">
        <f t="shared" si="136"/>
        <v>0</v>
      </c>
      <c r="Z262" s="192"/>
    </row>
    <row r="263" spans="2:26" s="131" customFormat="1" ht="15.75" customHeight="1" x14ac:dyDescent="0.25">
      <c r="B263" s="156"/>
      <c r="C263" s="322" t="s">
        <v>1083</v>
      </c>
      <c r="D263" s="270" t="s">
        <v>1084</v>
      </c>
      <c r="E263" s="271">
        <v>8531591.7446570527</v>
      </c>
      <c r="F263" s="272">
        <f>F264+F268+F269+F270+F271+F272+F273+F274+F275+F276+F277</f>
        <v>8748498</v>
      </c>
      <c r="G263" s="272">
        <f t="shared" ref="G263:H263" si="137">G264+G268+G269+G270+G271+G272+G273+G274+G275+G276+G277</f>
        <v>216906.25534294697</v>
      </c>
      <c r="H263" s="272" t="e">
        <f t="shared" si="137"/>
        <v>#VALUE!</v>
      </c>
      <c r="I263" s="272">
        <f>I264+I268+I269+I270+I271+I272+I273+I274+I275+I276+I277</f>
        <v>8832612</v>
      </c>
      <c r="J263" s="271">
        <f t="shared" si="109"/>
        <v>84114</v>
      </c>
      <c r="K263" s="192"/>
      <c r="L263" s="272">
        <f>L264+L268+L269+L270+L271+L272+L273+L274+L275+L276+L277</f>
        <v>8853612</v>
      </c>
      <c r="M263" s="271">
        <f t="shared" si="110"/>
        <v>21000</v>
      </c>
      <c r="N263" s="192"/>
      <c r="O263" s="271">
        <f>O264+O268+O269+O270+O271+O272+O273+O274+O275+O276+O277</f>
        <v>8850462</v>
      </c>
      <c r="P263" s="271">
        <f t="shared" si="111"/>
        <v>-3150</v>
      </c>
      <c r="Q263" s="192"/>
      <c r="R263" s="271">
        <f>R264+R268+R269+R270+R271+R272+R273+R274+R275+R276+R277</f>
        <v>8838626</v>
      </c>
      <c r="S263" s="271">
        <f t="shared" si="134"/>
        <v>-11836</v>
      </c>
      <c r="T263" s="192"/>
      <c r="U263" s="271">
        <f>U264+U268+U269+U270+U271+U272+U273+U274+U275+U276+U277</f>
        <v>8818160</v>
      </c>
      <c r="V263" s="271">
        <f t="shared" si="135"/>
        <v>-20466</v>
      </c>
      <c r="W263" s="192"/>
      <c r="X263" s="271">
        <f>X264+X268+X269+X270+X271+X272+X273+X274+X275+X276+X277</f>
        <v>8906206</v>
      </c>
      <c r="Y263" s="271">
        <f t="shared" si="136"/>
        <v>88046</v>
      </c>
      <c r="Z263" s="192"/>
    </row>
    <row r="264" spans="2:26" s="131" customFormat="1" ht="17.25" customHeight="1" x14ac:dyDescent="0.25">
      <c r="B264" s="156" t="s">
        <v>700</v>
      </c>
      <c r="C264" s="266" t="s">
        <v>1085</v>
      </c>
      <c r="D264" s="231" t="s">
        <v>994</v>
      </c>
      <c r="E264" s="135">
        <v>4238288</v>
      </c>
      <c r="F264" s="135">
        <f>SUM(F265:F267)</f>
        <v>4362146</v>
      </c>
      <c r="G264" s="134">
        <f t="shared" ref="G264:G302" si="138">F264-E264</f>
        <v>123858</v>
      </c>
      <c r="H264" s="189" t="s">
        <v>1040</v>
      </c>
      <c r="I264" s="134">
        <f>SUM(I265:I267)</f>
        <v>4407640</v>
      </c>
      <c r="J264" s="134">
        <f t="shared" si="109"/>
        <v>45494</v>
      </c>
      <c r="K264" s="138"/>
      <c r="L264" s="134">
        <f>SUM(L265:L267)</f>
        <v>4407640</v>
      </c>
      <c r="M264" s="134">
        <f t="shared" si="110"/>
        <v>0</v>
      </c>
      <c r="N264" s="138"/>
      <c r="O264" s="134">
        <f>SUM(O265:O267)</f>
        <v>4407640</v>
      </c>
      <c r="P264" s="134">
        <f t="shared" si="111"/>
        <v>0</v>
      </c>
      <c r="Q264" s="138"/>
      <c r="R264" s="134">
        <f>SUM(R265:R267)</f>
        <v>4407640</v>
      </c>
      <c r="S264" s="134">
        <f t="shared" si="134"/>
        <v>0</v>
      </c>
      <c r="T264" s="138"/>
      <c r="U264" s="134">
        <f>SUM(U265:U267)</f>
        <v>4396662</v>
      </c>
      <c r="V264" s="134">
        <f t="shared" si="135"/>
        <v>-10978</v>
      </c>
      <c r="W264" s="138" t="s">
        <v>497</v>
      </c>
      <c r="X264" s="134">
        <f>SUM(X265:X267)</f>
        <v>4396662</v>
      </c>
      <c r="Y264" s="134">
        <f t="shared" si="136"/>
        <v>0</v>
      </c>
      <c r="Z264" s="138"/>
    </row>
    <row r="265" spans="2:26" s="332" customFormat="1" ht="17.25" customHeight="1" x14ac:dyDescent="0.25">
      <c r="B265" s="329"/>
      <c r="C265" s="288" t="s">
        <v>1086</v>
      </c>
      <c r="D265" s="289" t="s">
        <v>1087</v>
      </c>
      <c r="E265" s="330">
        <v>4021527</v>
      </c>
      <c r="F265" s="330">
        <f>4021527+17418-6716</f>
        <v>4032229</v>
      </c>
      <c r="G265" s="290">
        <f t="shared" si="138"/>
        <v>10702</v>
      </c>
      <c r="H265" s="331" t="s">
        <v>1040</v>
      </c>
      <c r="I265" s="290">
        <f>ROUND(F265,0)</f>
        <v>4032229</v>
      </c>
      <c r="J265" s="290">
        <f>I265-F265</f>
        <v>0</v>
      </c>
      <c r="K265" s="301"/>
      <c r="L265" s="290">
        <f>ROUND(I265,0)</f>
        <v>4032229</v>
      </c>
      <c r="M265" s="134">
        <f t="shared" si="110"/>
        <v>0</v>
      </c>
      <c r="N265" s="301"/>
      <c r="O265" s="134">
        <f>ROUND(L265,0)</f>
        <v>4032229</v>
      </c>
      <c r="P265" s="134">
        <f>O265-L265</f>
        <v>0</v>
      </c>
      <c r="Q265" s="301"/>
      <c r="R265" s="134">
        <f>ROUND(O265,0)</f>
        <v>4032229</v>
      </c>
      <c r="S265" s="134">
        <f t="shared" si="134"/>
        <v>0</v>
      </c>
      <c r="T265" s="301"/>
      <c r="U265" s="134">
        <f>ROUND(R265,0)+(14311-2258)</f>
        <v>4044282</v>
      </c>
      <c r="V265" s="134">
        <f t="shared" si="135"/>
        <v>12053</v>
      </c>
      <c r="W265" s="301"/>
      <c r="X265" s="134">
        <f>ROUND(U265,0)</f>
        <v>4044282</v>
      </c>
      <c r="Y265" s="134">
        <f t="shared" si="136"/>
        <v>0</v>
      </c>
      <c r="Z265" s="301"/>
    </row>
    <row r="266" spans="2:26" s="332" customFormat="1" ht="16.899999999999999" customHeight="1" x14ac:dyDescent="0.25">
      <c r="B266" s="329"/>
      <c r="C266" s="288" t="s">
        <v>1088</v>
      </c>
      <c r="D266" s="289" t="s">
        <v>1056</v>
      </c>
      <c r="E266" s="330">
        <v>216761</v>
      </c>
      <c r="F266" s="330">
        <f>216761+110614+3572+30+4-1482</f>
        <v>329499</v>
      </c>
      <c r="G266" s="290">
        <f t="shared" si="138"/>
        <v>112738</v>
      </c>
      <c r="H266" s="331" t="s">
        <v>1040</v>
      </c>
      <c r="I266" s="290">
        <f>ROUND(F266,0)-49310+22060+264</f>
        <v>302513</v>
      </c>
      <c r="J266" s="290">
        <f>I266-F266</f>
        <v>-26986</v>
      </c>
      <c r="K266" s="301" t="s">
        <v>1041</v>
      </c>
      <c r="L266" s="290">
        <f>ROUND(I266,0)</f>
        <v>302513</v>
      </c>
      <c r="M266" s="134">
        <f t="shared" si="110"/>
        <v>0</v>
      </c>
      <c r="N266" s="301"/>
      <c r="O266" s="134">
        <f>ROUND(L266,0)</f>
        <v>302513</v>
      </c>
      <c r="P266" s="134">
        <f>O266-L266</f>
        <v>0</v>
      </c>
      <c r="Q266" s="301"/>
      <c r="R266" s="134">
        <f>ROUND(O266,0)</f>
        <v>302513</v>
      </c>
      <c r="S266" s="134">
        <f t="shared" si="134"/>
        <v>0</v>
      </c>
      <c r="T266" s="301"/>
      <c r="U266" s="134">
        <f>ROUND(R266,0)-4668-18363</f>
        <v>279482</v>
      </c>
      <c r="V266" s="134">
        <f t="shared" si="135"/>
        <v>-23031</v>
      </c>
      <c r="W266" s="301"/>
      <c r="X266" s="134">
        <f>ROUND(U266,0)</f>
        <v>279482</v>
      </c>
      <c r="Y266" s="134">
        <f t="shared" si="136"/>
        <v>0</v>
      </c>
      <c r="Z266" s="301"/>
    </row>
    <row r="267" spans="2:26" s="332" customFormat="1" ht="17.25" customHeight="1" x14ac:dyDescent="0.25">
      <c r="B267" s="329"/>
      <c r="C267" s="288" t="s">
        <v>1089</v>
      </c>
      <c r="D267" s="289" t="s">
        <v>1058</v>
      </c>
      <c r="E267" s="330"/>
      <c r="F267" s="330">
        <f>418</f>
        <v>418</v>
      </c>
      <c r="G267" s="290">
        <f t="shared" si="138"/>
        <v>418</v>
      </c>
      <c r="H267" s="331" t="s">
        <v>1040</v>
      </c>
      <c r="I267" s="290">
        <f>ROUND(F267,0)-264+71355+538+851</f>
        <v>72898</v>
      </c>
      <c r="J267" s="290">
        <f>I267-F267</f>
        <v>72480</v>
      </c>
      <c r="K267" s="301" t="s">
        <v>1021</v>
      </c>
      <c r="L267" s="290">
        <f>ROUND(I267,0)</f>
        <v>72898</v>
      </c>
      <c r="M267" s="134">
        <f t="shared" si="110"/>
        <v>0</v>
      </c>
      <c r="N267" s="301"/>
      <c r="O267" s="134">
        <f>ROUND(L267,0)</f>
        <v>72898</v>
      </c>
      <c r="P267" s="134">
        <f>O267-L267</f>
        <v>0</v>
      </c>
      <c r="Q267" s="301"/>
      <c r="R267" s="134">
        <f>ROUND(O267,0)</f>
        <v>72898</v>
      </c>
      <c r="S267" s="134">
        <f t="shared" si="134"/>
        <v>0</v>
      </c>
      <c r="T267" s="301"/>
      <c r="U267" s="134">
        <f>ROUND(R267,0)</f>
        <v>72898</v>
      </c>
      <c r="V267" s="134">
        <f t="shared" si="135"/>
        <v>0</v>
      </c>
      <c r="W267" s="301"/>
      <c r="X267" s="134">
        <f>ROUND(U267,0)</f>
        <v>72898</v>
      </c>
      <c r="Y267" s="134">
        <f t="shared" si="136"/>
        <v>0</v>
      </c>
      <c r="Z267" s="301"/>
    </row>
    <row r="268" spans="2:26" s="131" customFormat="1" ht="49.5" customHeight="1" x14ac:dyDescent="0.25">
      <c r="B268" s="156" t="s">
        <v>1090</v>
      </c>
      <c r="C268" s="266" t="s">
        <v>1091</v>
      </c>
      <c r="D268" s="231" t="s">
        <v>999</v>
      </c>
      <c r="E268" s="135">
        <v>1427218.8621271863</v>
      </c>
      <c r="F268" s="135">
        <f>ROUND(E268,0)-337847+35517</f>
        <v>1124889</v>
      </c>
      <c r="G268" s="134">
        <f t="shared" si="138"/>
        <v>-302329.86212718626</v>
      </c>
      <c r="H268" s="138" t="s">
        <v>1092</v>
      </c>
      <c r="I268" s="134">
        <f>ROUND(F268,0)-146203</f>
        <v>978686</v>
      </c>
      <c r="J268" s="134">
        <f t="shared" si="109"/>
        <v>-146203</v>
      </c>
      <c r="K268" s="138" t="s">
        <v>1093</v>
      </c>
      <c r="L268" s="134">
        <f>ROUND(I268,0)+5000+16000</f>
        <v>999686</v>
      </c>
      <c r="M268" s="134">
        <f t="shared" si="110"/>
        <v>21000</v>
      </c>
      <c r="N268" s="334" t="s">
        <v>1094</v>
      </c>
      <c r="O268" s="134">
        <f>ROUND(L268,0)-6000</f>
        <v>993686</v>
      </c>
      <c r="P268" s="134">
        <f t="shared" si="111"/>
        <v>-6000</v>
      </c>
      <c r="Q268" s="137" t="s">
        <v>1095</v>
      </c>
      <c r="R268" s="134">
        <f>ROUND(O268,0)-5600</f>
        <v>988086</v>
      </c>
      <c r="S268" s="134">
        <f t="shared" si="134"/>
        <v>-5600</v>
      </c>
      <c r="T268" s="335" t="s">
        <v>1096</v>
      </c>
      <c r="U268" s="134">
        <f>ROUND(R268,0)-12000-8708</f>
        <v>967378</v>
      </c>
      <c r="V268" s="134">
        <f t="shared" si="135"/>
        <v>-20708</v>
      </c>
      <c r="W268" s="336" t="s">
        <v>1097</v>
      </c>
      <c r="X268" s="134">
        <f>ROUND(U268,0)+110000</f>
        <v>1077378</v>
      </c>
      <c r="Y268" s="134">
        <f t="shared" si="136"/>
        <v>110000</v>
      </c>
      <c r="Z268" s="336" t="s">
        <v>1098</v>
      </c>
    </row>
    <row r="269" spans="2:26" s="131" customFormat="1" ht="20.25" customHeight="1" x14ac:dyDescent="0.25">
      <c r="B269" s="156"/>
      <c r="C269" s="266" t="s">
        <v>1099</v>
      </c>
      <c r="D269" s="231" t="s">
        <v>1005</v>
      </c>
      <c r="E269" s="135"/>
      <c r="F269" s="135">
        <v>337847</v>
      </c>
      <c r="G269" s="134">
        <f t="shared" si="138"/>
        <v>337847</v>
      </c>
      <c r="H269" s="138"/>
      <c r="I269" s="134">
        <f>ROUND(F269,0)+10919+146203</f>
        <v>494969</v>
      </c>
      <c r="J269" s="134">
        <f>I269-F269</f>
        <v>157122</v>
      </c>
      <c r="K269" s="138" t="s">
        <v>1100</v>
      </c>
      <c r="L269" s="134">
        <f>ROUND(I269,0)</f>
        <v>494969</v>
      </c>
      <c r="M269" s="134">
        <f t="shared" si="110"/>
        <v>0</v>
      </c>
      <c r="N269" s="138"/>
      <c r="O269" s="134">
        <f>ROUND(L269,0)+6000</f>
        <v>500969</v>
      </c>
      <c r="P269" s="134">
        <f>O269-L269</f>
        <v>6000</v>
      </c>
      <c r="Q269" s="137" t="s">
        <v>1095</v>
      </c>
      <c r="R269" s="134">
        <f>ROUND(O269,0)+5600</f>
        <v>506569</v>
      </c>
      <c r="S269" s="134">
        <f t="shared" si="134"/>
        <v>5600</v>
      </c>
      <c r="T269" s="337"/>
      <c r="U269" s="134">
        <f>ROUND(R269,0)+12000+2300+8708</f>
        <v>529577</v>
      </c>
      <c r="V269" s="134">
        <f t="shared" si="135"/>
        <v>23008</v>
      </c>
      <c r="W269" s="336" t="s">
        <v>1101</v>
      </c>
      <c r="X269" s="134">
        <f>ROUND(U269,0)</f>
        <v>529577</v>
      </c>
      <c r="Y269" s="134">
        <f t="shared" si="136"/>
        <v>0</v>
      </c>
      <c r="Z269" s="336"/>
    </row>
    <row r="270" spans="2:26" s="131" customFormat="1" ht="15" customHeight="1" x14ac:dyDescent="0.25">
      <c r="B270" s="131" t="s">
        <v>1102</v>
      </c>
      <c r="C270" s="266" t="s">
        <v>1103</v>
      </c>
      <c r="D270" s="231" t="s">
        <v>1104</v>
      </c>
      <c r="E270" s="135">
        <v>266093</v>
      </c>
      <c r="F270" s="135">
        <f>ROUND(E270,0)</f>
        <v>266093</v>
      </c>
      <c r="G270" s="134">
        <f t="shared" si="138"/>
        <v>0</v>
      </c>
      <c r="H270" s="137"/>
      <c r="I270" s="134">
        <f>ROUND(F270,0)-27100</f>
        <v>238993</v>
      </c>
      <c r="J270" s="134">
        <f t="shared" si="109"/>
        <v>-27100</v>
      </c>
      <c r="K270" s="333" t="s">
        <v>1075</v>
      </c>
      <c r="L270" s="134">
        <f t="shared" ref="L270:L276" si="139">ROUND(I270,0)</f>
        <v>238993</v>
      </c>
      <c r="M270" s="134">
        <f t="shared" si="110"/>
        <v>0</v>
      </c>
      <c r="N270" s="137"/>
      <c r="O270" s="134">
        <f t="shared" ref="O270:O276" si="140">ROUND(L270,0)</f>
        <v>238993</v>
      </c>
      <c r="P270" s="134">
        <f t="shared" si="111"/>
        <v>0</v>
      </c>
      <c r="Q270" s="137"/>
      <c r="R270" s="134">
        <f t="shared" ref="R270:R276" si="141">ROUND(O270,0)</f>
        <v>238993</v>
      </c>
      <c r="S270" s="134">
        <f t="shared" si="134"/>
        <v>0</v>
      </c>
      <c r="T270" s="137"/>
      <c r="U270" s="134">
        <f t="shared" ref="U270:U276" si="142">ROUND(R270,0)</f>
        <v>238993</v>
      </c>
      <c r="V270" s="134">
        <f t="shared" si="135"/>
        <v>0</v>
      </c>
      <c r="W270" s="137"/>
      <c r="X270" s="134">
        <f t="shared" ref="X270:X276" si="143">ROUND(U270,0)</f>
        <v>238993</v>
      </c>
      <c r="Y270" s="134">
        <f t="shared" si="136"/>
        <v>0</v>
      </c>
      <c r="Z270" s="137"/>
    </row>
    <row r="271" spans="2:26" s="131" customFormat="1" ht="16.149999999999999" customHeight="1" x14ac:dyDescent="0.25">
      <c r="B271" s="156" t="s">
        <v>1105</v>
      </c>
      <c r="C271" s="266" t="s">
        <v>1106</v>
      </c>
      <c r="D271" s="231" t="s">
        <v>1071</v>
      </c>
      <c r="E271" s="135">
        <v>14485</v>
      </c>
      <c r="F271" s="135">
        <f>ROUND(E271,0)</f>
        <v>14485</v>
      </c>
      <c r="G271" s="134">
        <f t="shared" si="138"/>
        <v>0</v>
      </c>
      <c r="H271" s="137"/>
      <c r="I271" s="134">
        <f>ROUND(F271,0)+26175</f>
        <v>40660</v>
      </c>
      <c r="J271" s="134">
        <f t="shared" si="109"/>
        <v>26175</v>
      </c>
      <c r="K271" s="137" t="s">
        <v>533</v>
      </c>
      <c r="L271" s="134">
        <f t="shared" si="139"/>
        <v>40660</v>
      </c>
      <c r="M271" s="134">
        <f t="shared" si="110"/>
        <v>0</v>
      </c>
      <c r="N271" s="137"/>
      <c r="O271" s="134">
        <f t="shared" si="140"/>
        <v>40660</v>
      </c>
      <c r="P271" s="134">
        <f t="shared" si="111"/>
        <v>0</v>
      </c>
      <c r="Q271" s="137"/>
      <c r="R271" s="134">
        <f t="shared" si="141"/>
        <v>40660</v>
      </c>
      <c r="S271" s="134">
        <f t="shared" si="134"/>
        <v>0</v>
      </c>
      <c r="T271" s="137"/>
      <c r="U271" s="134">
        <f t="shared" si="142"/>
        <v>40660</v>
      </c>
      <c r="V271" s="134">
        <f t="shared" si="135"/>
        <v>0</v>
      </c>
      <c r="W271" s="137"/>
      <c r="X271" s="134">
        <f t="shared" si="143"/>
        <v>40660</v>
      </c>
      <c r="Y271" s="134">
        <f t="shared" si="136"/>
        <v>0</v>
      </c>
      <c r="Z271" s="137"/>
    </row>
    <row r="272" spans="2:26" s="338" customFormat="1" ht="27.75" customHeight="1" x14ac:dyDescent="0.25">
      <c r="B272" s="156" t="s">
        <v>1090</v>
      </c>
      <c r="C272" s="266" t="s">
        <v>1107</v>
      </c>
      <c r="D272" s="231" t="s">
        <v>702</v>
      </c>
      <c r="E272" s="135">
        <v>34497</v>
      </c>
      <c r="F272" s="135">
        <f>ROUND(E272,0)+53231</f>
        <v>87728</v>
      </c>
      <c r="G272" s="134">
        <f t="shared" si="138"/>
        <v>53231</v>
      </c>
      <c r="H272" s="138" t="s">
        <v>1108</v>
      </c>
      <c r="I272" s="134">
        <f>ROUND(F272,0)</f>
        <v>87728</v>
      </c>
      <c r="J272" s="134">
        <f t="shared" si="109"/>
        <v>0</v>
      </c>
      <c r="K272" s="138"/>
      <c r="L272" s="134">
        <f t="shared" si="139"/>
        <v>87728</v>
      </c>
      <c r="M272" s="134">
        <f t="shared" si="110"/>
        <v>0</v>
      </c>
      <c r="N272" s="138"/>
      <c r="O272" s="134">
        <f t="shared" si="140"/>
        <v>87728</v>
      </c>
      <c r="P272" s="134">
        <f t="shared" si="111"/>
        <v>0</v>
      </c>
      <c r="Q272" s="138"/>
      <c r="R272" s="134">
        <f t="shared" si="141"/>
        <v>87728</v>
      </c>
      <c r="S272" s="134">
        <f t="shared" si="134"/>
        <v>0</v>
      </c>
      <c r="T272" s="138"/>
      <c r="U272" s="134">
        <f t="shared" si="142"/>
        <v>87728</v>
      </c>
      <c r="V272" s="134">
        <f t="shared" si="135"/>
        <v>0</v>
      </c>
      <c r="W272" s="138"/>
      <c r="X272" s="134">
        <f t="shared" si="143"/>
        <v>87728</v>
      </c>
      <c r="Y272" s="134">
        <f t="shared" si="136"/>
        <v>0</v>
      </c>
      <c r="Z272" s="138"/>
    </row>
    <row r="273" spans="2:26" s="338" customFormat="1" ht="44.25" customHeight="1" x14ac:dyDescent="0.25">
      <c r="B273" s="156" t="s">
        <v>1090</v>
      </c>
      <c r="C273" s="266" t="s">
        <v>1109</v>
      </c>
      <c r="D273" s="231" t="s">
        <v>705</v>
      </c>
      <c r="E273" s="135">
        <v>870000</v>
      </c>
      <c r="F273" s="135">
        <f>ROUND(E273,0)</f>
        <v>870000</v>
      </c>
      <c r="G273" s="134">
        <f>F273-E273</f>
        <v>0</v>
      </c>
      <c r="H273" s="161"/>
      <c r="I273" s="134">
        <f>ROUND(F273,0)</f>
        <v>870000</v>
      </c>
      <c r="J273" s="134">
        <f>I273-F273</f>
        <v>0</v>
      </c>
      <c r="K273" s="138"/>
      <c r="L273" s="134">
        <f t="shared" si="139"/>
        <v>870000</v>
      </c>
      <c r="M273" s="134">
        <f t="shared" si="110"/>
        <v>0</v>
      </c>
      <c r="N273" s="138"/>
      <c r="O273" s="134">
        <f>ROUND(L273,0)</f>
        <v>870000</v>
      </c>
      <c r="P273" s="134">
        <f>O273-L273</f>
        <v>0</v>
      </c>
      <c r="Q273" s="138"/>
      <c r="R273" s="134">
        <f t="shared" si="141"/>
        <v>870000</v>
      </c>
      <c r="S273" s="134">
        <f t="shared" si="134"/>
        <v>0</v>
      </c>
      <c r="T273" s="138"/>
      <c r="U273" s="134">
        <f>ROUND(R273,0)-2300</f>
        <v>867700</v>
      </c>
      <c r="V273" s="134">
        <f t="shared" si="135"/>
        <v>-2300</v>
      </c>
      <c r="W273" s="138" t="s">
        <v>1110</v>
      </c>
      <c r="X273" s="134">
        <f>ROUND(U273,0)</f>
        <v>867700</v>
      </c>
      <c r="Y273" s="134">
        <f t="shared" si="136"/>
        <v>0</v>
      </c>
      <c r="Z273" s="138"/>
    </row>
    <row r="274" spans="2:26" s="338" customFormat="1" ht="87.75" customHeight="1" x14ac:dyDescent="0.25">
      <c r="B274" s="339" t="s">
        <v>1111</v>
      </c>
      <c r="C274" s="266" t="s">
        <v>1112</v>
      </c>
      <c r="D274" s="231" t="s">
        <v>1113</v>
      </c>
      <c r="E274" s="135">
        <v>1006133.6654766668</v>
      </c>
      <c r="F274" s="135">
        <f>ROUND(E274,0)-197877-65904</f>
        <v>742353</v>
      </c>
      <c r="G274" s="134">
        <f t="shared" si="138"/>
        <v>-263780.66547666676</v>
      </c>
      <c r="H274" s="138" t="s">
        <v>1114</v>
      </c>
      <c r="I274" s="134">
        <f>ROUND(F274,0)-58159</f>
        <v>684194</v>
      </c>
      <c r="J274" s="134">
        <f t="shared" si="109"/>
        <v>-58159</v>
      </c>
      <c r="K274" s="138" t="s">
        <v>1115</v>
      </c>
      <c r="L274" s="134">
        <f t="shared" si="139"/>
        <v>684194</v>
      </c>
      <c r="M274" s="134">
        <f t="shared" si="110"/>
        <v>0</v>
      </c>
      <c r="N274" s="138"/>
      <c r="O274" s="134">
        <f t="shared" si="140"/>
        <v>684194</v>
      </c>
      <c r="P274" s="134">
        <f t="shared" si="111"/>
        <v>0</v>
      </c>
      <c r="Q274" s="138"/>
      <c r="R274" s="134">
        <f t="shared" si="141"/>
        <v>684194</v>
      </c>
      <c r="S274" s="134">
        <f t="shared" si="134"/>
        <v>0</v>
      </c>
      <c r="T274" s="138"/>
      <c r="U274" s="134">
        <f>ROUND(R274,0)-9168</f>
        <v>675026</v>
      </c>
      <c r="V274" s="134">
        <f t="shared" si="135"/>
        <v>-9168</v>
      </c>
      <c r="W274" s="138" t="s">
        <v>1116</v>
      </c>
      <c r="X274" s="134">
        <f>ROUND(U274,0)+35046-110000</f>
        <v>600072</v>
      </c>
      <c r="Y274" s="134">
        <f t="shared" si="136"/>
        <v>-74954</v>
      </c>
      <c r="Z274" s="138" t="s">
        <v>1117</v>
      </c>
    </row>
    <row r="275" spans="2:26" s="338" customFormat="1" ht="20.25" customHeight="1" x14ac:dyDescent="0.25">
      <c r="B275" s="339"/>
      <c r="C275" s="266" t="s">
        <v>1118</v>
      </c>
      <c r="D275" s="231" t="s">
        <v>1119</v>
      </c>
      <c r="E275" s="135"/>
      <c r="F275" s="135">
        <v>197877</v>
      </c>
      <c r="G275" s="134">
        <f t="shared" si="138"/>
        <v>197877</v>
      </c>
      <c r="H275" s="138"/>
      <c r="I275" s="134">
        <f>ROUND(F275,0)+19453+58159</f>
        <v>275489</v>
      </c>
      <c r="J275" s="134">
        <f>I275-F275</f>
        <v>77612</v>
      </c>
      <c r="K275" s="138" t="s">
        <v>1120</v>
      </c>
      <c r="L275" s="134">
        <f>ROUND(I275,0)</f>
        <v>275489</v>
      </c>
      <c r="M275" s="134">
        <f>L275-I275</f>
        <v>0</v>
      </c>
      <c r="N275" s="138"/>
      <c r="O275" s="134">
        <f>ROUND(L275,0)</f>
        <v>275489</v>
      </c>
      <c r="P275" s="134">
        <f>O275-L275</f>
        <v>0</v>
      </c>
      <c r="Q275" s="138"/>
      <c r="R275" s="134">
        <f t="shared" si="141"/>
        <v>275489</v>
      </c>
      <c r="S275" s="134">
        <f t="shared" si="134"/>
        <v>0</v>
      </c>
      <c r="T275" s="138"/>
      <c r="U275" s="134">
        <f>ROUND(R275,0)+3590+9168</f>
        <v>288247</v>
      </c>
      <c r="V275" s="134">
        <f t="shared" si="135"/>
        <v>12758</v>
      </c>
      <c r="W275" s="138" t="s">
        <v>1121</v>
      </c>
      <c r="X275" s="134">
        <f>ROUND(U275,0)</f>
        <v>288247</v>
      </c>
      <c r="Y275" s="134">
        <f t="shared" si="136"/>
        <v>0</v>
      </c>
      <c r="Z275" s="138"/>
    </row>
    <row r="276" spans="2:26" s="338" customFormat="1" ht="43.5" customHeight="1" x14ac:dyDescent="0.25">
      <c r="B276" s="156" t="s">
        <v>700</v>
      </c>
      <c r="C276" s="266" t="s">
        <v>1122</v>
      </c>
      <c r="D276" s="231" t="s">
        <v>1123</v>
      </c>
      <c r="E276" s="135">
        <v>166307</v>
      </c>
      <c r="F276" s="135">
        <f>ROUND(E276,0)+69974</f>
        <v>236281</v>
      </c>
      <c r="G276" s="134">
        <f t="shared" si="138"/>
        <v>69974</v>
      </c>
      <c r="H276" s="138" t="s">
        <v>995</v>
      </c>
      <c r="I276" s="134">
        <f>ROUND(F276,0)</f>
        <v>236281</v>
      </c>
      <c r="J276" s="134">
        <f t="shared" si="109"/>
        <v>0</v>
      </c>
      <c r="K276" s="137"/>
      <c r="L276" s="134">
        <f t="shared" si="139"/>
        <v>236281</v>
      </c>
      <c r="M276" s="134">
        <f t="shared" si="110"/>
        <v>0</v>
      </c>
      <c r="N276" s="137"/>
      <c r="O276" s="134">
        <f t="shared" si="140"/>
        <v>236281</v>
      </c>
      <c r="P276" s="134">
        <f t="shared" si="111"/>
        <v>0</v>
      </c>
      <c r="Q276" s="137"/>
      <c r="R276" s="134">
        <f t="shared" si="141"/>
        <v>236281</v>
      </c>
      <c r="S276" s="134">
        <f t="shared" si="134"/>
        <v>0</v>
      </c>
      <c r="T276" s="137"/>
      <c r="U276" s="134">
        <f t="shared" si="142"/>
        <v>236281</v>
      </c>
      <c r="V276" s="134">
        <f t="shared" si="135"/>
        <v>0</v>
      </c>
      <c r="W276" s="137"/>
      <c r="X276" s="134">
        <f>ROUND(U276,0)+53000</f>
        <v>289281</v>
      </c>
      <c r="Y276" s="134">
        <f t="shared" si="136"/>
        <v>53000</v>
      </c>
      <c r="Z276" s="138" t="s">
        <v>1124</v>
      </c>
    </row>
    <row r="277" spans="2:26" s="345" customFormat="1" ht="13.9" customHeight="1" x14ac:dyDescent="0.25">
      <c r="B277" s="339"/>
      <c r="C277" s="340" t="s">
        <v>1125</v>
      </c>
      <c r="D277" s="341" t="s">
        <v>1126</v>
      </c>
      <c r="E277" s="343">
        <v>508569.2170532</v>
      </c>
      <c r="F277" s="343">
        <f t="shared" ref="F277" si="144">F278+F279+F280</f>
        <v>508799</v>
      </c>
      <c r="G277" s="342">
        <f t="shared" si="138"/>
        <v>229.78294679999817</v>
      </c>
      <c r="H277" s="344"/>
      <c r="I277" s="342">
        <f>I278+I279+I280</f>
        <v>517972</v>
      </c>
      <c r="J277" s="342">
        <f t="shared" si="109"/>
        <v>9173</v>
      </c>
      <c r="K277" s="342"/>
      <c r="L277" s="342">
        <f>L278+L279+L280</f>
        <v>517972</v>
      </c>
      <c r="M277" s="342">
        <f t="shared" si="110"/>
        <v>0</v>
      </c>
      <c r="N277" s="342"/>
      <c r="O277" s="342">
        <f>O278+O279+O280</f>
        <v>514822</v>
      </c>
      <c r="P277" s="342">
        <f t="shared" si="111"/>
        <v>-3150</v>
      </c>
      <c r="Q277" s="342"/>
      <c r="R277" s="342">
        <f>R278+R279+R280</f>
        <v>502986</v>
      </c>
      <c r="S277" s="342">
        <f t="shared" si="134"/>
        <v>-11836</v>
      </c>
      <c r="T277" s="342"/>
      <c r="U277" s="342">
        <f>U278+U279+U280</f>
        <v>489908</v>
      </c>
      <c r="V277" s="342">
        <f t="shared" si="135"/>
        <v>-13078</v>
      </c>
      <c r="W277" s="342"/>
      <c r="X277" s="342">
        <f>X278+X279+X280</f>
        <v>489908</v>
      </c>
      <c r="Y277" s="342">
        <f t="shared" si="136"/>
        <v>0</v>
      </c>
      <c r="Z277" s="342"/>
    </row>
    <row r="278" spans="2:26" s="338" customFormat="1" ht="16.5" customHeight="1" x14ac:dyDescent="0.25">
      <c r="B278" s="183" t="s">
        <v>1127</v>
      </c>
      <c r="C278" s="346" t="s">
        <v>1128</v>
      </c>
      <c r="D278" s="231" t="s">
        <v>1129</v>
      </c>
      <c r="E278" s="135">
        <v>138119</v>
      </c>
      <c r="F278" s="135">
        <f>ROUND(E278,0)-46+276</f>
        <v>138349</v>
      </c>
      <c r="G278" s="134">
        <f t="shared" si="138"/>
        <v>230</v>
      </c>
      <c r="H278" s="138" t="s">
        <v>995</v>
      </c>
      <c r="I278" s="134">
        <f>ROUND(F278,0)+2468</f>
        <v>140817</v>
      </c>
      <c r="J278" s="134">
        <f t="shared" si="109"/>
        <v>2468</v>
      </c>
      <c r="K278" s="138" t="s">
        <v>1021</v>
      </c>
      <c r="L278" s="134">
        <f>ROUND(I278,0)</f>
        <v>140817</v>
      </c>
      <c r="M278" s="134">
        <f t="shared" si="110"/>
        <v>0</v>
      </c>
      <c r="N278" s="138"/>
      <c r="O278" s="134">
        <f>ROUND(L278,0)</f>
        <v>140817</v>
      </c>
      <c r="P278" s="134">
        <f t="shared" si="111"/>
        <v>0</v>
      </c>
      <c r="Q278" s="138"/>
      <c r="R278" s="134">
        <f>ROUND(O278,0)</f>
        <v>140817</v>
      </c>
      <c r="S278" s="134">
        <f t="shared" si="134"/>
        <v>0</v>
      </c>
      <c r="T278" s="138"/>
      <c r="U278" s="134">
        <f>ROUND(R278,0)-13078</f>
        <v>127739</v>
      </c>
      <c r="V278" s="134">
        <f t="shared" si="135"/>
        <v>-13078</v>
      </c>
      <c r="W278" s="138" t="s">
        <v>497</v>
      </c>
      <c r="X278" s="134">
        <f>ROUND(U278,0)</f>
        <v>127739</v>
      </c>
      <c r="Y278" s="134">
        <f t="shared" si="136"/>
        <v>0</v>
      </c>
      <c r="Z278" s="138"/>
    </row>
    <row r="279" spans="2:26" s="249" customFormat="1" ht="13.9" customHeight="1" x14ac:dyDescent="0.25">
      <c r="B279" s="339" t="s">
        <v>1130</v>
      </c>
      <c r="C279" s="346" t="s">
        <v>1131</v>
      </c>
      <c r="D279" s="231" t="s">
        <v>1132</v>
      </c>
      <c r="E279" s="135">
        <v>370450.2170532</v>
      </c>
      <c r="F279" s="135">
        <f>ROUND(E279,0)-14058</f>
        <v>356392</v>
      </c>
      <c r="G279" s="134">
        <f t="shared" si="138"/>
        <v>-14058.217053200002</v>
      </c>
      <c r="H279" s="137"/>
      <c r="I279" s="134">
        <f>ROUND(F279,0)-6000</f>
        <v>350392</v>
      </c>
      <c r="J279" s="134">
        <f t="shared" si="109"/>
        <v>-6000</v>
      </c>
      <c r="K279" s="137" t="s">
        <v>1095</v>
      </c>
      <c r="L279" s="134">
        <f>ROUND(I279,0)</f>
        <v>350392</v>
      </c>
      <c r="M279" s="134">
        <f t="shared" si="110"/>
        <v>0</v>
      </c>
      <c r="N279" s="137"/>
      <c r="O279" s="134">
        <f>ROUND(L279,0)-3150</f>
        <v>347242</v>
      </c>
      <c r="P279" s="134">
        <f t="shared" si="111"/>
        <v>-3150</v>
      </c>
      <c r="Q279" s="138" t="s">
        <v>1025</v>
      </c>
      <c r="R279" s="134">
        <f>ROUND(O279,0)-2300-9536</f>
        <v>335406</v>
      </c>
      <c r="S279" s="134">
        <f t="shared" si="134"/>
        <v>-11836</v>
      </c>
      <c r="T279" s="138" t="s">
        <v>1026</v>
      </c>
      <c r="U279" s="134">
        <f>ROUND(R279,0)</f>
        <v>335406</v>
      </c>
      <c r="V279" s="134">
        <f t="shared" si="135"/>
        <v>0</v>
      </c>
      <c r="W279" s="138"/>
      <c r="X279" s="134">
        <f>ROUND(U279,0)</f>
        <v>335406</v>
      </c>
      <c r="Y279" s="134">
        <f t="shared" si="136"/>
        <v>0</v>
      </c>
      <c r="Z279" s="138"/>
    </row>
    <row r="280" spans="2:26" s="249" customFormat="1" ht="13.9" customHeight="1" x14ac:dyDescent="0.25">
      <c r="B280" s="339"/>
      <c r="C280" s="346" t="s">
        <v>1133</v>
      </c>
      <c r="D280" s="231" t="s">
        <v>930</v>
      </c>
      <c r="E280" s="135"/>
      <c r="F280" s="135">
        <v>14058</v>
      </c>
      <c r="G280" s="134">
        <f t="shared" si="138"/>
        <v>14058</v>
      </c>
      <c r="H280" s="137" t="s">
        <v>925</v>
      </c>
      <c r="I280" s="134">
        <f>ROUND(F280,0)+6705+6000</f>
        <v>26763</v>
      </c>
      <c r="J280" s="134">
        <f>I280-F280</f>
        <v>12705</v>
      </c>
      <c r="K280" s="138" t="s">
        <v>1134</v>
      </c>
      <c r="L280" s="134">
        <f>ROUND(I280,0)</f>
        <v>26763</v>
      </c>
      <c r="M280" s="134">
        <f t="shared" si="110"/>
        <v>0</v>
      </c>
      <c r="N280" s="137"/>
      <c r="O280" s="134">
        <f>ROUND(L280,0)</f>
        <v>26763</v>
      </c>
      <c r="P280" s="134">
        <f>O280-L280</f>
        <v>0</v>
      </c>
      <c r="Q280" s="137"/>
      <c r="R280" s="134">
        <f>ROUND(O280,0)</f>
        <v>26763</v>
      </c>
      <c r="S280" s="134">
        <f t="shared" si="134"/>
        <v>0</v>
      </c>
      <c r="T280" s="137"/>
      <c r="U280" s="134">
        <f>ROUND(R280,0)</f>
        <v>26763</v>
      </c>
      <c r="V280" s="134">
        <f t="shared" si="135"/>
        <v>0</v>
      </c>
      <c r="W280" s="137"/>
      <c r="X280" s="134">
        <f>ROUND(U280,0)</f>
        <v>26763</v>
      </c>
      <c r="Y280" s="134">
        <f t="shared" si="136"/>
        <v>0</v>
      </c>
      <c r="Z280" s="137"/>
    </row>
    <row r="281" spans="2:26" ht="18" customHeight="1" x14ac:dyDescent="0.25">
      <c r="C281" s="322" t="s">
        <v>1135</v>
      </c>
      <c r="D281" s="270" t="s">
        <v>1136</v>
      </c>
      <c r="E281" s="272">
        <v>1647206</v>
      </c>
      <c r="F281" s="272">
        <f t="shared" ref="F281" si="145">F282+F283</f>
        <v>1852644</v>
      </c>
      <c r="G281" s="271">
        <f t="shared" si="138"/>
        <v>205438</v>
      </c>
      <c r="H281" s="274"/>
      <c r="I281" s="271">
        <f>I282+I283</f>
        <v>1852644</v>
      </c>
      <c r="J281" s="271">
        <f t="shared" si="109"/>
        <v>0</v>
      </c>
      <c r="K281" s="271"/>
      <c r="L281" s="271">
        <f>L282+L283</f>
        <v>1856644</v>
      </c>
      <c r="M281" s="271">
        <f t="shared" si="110"/>
        <v>4000</v>
      </c>
      <c r="N281" s="271"/>
      <c r="O281" s="271">
        <f>O282+O283</f>
        <v>1856644</v>
      </c>
      <c r="P281" s="271">
        <f t="shared" si="111"/>
        <v>0</v>
      </c>
      <c r="Q281" s="271"/>
      <c r="R281" s="271">
        <f>R282+R283</f>
        <v>1856644</v>
      </c>
      <c r="S281" s="271">
        <f t="shared" si="134"/>
        <v>0</v>
      </c>
      <c r="T281" s="271"/>
      <c r="U281" s="271">
        <f>U282+U283</f>
        <v>1852110</v>
      </c>
      <c r="V281" s="271">
        <f t="shared" si="135"/>
        <v>-4534</v>
      </c>
      <c r="W281" s="271"/>
      <c r="X281" s="271">
        <f>X282+X283</f>
        <v>1852110</v>
      </c>
      <c r="Y281" s="271">
        <f t="shared" si="136"/>
        <v>0</v>
      </c>
      <c r="Z281" s="271"/>
    </row>
    <row r="282" spans="2:26" ht="13.5" customHeight="1" x14ac:dyDescent="0.25">
      <c r="C282" s="266" t="s">
        <v>1137</v>
      </c>
      <c r="D282" s="231" t="s">
        <v>1138</v>
      </c>
      <c r="E282" s="135">
        <v>651116</v>
      </c>
      <c r="F282" s="135">
        <f>ROUND(E282,0)+1832+142597</f>
        <v>795545</v>
      </c>
      <c r="G282" s="134">
        <f t="shared" si="138"/>
        <v>144429</v>
      </c>
      <c r="H282" s="138" t="s">
        <v>1139</v>
      </c>
      <c r="I282" s="134">
        <f>ROUND(F282,0)</f>
        <v>795545</v>
      </c>
      <c r="J282" s="134">
        <f t="shared" si="109"/>
        <v>0</v>
      </c>
      <c r="K282" s="138"/>
      <c r="L282" s="134">
        <f>ROUND(I282,0)</f>
        <v>795545</v>
      </c>
      <c r="M282" s="134">
        <f t="shared" si="110"/>
        <v>0</v>
      </c>
      <c r="N282" s="138"/>
      <c r="O282" s="134">
        <f>ROUND(L282,0)</f>
        <v>795545</v>
      </c>
      <c r="P282" s="134">
        <f t="shared" si="111"/>
        <v>0</v>
      </c>
      <c r="Q282" s="138"/>
      <c r="R282" s="134">
        <f>ROUND(O282,0)</f>
        <v>795545</v>
      </c>
      <c r="S282" s="134">
        <f t="shared" si="134"/>
        <v>0</v>
      </c>
      <c r="T282" s="138"/>
      <c r="U282" s="134">
        <f>ROUND(R282,0)-4534</f>
        <v>791011</v>
      </c>
      <c r="V282" s="134">
        <f t="shared" si="135"/>
        <v>-4534</v>
      </c>
      <c r="W282" s="138" t="s">
        <v>497</v>
      </c>
      <c r="X282" s="134">
        <f>ROUND(U282,0)</f>
        <v>791011</v>
      </c>
      <c r="Y282" s="134">
        <f t="shared" si="136"/>
        <v>0</v>
      </c>
      <c r="Z282" s="138"/>
    </row>
    <row r="283" spans="2:26" ht="25.9" customHeight="1" x14ac:dyDescent="0.25">
      <c r="C283" s="266" t="s">
        <v>1140</v>
      </c>
      <c r="D283" s="231" t="s">
        <v>999</v>
      </c>
      <c r="E283" s="135">
        <v>996090</v>
      </c>
      <c r="F283" s="135">
        <f>ROUND(E283,0)+61009</f>
        <v>1057099</v>
      </c>
      <c r="G283" s="134">
        <f t="shared" si="138"/>
        <v>61009</v>
      </c>
      <c r="H283" s="347" t="s">
        <v>1141</v>
      </c>
      <c r="I283" s="134">
        <f>ROUND(F283,0)</f>
        <v>1057099</v>
      </c>
      <c r="J283" s="134">
        <f t="shared" ref="J283:J302" si="146">I283-F283</f>
        <v>0</v>
      </c>
      <c r="K283" s="347"/>
      <c r="L283" s="134">
        <f>ROUND(I283,0)+4000</f>
        <v>1061099</v>
      </c>
      <c r="M283" s="134">
        <f t="shared" ref="M283:M302" si="147">L283-I283</f>
        <v>4000</v>
      </c>
      <c r="N283" s="297" t="s">
        <v>1142</v>
      </c>
      <c r="O283" s="134">
        <f>ROUND(L283,0)</f>
        <v>1061099</v>
      </c>
      <c r="P283" s="134">
        <f t="shared" ref="P283:P302" si="148">O283-L283</f>
        <v>0</v>
      </c>
      <c r="Q283" s="347"/>
      <c r="R283" s="134">
        <f>ROUND(O283,0)</f>
        <v>1061099</v>
      </c>
      <c r="S283" s="134">
        <f t="shared" si="134"/>
        <v>0</v>
      </c>
      <c r="T283" s="347"/>
      <c r="U283" s="134">
        <f>ROUND(R283,0)</f>
        <v>1061099</v>
      </c>
      <c r="V283" s="134">
        <f t="shared" si="135"/>
        <v>0</v>
      </c>
      <c r="W283" s="347"/>
      <c r="X283" s="134">
        <f>ROUND(U283,0)</f>
        <v>1061099</v>
      </c>
      <c r="Y283" s="134">
        <f t="shared" si="136"/>
        <v>0</v>
      </c>
      <c r="Z283" s="347"/>
    </row>
    <row r="284" spans="2:26" ht="16.149999999999999" customHeight="1" x14ac:dyDescent="0.25">
      <c r="C284" s="348" t="s">
        <v>1143</v>
      </c>
      <c r="D284" s="270" t="s">
        <v>1144</v>
      </c>
      <c r="E284" s="272">
        <v>706577.70189168002</v>
      </c>
      <c r="F284" s="272">
        <f>F285+F286</f>
        <v>706619</v>
      </c>
      <c r="G284" s="271">
        <f t="shared" si="138"/>
        <v>41.298108319984749</v>
      </c>
      <c r="H284" s="283"/>
      <c r="I284" s="271">
        <f>I285+I286</f>
        <v>740716</v>
      </c>
      <c r="J284" s="271">
        <f t="shared" si="146"/>
        <v>34097</v>
      </c>
      <c r="K284" s="284" t="s">
        <v>1145</v>
      </c>
      <c r="L284" s="271">
        <f>L285+L286</f>
        <v>740716</v>
      </c>
      <c r="M284" s="271">
        <f t="shared" si="147"/>
        <v>0</v>
      </c>
      <c r="N284" s="284"/>
      <c r="O284" s="271">
        <f>O285+O286</f>
        <v>740716</v>
      </c>
      <c r="P284" s="271">
        <f t="shared" si="148"/>
        <v>0</v>
      </c>
      <c r="Q284" s="284"/>
      <c r="R284" s="271">
        <f>R285+R286</f>
        <v>740716</v>
      </c>
      <c r="S284" s="271">
        <f t="shared" si="134"/>
        <v>0</v>
      </c>
      <c r="T284" s="284"/>
      <c r="U284" s="271">
        <f>U285+U286</f>
        <v>744620</v>
      </c>
      <c r="V284" s="271">
        <f t="shared" si="135"/>
        <v>3904</v>
      </c>
      <c r="W284" s="284"/>
      <c r="X284" s="271">
        <f>X285+X286</f>
        <v>744620</v>
      </c>
      <c r="Y284" s="271">
        <f t="shared" si="136"/>
        <v>0</v>
      </c>
      <c r="Z284" s="284"/>
    </row>
    <row r="285" spans="2:26" ht="16.5" customHeight="1" x14ac:dyDescent="0.25">
      <c r="B285" s="183" t="s">
        <v>1146</v>
      </c>
      <c r="C285" s="266" t="s">
        <v>1147</v>
      </c>
      <c r="D285" s="231" t="s">
        <v>1138</v>
      </c>
      <c r="E285" s="135">
        <v>314605.76040000003</v>
      </c>
      <c r="F285" s="135">
        <f>ROUND(E285,0)+41</f>
        <v>314647</v>
      </c>
      <c r="G285" s="134">
        <f t="shared" si="138"/>
        <v>41.239599999971688</v>
      </c>
      <c r="H285" s="137" t="s">
        <v>357</v>
      </c>
      <c r="I285" s="134">
        <f>ROUND(F285,0)-22981</f>
        <v>291666</v>
      </c>
      <c r="J285" s="134">
        <f t="shared" si="146"/>
        <v>-22981</v>
      </c>
      <c r="K285" s="137"/>
      <c r="L285" s="134">
        <f t="shared" ref="L285:L292" si="149">ROUND(I285,0)</f>
        <v>291666</v>
      </c>
      <c r="M285" s="134">
        <f t="shared" si="147"/>
        <v>0</v>
      </c>
      <c r="N285" s="137"/>
      <c r="O285" s="134">
        <f t="shared" ref="O285:O291" si="150">ROUND(L285,0)</f>
        <v>291666</v>
      </c>
      <c r="P285" s="134">
        <f t="shared" si="148"/>
        <v>0</v>
      </c>
      <c r="Q285" s="137"/>
      <c r="R285" s="134">
        <f t="shared" ref="R285:R291" si="151">ROUND(O285,0)</f>
        <v>291666</v>
      </c>
      <c r="S285" s="134">
        <f t="shared" si="134"/>
        <v>0</v>
      </c>
      <c r="T285" s="137"/>
      <c r="U285" s="134">
        <f>ROUND(R285,0)+3904</f>
        <v>295570</v>
      </c>
      <c r="V285" s="134">
        <f t="shared" si="135"/>
        <v>3904</v>
      </c>
      <c r="W285" s="137" t="s">
        <v>502</v>
      </c>
      <c r="X285" s="134">
        <f>ROUND(U285,0)</f>
        <v>295570</v>
      </c>
      <c r="Y285" s="134">
        <f t="shared" si="136"/>
        <v>0</v>
      </c>
      <c r="Z285" s="137"/>
    </row>
    <row r="286" spans="2:26" ht="16.5" customHeight="1" x14ac:dyDescent="0.25">
      <c r="B286" s="183" t="s">
        <v>1148</v>
      </c>
      <c r="C286" s="266" t="s">
        <v>1149</v>
      </c>
      <c r="D286" s="231" t="s">
        <v>1150</v>
      </c>
      <c r="E286" s="135">
        <v>391971.94149168005</v>
      </c>
      <c r="F286" s="135">
        <f t="shared" ref="F286:F291" si="152">ROUND(E286,0)</f>
        <v>391972</v>
      </c>
      <c r="G286" s="134">
        <f t="shared" si="138"/>
        <v>5.8508319954853505E-2</v>
      </c>
      <c r="H286" s="161"/>
      <c r="I286" s="134">
        <f>ROUND(F286,0)+57078</f>
        <v>449050</v>
      </c>
      <c r="J286" s="134">
        <f t="shared" si="146"/>
        <v>57078</v>
      </c>
      <c r="K286" s="138"/>
      <c r="L286" s="134">
        <f t="shared" si="149"/>
        <v>449050</v>
      </c>
      <c r="M286" s="134">
        <f t="shared" si="147"/>
        <v>0</v>
      </c>
      <c r="N286" s="138"/>
      <c r="O286" s="134">
        <f t="shared" si="150"/>
        <v>449050</v>
      </c>
      <c r="P286" s="134">
        <f t="shared" si="148"/>
        <v>0</v>
      </c>
      <c r="Q286" s="138"/>
      <c r="R286" s="134">
        <f t="shared" si="151"/>
        <v>449050</v>
      </c>
      <c r="S286" s="134">
        <f t="shared" si="134"/>
        <v>0</v>
      </c>
      <c r="T286" s="138"/>
      <c r="U286" s="134">
        <f t="shared" ref="U286:U291" si="153">ROUND(R286,0)</f>
        <v>449050</v>
      </c>
      <c r="V286" s="134">
        <f t="shared" si="135"/>
        <v>0</v>
      </c>
      <c r="W286" s="138"/>
      <c r="X286" s="134">
        <f t="shared" ref="X286:X291" si="154">ROUND(U286,0)</f>
        <v>449050</v>
      </c>
      <c r="Y286" s="134">
        <f t="shared" si="136"/>
        <v>0</v>
      </c>
      <c r="Z286" s="138"/>
    </row>
    <row r="287" spans="2:26" ht="15" customHeight="1" x14ac:dyDescent="0.25">
      <c r="B287" s="183" t="s">
        <v>1151</v>
      </c>
      <c r="C287" s="348" t="s">
        <v>1152</v>
      </c>
      <c r="D287" s="270" t="s">
        <v>1153</v>
      </c>
      <c r="E287" s="190">
        <v>482391.24160460004</v>
      </c>
      <c r="F287" s="190">
        <f t="shared" si="152"/>
        <v>482391</v>
      </c>
      <c r="G287" s="166">
        <f t="shared" si="138"/>
        <v>-0.2416046000435017</v>
      </c>
      <c r="H287" s="191"/>
      <c r="I287" s="166">
        <f t="shared" ref="I287:I292" si="155">ROUND(F287,0)</f>
        <v>482391</v>
      </c>
      <c r="J287" s="166">
        <f t="shared" si="146"/>
        <v>0</v>
      </c>
      <c r="K287" s="192"/>
      <c r="L287" s="166">
        <f t="shared" si="149"/>
        <v>482391</v>
      </c>
      <c r="M287" s="166">
        <f t="shared" si="147"/>
        <v>0</v>
      </c>
      <c r="N287" s="192"/>
      <c r="O287" s="166">
        <f>ROUND(L287,0)</f>
        <v>482391</v>
      </c>
      <c r="P287" s="166">
        <f t="shared" si="148"/>
        <v>0</v>
      </c>
      <c r="Q287" s="192"/>
      <c r="R287" s="166">
        <f t="shared" si="151"/>
        <v>482391</v>
      </c>
      <c r="S287" s="166">
        <f t="shared" si="134"/>
        <v>0</v>
      </c>
      <c r="T287" s="192"/>
      <c r="U287" s="166">
        <f>ROUND(R287,0)+1198</f>
        <v>483589</v>
      </c>
      <c r="V287" s="166">
        <f t="shared" si="135"/>
        <v>1198</v>
      </c>
      <c r="W287" s="192" t="s">
        <v>562</v>
      </c>
      <c r="X287" s="166">
        <f>ROUND(U287,0)</f>
        <v>483589</v>
      </c>
      <c r="Y287" s="166">
        <f t="shared" si="136"/>
        <v>0</v>
      </c>
      <c r="Z287" s="192"/>
    </row>
    <row r="288" spans="2:26" ht="18" customHeight="1" x14ac:dyDescent="0.25">
      <c r="B288" s="183"/>
      <c r="C288" s="348" t="s">
        <v>1154</v>
      </c>
      <c r="D288" s="270" t="s">
        <v>1155</v>
      </c>
      <c r="E288" s="190">
        <v>3000</v>
      </c>
      <c r="F288" s="190">
        <f t="shared" si="152"/>
        <v>3000</v>
      </c>
      <c r="G288" s="166">
        <f t="shared" si="138"/>
        <v>0</v>
      </c>
      <c r="H288" s="191"/>
      <c r="I288" s="166">
        <f t="shared" si="155"/>
        <v>3000</v>
      </c>
      <c r="J288" s="166">
        <f t="shared" si="146"/>
        <v>0</v>
      </c>
      <c r="K288" s="192"/>
      <c r="L288" s="166">
        <f t="shared" si="149"/>
        <v>3000</v>
      </c>
      <c r="M288" s="166">
        <f t="shared" si="147"/>
        <v>0</v>
      </c>
      <c r="N288" s="192"/>
      <c r="O288" s="166">
        <f t="shared" si="150"/>
        <v>3000</v>
      </c>
      <c r="P288" s="166">
        <f t="shared" si="148"/>
        <v>0</v>
      </c>
      <c r="Q288" s="192"/>
      <c r="R288" s="166">
        <f t="shared" si="151"/>
        <v>3000</v>
      </c>
      <c r="S288" s="166">
        <f t="shared" si="134"/>
        <v>0</v>
      </c>
      <c r="T288" s="192"/>
      <c r="U288" s="166">
        <f t="shared" si="153"/>
        <v>3000</v>
      </c>
      <c r="V288" s="166">
        <f t="shared" si="135"/>
        <v>0</v>
      </c>
      <c r="W288" s="192"/>
      <c r="X288" s="166">
        <f t="shared" ref="X288:X293" si="156">ROUND(U288,0)</f>
        <v>3000</v>
      </c>
      <c r="Y288" s="166">
        <f t="shared" si="136"/>
        <v>0</v>
      </c>
      <c r="Z288" s="192"/>
    </row>
    <row r="289" spans="2:26" ht="31.9" customHeight="1" x14ac:dyDescent="0.25">
      <c r="B289" s="183" t="s">
        <v>1156</v>
      </c>
      <c r="C289" s="348" t="s">
        <v>1157</v>
      </c>
      <c r="D289" s="270" t="s">
        <v>1158</v>
      </c>
      <c r="E289" s="190">
        <v>17962</v>
      </c>
      <c r="F289" s="190">
        <f>ROUND(E289,0)-1841</f>
        <v>16121</v>
      </c>
      <c r="G289" s="166">
        <f t="shared" si="138"/>
        <v>-1841</v>
      </c>
      <c r="H289" s="192" t="s">
        <v>357</v>
      </c>
      <c r="I289" s="166">
        <f t="shared" si="155"/>
        <v>16121</v>
      </c>
      <c r="J289" s="166">
        <f t="shared" si="146"/>
        <v>0</v>
      </c>
      <c r="K289" s="192"/>
      <c r="L289" s="166">
        <f t="shared" si="149"/>
        <v>16121</v>
      </c>
      <c r="M289" s="166">
        <f t="shared" si="147"/>
        <v>0</v>
      </c>
      <c r="N289" s="192"/>
      <c r="O289" s="166">
        <f t="shared" si="150"/>
        <v>16121</v>
      </c>
      <c r="P289" s="166">
        <f t="shared" si="148"/>
        <v>0</v>
      </c>
      <c r="Q289" s="192"/>
      <c r="R289" s="166">
        <f t="shared" si="151"/>
        <v>16121</v>
      </c>
      <c r="S289" s="166">
        <f t="shared" si="134"/>
        <v>0</v>
      </c>
      <c r="T289" s="192"/>
      <c r="U289" s="166">
        <f t="shared" si="153"/>
        <v>16121</v>
      </c>
      <c r="V289" s="166">
        <f t="shared" si="135"/>
        <v>0</v>
      </c>
      <c r="W289" s="192"/>
      <c r="X289" s="166">
        <f t="shared" si="156"/>
        <v>16121</v>
      </c>
      <c r="Y289" s="166">
        <f t="shared" si="136"/>
        <v>0</v>
      </c>
      <c r="Z289" s="192"/>
    </row>
    <row r="290" spans="2:26" ht="27" customHeight="1" x14ac:dyDescent="0.25">
      <c r="B290" s="183" t="s">
        <v>1159</v>
      </c>
      <c r="C290" s="348" t="s">
        <v>1160</v>
      </c>
      <c r="D290" s="270" t="s">
        <v>1161</v>
      </c>
      <c r="E290" s="190">
        <v>1049</v>
      </c>
      <c r="F290" s="190">
        <f t="shared" si="152"/>
        <v>1049</v>
      </c>
      <c r="G290" s="166">
        <f t="shared" si="138"/>
        <v>0</v>
      </c>
      <c r="H290" s="191"/>
      <c r="I290" s="166">
        <f t="shared" si="155"/>
        <v>1049</v>
      </c>
      <c r="J290" s="166">
        <f t="shared" si="146"/>
        <v>0</v>
      </c>
      <c r="K290" s="192"/>
      <c r="L290" s="166">
        <f t="shared" si="149"/>
        <v>1049</v>
      </c>
      <c r="M290" s="166">
        <f t="shared" si="147"/>
        <v>0</v>
      </c>
      <c r="N290" s="192"/>
      <c r="O290" s="166">
        <f t="shared" si="150"/>
        <v>1049</v>
      </c>
      <c r="P290" s="166">
        <f t="shared" si="148"/>
        <v>0</v>
      </c>
      <c r="Q290" s="192"/>
      <c r="R290" s="166">
        <f t="shared" si="151"/>
        <v>1049</v>
      </c>
      <c r="S290" s="166">
        <f t="shared" si="134"/>
        <v>0</v>
      </c>
      <c r="T290" s="192"/>
      <c r="U290" s="166">
        <f t="shared" si="153"/>
        <v>1049</v>
      </c>
      <c r="V290" s="166">
        <f t="shared" si="135"/>
        <v>0</v>
      </c>
      <c r="W290" s="192"/>
      <c r="X290" s="166">
        <f t="shared" si="156"/>
        <v>1049</v>
      </c>
      <c r="Y290" s="166">
        <f t="shared" si="136"/>
        <v>0</v>
      </c>
      <c r="Z290" s="192"/>
    </row>
    <row r="291" spans="2:26" ht="57.6" customHeight="1" x14ac:dyDescent="0.25">
      <c r="B291" s="183" t="s">
        <v>1162</v>
      </c>
      <c r="C291" s="348" t="s">
        <v>1163</v>
      </c>
      <c r="D291" s="270" t="s">
        <v>1164</v>
      </c>
      <c r="E291" s="190">
        <v>765</v>
      </c>
      <c r="F291" s="190">
        <f t="shared" si="152"/>
        <v>765</v>
      </c>
      <c r="G291" s="166">
        <f t="shared" si="138"/>
        <v>0</v>
      </c>
      <c r="H291" s="191"/>
      <c r="I291" s="166">
        <f t="shared" si="155"/>
        <v>765</v>
      </c>
      <c r="J291" s="166">
        <f t="shared" si="146"/>
        <v>0</v>
      </c>
      <c r="K291" s="192"/>
      <c r="L291" s="166">
        <f t="shared" si="149"/>
        <v>765</v>
      </c>
      <c r="M291" s="166">
        <f t="shared" si="147"/>
        <v>0</v>
      </c>
      <c r="N291" s="192"/>
      <c r="O291" s="166">
        <f t="shared" si="150"/>
        <v>765</v>
      </c>
      <c r="P291" s="166">
        <f t="shared" si="148"/>
        <v>0</v>
      </c>
      <c r="Q291" s="192"/>
      <c r="R291" s="166">
        <f t="shared" si="151"/>
        <v>765</v>
      </c>
      <c r="S291" s="166">
        <f t="shared" si="134"/>
        <v>0</v>
      </c>
      <c r="T291" s="192"/>
      <c r="U291" s="166">
        <f t="shared" si="153"/>
        <v>765</v>
      </c>
      <c r="V291" s="166">
        <f t="shared" si="135"/>
        <v>0</v>
      </c>
      <c r="W291" s="192"/>
      <c r="X291" s="166">
        <f t="shared" si="156"/>
        <v>765</v>
      </c>
      <c r="Y291" s="166">
        <f t="shared" si="136"/>
        <v>0</v>
      </c>
      <c r="Z291" s="192"/>
    </row>
    <row r="292" spans="2:26" ht="30.6" customHeight="1" x14ac:dyDescent="0.25">
      <c r="B292" s="183" t="s">
        <v>1165</v>
      </c>
      <c r="C292" s="322" t="s">
        <v>1166</v>
      </c>
      <c r="D292" s="270" t="s">
        <v>1167</v>
      </c>
      <c r="E292" s="190">
        <v>637343</v>
      </c>
      <c r="F292" s="190">
        <f>ROUND(E292,0)</f>
        <v>637343</v>
      </c>
      <c r="G292" s="166">
        <f>F292-E292</f>
        <v>0</v>
      </c>
      <c r="H292" s="191"/>
      <c r="I292" s="166">
        <f t="shared" si="155"/>
        <v>637343</v>
      </c>
      <c r="J292" s="166">
        <f>I292-F292</f>
        <v>0</v>
      </c>
      <c r="K292" s="192"/>
      <c r="L292" s="166">
        <f t="shared" si="149"/>
        <v>637343</v>
      </c>
      <c r="M292" s="166">
        <f t="shared" si="147"/>
        <v>0</v>
      </c>
      <c r="N292" s="192"/>
      <c r="O292" s="166">
        <f>ROUND(L292,0)</f>
        <v>637343</v>
      </c>
      <c r="P292" s="166">
        <f>O292-L292</f>
        <v>0</v>
      </c>
      <c r="Q292" s="192"/>
      <c r="R292" s="166">
        <f>ROUND(O292,0)</f>
        <v>637343</v>
      </c>
      <c r="S292" s="166">
        <f t="shared" si="134"/>
        <v>0</v>
      </c>
      <c r="T292" s="192"/>
      <c r="U292" s="166">
        <f>ROUND(R292,0)</f>
        <v>637343</v>
      </c>
      <c r="V292" s="166">
        <f t="shared" si="135"/>
        <v>0</v>
      </c>
      <c r="W292" s="192"/>
      <c r="X292" s="166">
        <f>ROUND(U292,0)</f>
        <v>637343</v>
      </c>
      <c r="Y292" s="166">
        <f t="shared" si="136"/>
        <v>0</v>
      </c>
      <c r="Z292" s="192"/>
    </row>
    <row r="293" spans="2:26" ht="27" customHeight="1" x14ac:dyDescent="0.25">
      <c r="C293" s="322" t="s">
        <v>1168</v>
      </c>
      <c r="D293" s="270" t="s">
        <v>596</v>
      </c>
      <c r="E293" s="167">
        <v>15746</v>
      </c>
      <c r="F293" s="167">
        <f>F294+F295</f>
        <v>16496</v>
      </c>
      <c r="G293" s="166">
        <f t="shared" si="138"/>
        <v>750</v>
      </c>
      <c r="H293" s="191"/>
      <c r="I293" s="168">
        <f>I294+I295</f>
        <v>16496</v>
      </c>
      <c r="J293" s="166">
        <f t="shared" si="146"/>
        <v>0</v>
      </c>
      <c r="K293" s="192"/>
      <c r="L293" s="168">
        <f>L294+L295</f>
        <v>16496</v>
      </c>
      <c r="M293" s="166">
        <f t="shared" si="147"/>
        <v>0</v>
      </c>
      <c r="N293" s="192"/>
      <c r="O293" s="168">
        <f>O294+O295</f>
        <v>16496</v>
      </c>
      <c r="P293" s="166">
        <f t="shared" si="148"/>
        <v>0</v>
      </c>
      <c r="Q293" s="192"/>
      <c r="R293" s="168">
        <f>R294+R295</f>
        <v>16496</v>
      </c>
      <c r="S293" s="166">
        <f t="shared" si="134"/>
        <v>0</v>
      </c>
      <c r="T293" s="192"/>
      <c r="U293" s="168">
        <f>U294+U295</f>
        <v>16496</v>
      </c>
      <c r="V293" s="166">
        <f t="shared" si="135"/>
        <v>0</v>
      </c>
      <c r="W293" s="192"/>
      <c r="X293" s="168">
        <f>X294+X295</f>
        <v>16496</v>
      </c>
      <c r="Y293" s="166">
        <f t="shared" si="136"/>
        <v>0</v>
      </c>
      <c r="Z293" s="192"/>
    </row>
    <row r="294" spans="2:26" ht="14.45" customHeight="1" x14ac:dyDescent="0.25">
      <c r="B294" s="183" t="s">
        <v>1169</v>
      </c>
      <c r="C294" s="266" t="s">
        <v>1170</v>
      </c>
      <c r="D294" s="231" t="s">
        <v>1171</v>
      </c>
      <c r="E294" s="135">
        <v>15746</v>
      </c>
      <c r="F294" s="135">
        <f>ROUND(E294,0)+750</f>
        <v>16496</v>
      </c>
      <c r="G294" s="134">
        <f t="shared" si="138"/>
        <v>750</v>
      </c>
      <c r="H294" s="138" t="s">
        <v>357</v>
      </c>
      <c r="I294" s="134">
        <f>ROUND(F294,0)</f>
        <v>16496</v>
      </c>
      <c r="J294" s="134">
        <f t="shared" si="146"/>
        <v>0</v>
      </c>
      <c r="K294" s="138"/>
      <c r="L294" s="134">
        <f>ROUND(I294,0)</f>
        <v>16496</v>
      </c>
      <c r="M294" s="134">
        <f t="shared" si="147"/>
        <v>0</v>
      </c>
      <c r="N294" s="138"/>
      <c r="O294" s="134">
        <f>ROUND(L294,0)</f>
        <v>16496</v>
      </c>
      <c r="P294" s="134">
        <f t="shared" si="148"/>
        <v>0</v>
      </c>
      <c r="Q294" s="138"/>
      <c r="R294" s="134">
        <f>ROUND(O294,0)</f>
        <v>16496</v>
      </c>
      <c r="S294" s="134">
        <f t="shared" si="134"/>
        <v>0</v>
      </c>
      <c r="T294" s="138"/>
      <c r="U294" s="134">
        <f>ROUND(R294,0)</f>
        <v>16496</v>
      </c>
      <c r="V294" s="134">
        <f t="shared" si="135"/>
        <v>0</v>
      </c>
      <c r="W294" s="138"/>
      <c r="X294" s="134">
        <f>ROUND(U294,0)</f>
        <v>16496</v>
      </c>
      <c r="Y294" s="134">
        <f t="shared" si="136"/>
        <v>0</v>
      </c>
      <c r="Z294" s="138"/>
    </row>
    <row r="295" spans="2:26" s="249" customFormat="1" ht="15" customHeight="1" x14ac:dyDescent="0.25">
      <c r="B295" s="183" t="s">
        <v>1172</v>
      </c>
      <c r="C295" s="266" t="s">
        <v>1173</v>
      </c>
      <c r="D295" s="231" t="s">
        <v>1174</v>
      </c>
      <c r="E295" s="135">
        <v>0</v>
      </c>
      <c r="F295" s="135">
        <f>ROUND(E295,0)</f>
        <v>0</v>
      </c>
      <c r="G295" s="134">
        <f t="shared" si="138"/>
        <v>0</v>
      </c>
      <c r="H295" s="161"/>
      <c r="I295" s="134">
        <f>ROUND(F295,0)</f>
        <v>0</v>
      </c>
      <c r="J295" s="134">
        <f t="shared" si="146"/>
        <v>0</v>
      </c>
      <c r="K295" s="138"/>
      <c r="L295" s="134">
        <f>ROUND(I295,0)</f>
        <v>0</v>
      </c>
      <c r="M295" s="134">
        <f t="shared" si="147"/>
        <v>0</v>
      </c>
      <c r="N295" s="138"/>
      <c r="O295" s="134">
        <f>ROUND(L295,0)</f>
        <v>0</v>
      </c>
      <c r="P295" s="134">
        <f t="shared" si="148"/>
        <v>0</v>
      </c>
      <c r="Q295" s="138"/>
      <c r="R295" s="134">
        <f>ROUND(O295,0)</f>
        <v>0</v>
      </c>
      <c r="S295" s="134">
        <f t="shared" si="134"/>
        <v>0</v>
      </c>
      <c r="T295" s="138"/>
      <c r="U295" s="134">
        <f>ROUND(R295,0)</f>
        <v>0</v>
      </c>
      <c r="V295" s="134">
        <f t="shared" si="135"/>
        <v>0</v>
      </c>
      <c r="W295" s="138"/>
      <c r="X295" s="134">
        <f>ROUND(U295,0)</f>
        <v>0</v>
      </c>
      <c r="Y295" s="134">
        <f t="shared" si="136"/>
        <v>0</v>
      </c>
      <c r="Z295" s="138"/>
    </row>
    <row r="296" spans="2:26" s="249" customFormat="1" ht="17.45" customHeight="1" outlineLevel="1" x14ac:dyDescent="0.2">
      <c r="C296" s="263" t="s">
        <v>1175</v>
      </c>
      <c r="D296" s="264" t="s">
        <v>1176</v>
      </c>
      <c r="E296" s="142">
        <v>0</v>
      </c>
      <c r="F296" s="142">
        <f>SUM(F297:F298)</f>
        <v>0</v>
      </c>
      <c r="G296" s="141">
        <f t="shared" si="138"/>
        <v>0</v>
      </c>
      <c r="H296" s="143"/>
      <c r="I296" s="141">
        <f>SUM(I297:I298)</f>
        <v>0</v>
      </c>
      <c r="J296" s="141">
        <f t="shared" si="146"/>
        <v>0</v>
      </c>
      <c r="K296" s="144"/>
      <c r="L296" s="141">
        <f>SUM(L297:L298)</f>
        <v>0</v>
      </c>
      <c r="M296" s="141">
        <f t="shared" si="147"/>
        <v>0</v>
      </c>
      <c r="N296" s="144"/>
      <c r="O296" s="141">
        <f>SUM(O297:O298)</f>
        <v>0</v>
      </c>
      <c r="P296" s="141">
        <f t="shared" si="148"/>
        <v>0</v>
      </c>
      <c r="Q296" s="144"/>
      <c r="R296" s="141">
        <f>SUM(R297:R298)</f>
        <v>0</v>
      </c>
      <c r="S296" s="141">
        <f t="shared" si="134"/>
        <v>0</v>
      </c>
      <c r="T296" s="144"/>
      <c r="U296" s="141">
        <f>SUM(U297:U298)</f>
        <v>0</v>
      </c>
      <c r="V296" s="141">
        <f t="shared" si="135"/>
        <v>0</v>
      </c>
      <c r="W296" s="144"/>
      <c r="X296" s="141">
        <f>SUM(X297:X298)</f>
        <v>0</v>
      </c>
      <c r="Y296" s="141">
        <f t="shared" si="136"/>
        <v>0</v>
      </c>
      <c r="Z296" s="144"/>
    </row>
    <row r="297" spans="2:26" ht="17.25" customHeight="1" outlineLevel="1" x14ac:dyDescent="0.25">
      <c r="C297" s="258" t="s">
        <v>490</v>
      </c>
      <c r="D297" s="259" t="s">
        <v>1177</v>
      </c>
      <c r="E297" s="190"/>
      <c r="F297" s="190"/>
      <c r="G297" s="166">
        <f t="shared" si="138"/>
        <v>0</v>
      </c>
      <c r="H297" s="191"/>
      <c r="I297" s="166"/>
      <c r="J297" s="166">
        <f t="shared" si="146"/>
        <v>0</v>
      </c>
      <c r="K297" s="192"/>
      <c r="L297" s="166"/>
      <c r="M297" s="166">
        <f t="shared" si="147"/>
        <v>0</v>
      </c>
      <c r="N297" s="192"/>
      <c r="O297" s="166">
        <f>ROUND(L297,0)</f>
        <v>0</v>
      </c>
      <c r="P297" s="166">
        <f t="shared" si="148"/>
        <v>0</v>
      </c>
      <c r="Q297" s="192"/>
      <c r="R297" s="166">
        <f>ROUND(O297,0)</f>
        <v>0</v>
      </c>
      <c r="S297" s="166">
        <f t="shared" si="134"/>
        <v>0</v>
      </c>
      <c r="T297" s="192"/>
      <c r="U297" s="166">
        <f>ROUND(R297,0)</f>
        <v>0</v>
      </c>
      <c r="V297" s="166">
        <f t="shared" si="135"/>
        <v>0</v>
      </c>
      <c r="W297" s="192"/>
      <c r="X297" s="166">
        <f>ROUND(U297,0)</f>
        <v>0</v>
      </c>
      <c r="Y297" s="166">
        <f t="shared" si="136"/>
        <v>0</v>
      </c>
      <c r="Z297" s="192"/>
    </row>
    <row r="298" spans="2:26" ht="15.75" outlineLevel="1" thickBot="1" x14ac:dyDescent="0.3">
      <c r="C298" s="258" t="s">
        <v>563</v>
      </c>
      <c r="D298" s="259" t="s">
        <v>1178</v>
      </c>
      <c r="E298" s="190"/>
      <c r="F298" s="190"/>
      <c r="G298" s="166">
        <f t="shared" si="138"/>
        <v>0</v>
      </c>
      <c r="H298" s="191"/>
      <c r="I298" s="166"/>
      <c r="J298" s="166">
        <f t="shared" si="146"/>
        <v>0</v>
      </c>
      <c r="K298" s="192"/>
      <c r="L298" s="166"/>
      <c r="M298" s="166">
        <f t="shared" si="147"/>
        <v>0</v>
      </c>
      <c r="N298" s="192"/>
      <c r="O298" s="166">
        <f>ROUND(L298,0)</f>
        <v>0</v>
      </c>
      <c r="P298" s="166">
        <f t="shared" si="148"/>
        <v>0</v>
      </c>
      <c r="Q298" s="192"/>
      <c r="R298" s="166">
        <f>ROUND(O298,0)</f>
        <v>0</v>
      </c>
      <c r="S298" s="166">
        <f t="shared" si="134"/>
        <v>0</v>
      </c>
      <c r="T298" s="192"/>
      <c r="U298" s="166">
        <f>ROUND(R298,0)</f>
        <v>0</v>
      </c>
      <c r="V298" s="166">
        <f t="shared" si="135"/>
        <v>0</v>
      </c>
      <c r="W298" s="192"/>
      <c r="X298" s="166">
        <f>ROUND(U298,0)</f>
        <v>0</v>
      </c>
      <c r="Y298" s="166">
        <f t="shared" si="136"/>
        <v>0</v>
      </c>
      <c r="Z298" s="192"/>
    </row>
    <row r="299" spans="2:26" s="249" customFormat="1" ht="30" customHeight="1" thickBot="1" x14ac:dyDescent="0.25">
      <c r="C299" s="349"/>
      <c r="D299" s="350" t="s">
        <v>1179</v>
      </c>
      <c r="E299" s="352">
        <v>58317822.384578399</v>
      </c>
      <c r="F299" s="352">
        <f t="shared" ref="F299:I299" si="157">F130+F140+F142+F143+F148+F150+F192+F207+F229+F296</f>
        <v>59128575</v>
      </c>
      <c r="G299" s="352">
        <f t="shared" si="157"/>
        <v>810752.62895110343</v>
      </c>
      <c r="H299" s="352" t="e">
        <f t="shared" si="157"/>
        <v>#VALUE!</v>
      </c>
      <c r="I299" s="352">
        <f t="shared" si="157"/>
        <v>59750919</v>
      </c>
      <c r="J299" s="351">
        <f t="shared" si="146"/>
        <v>622344</v>
      </c>
      <c r="K299" s="353"/>
      <c r="L299" s="351">
        <f>L130+L140+L142+L143+L148+L150+L192+L207+L229+L296</f>
        <v>59826407</v>
      </c>
      <c r="M299" s="351">
        <f t="shared" si="147"/>
        <v>75488</v>
      </c>
      <c r="N299" s="353"/>
      <c r="O299" s="351">
        <f>O130+O140+O142+O143+O148+O150+O192+O207+O229+O296</f>
        <v>60556119</v>
      </c>
      <c r="P299" s="351">
        <f t="shared" si="148"/>
        <v>729712</v>
      </c>
      <c r="Q299" s="353"/>
      <c r="R299" s="351">
        <f>R130+R140+R142+R143+R148+R150+R192+R207+R229+R296</f>
        <v>61061627</v>
      </c>
      <c r="S299" s="351">
        <f t="shared" si="134"/>
        <v>505508</v>
      </c>
      <c r="T299" s="353"/>
      <c r="U299" s="351">
        <f>U130+U140+U142+U143+U148+U150+U192+U207+U229+U296</f>
        <v>61255958</v>
      </c>
      <c r="V299" s="351">
        <f t="shared" si="135"/>
        <v>194331</v>
      </c>
      <c r="W299" s="353"/>
      <c r="X299" s="351">
        <f>X130+X140+X142+X143+X148+X150+X192+X207+X229+X296</f>
        <v>61368258</v>
      </c>
      <c r="Y299" s="351">
        <f t="shared" si="136"/>
        <v>112300</v>
      </c>
      <c r="Z299" s="353"/>
    </row>
    <row r="300" spans="2:26" s="131" customFormat="1" ht="76.150000000000006" customHeight="1" thickBot="1" x14ac:dyDescent="0.3">
      <c r="C300" s="263" t="s">
        <v>620</v>
      </c>
      <c r="D300" s="264" t="s">
        <v>1180</v>
      </c>
      <c r="E300" s="142">
        <v>3486155</v>
      </c>
      <c r="F300" s="142">
        <f>ROUND(E300,0)+37335+(133641+67)</f>
        <v>3657198</v>
      </c>
      <c r="G300" s="141">
        <f t="shared" si="138"/>
        <v>171043</v>
      </c>
      <c r="H300" s="354" t="s">
        <v>1181</v>
      </c>
      <c r="I300" s="141">
        <f>ROUND(F300,0)</f>
        <v>3657198</v>
      </c>
      <c r="J300" s="141">
        <f t="shared" si="146"/>
        <v>0</v>
      </c>
      <c r="K300" s="159"/>
      <c r="L300" s="141">
        <f>ROUND(I300,0)</f>
        <v>3657198</v>
      </c>
      <c r="M300" s="141">
        <f t="shared" si="147"/>
        <v>0</v>
      </c>
      <c r="N300" s="159"/>
      <c r="O300" s="141">
        <f>ROUND(L300,0)</f>
        <v>3657198</v>
      </c>
      <c r="P300" s="141">
        <f t="shared" si="148"/>
        <v>0</v>
      </c>
      <c r="Q300" s="159"/>
      <c r="R300" s="141">
        <f>ROUND(O300,0)</f>
        <v>3657198</v>
      </c>
      <c r="S300" s="141">
        <f t="shared" si="134"/>
        <v>0</v>
      </c>
      <c r="T300" s="159"/>
      <c r="U300" s="141">
        <f>ROUND(R300,0)</f>
        <v>3657198</v>
      </c>
      <c r="V300" s="141">
        <f t="shared" si="135"/>
        <v>0</v>
      </c>
      <c r="W300" s="159"/>
      <c r="X300" s="141">
        <f>ROUND(U300,0)</f>
        <v>3657198</v>
      </c>
      <c r="Y300" s="141">
        <f t="shared" si="136"/>
        <v>0</v>
      </c>
      <c r="Z300" s="159"/>
    </row>
    <row r="301" spans="2:26" ht="15.75" thickBot="1" x14ac:dyDescent="0.3">
      <c r="C301" s="349"/>
      <c r="D301" s="350" t="s">
        <v>1182</v>
      </c>
      <c r="E301" s="356">
        <v>61803977.384578399</v>
      </c>
      <c r="F301" s="356">
        <f>F299+F300</f>
        <v>62785773</v>
      </c>
      <c r="G301" s="355">
        <f t="shared" si="138"/>
        <v>981795.61542160064</v>
      </c>
      <c r="H301" s="357"/>
      <c r="I301" s="355">
        <f>I299+I300</f>
        <v>63408117</v>
      </c>
      <c r="J301" s="355">
        <f t="shared" si="146"/>
        <v>622344</v>
      </c>
      <c r="K301" s="357"/>
      <c r="L301" s="355">
        <f>L299+L300</f>
        <v>63483605</v>
      </c>
      <c r="M301" s="355">
        <f t="shared" si="147"/>
        <v>75488</v>
      </c>
      <c r="N301" s="357"/>
      <c r="O301" s="355">
        <f>O299+O300</f>
        <v>64213317</v>
      </c>
      <c r="P301" s="355">
        <f t="shared" si="148"/>
        <v>729712</v>
      </c>
      <c r="Q301" s="357"/>
      <c r="R301" s="355">
        <f>R299+R300</f>
        <v>64718825</v>
      </c>
      <c r="S301" s="355">
        <f t="shared" si="134"/>
        <v>505508</v>
      </c>
      <c r="T301" s="357"/>
      <c r="U301" s="355">
        <f>U299+U300</f>
        <v>64913156</v>
      </c>
      <c r="V301" s="355">
        <f t="shared" si="135"/>
        <v>194331</v>
      </c>
      <c r="W301" s="357"/>
      <c r="X301" s="355">
        <f>X299+X300</f>
        <v>65025456</v>
      </c>
      <c r="Y301" s="355">
        <f t="shared" si="136"/>
        <v>112300</v>
      </c>
      <c r="Z301" s="357"/>
    </row>
    <row r="302" spans="2:26" ht="16.5" thickTop="1" thickBot="1" x14ac:dyDescent="0.3">
      <c r="C302" s="358" t="s">
        <v>1183</v>
      </c>
      <c r="D302" s="359" t="s">
        <v>1184</v>
      </c>
      <c r="E302" s="361">
        <v>0.25542160123586655</v>
      </c>
      <c r="F302" s="361">
        <f>F124-F301-0.2</f>
        <v>80542.8</v>
      </c>
      <c r="G302" s="360">
        <f t="shared" si="138"/>
        <v>80542.544578398767</v>
      </c>
      <c r="H302" s="362"/>
      <c r="I302" s="360">
        <f>I124-I301-0.2</f>
        <v>50316.800000000003</v>
      </c>
      <c r="J302" s="360">
        <f t="shared" si="146"/>
        <v>-30226</v>
      </c>
      <c r="K302" s="362"/>
      <c r="L302" s="360">
        <f>L124-L301-0.2</f>
        <v>58013.8</v>
      </c>
      <c r="M302" s="360">
        <f t="shared" si="147"/>
        <v>7697</v>
      </c>
      <c r="N302" s="362"/>
      <c r="O302" s="360">
        <f>O124-O301-0.2</f>
        <v>58013.8</v>
      </c>
      <c r="P302" s="360">
        <f t="shared" si="148"/>
        <v>0</v>
      </c>
      <c r="Q302" s="362"/>
      <c r="R302" s="360">
        <f>R124-R301-0.2</f>
        <v>38078.800000000003</v>
      </c>
      <c r="S302" s="360">
        <f t="shared" si="134"/>
        <v>-19935</v>
      </c>
      <c r="T302" s="362"/>
      <c r="U302" s="360">
        <f>U124-U301-0.2</f>
        <v>57060.800000000003</v>
      </c>
      <c r="V302" s="360">
        <f t="shared" si="135"/>
        <v>18982</v>
      </c>
      <c r="W302" s="362"/>
      <c r="X302" s="360">
        <f>X124-X301-0.2</f>
        <v>47060.800000000003</v>
      </c>
      <c r="Y302" s="360">
        <f t="shared" si="136"/>
        <v>-10000</v>
      </c>
      <c r="Z302" s="362"/>
    </row>
  </sheetData>
  <mergeCells count="9">
    <mergeCell ref="W233:W234"/>
    <mergeCell ref="H241:H242"/>
    <mergeCell ref="T268:T269"/>
    <mergeCell ref="C127:D127"/>
    <mergeCell ref="C128:D128"/>
    <mergeCell ref="K145:K146"/>
    <mergeCell ref="T196:T197"/>
    <mergeCell ref="C2:D2"/>
    <mergeCell ref="C3:D3"/>
  </mergeCells>
  <conditionalFormatting sqref="E302:G302">
    <cfRule type="cellIs" dxfId="13" priority="8" operator="lessThan">
      <formula>0</formula>
    </cfRule>
  </conditionalFormatting>
  <conditionalFormatting sqref="I302:J302">
    <cfRule type="cellIs" dxfId="12" priority="6" operator="lessThan">
      <formula>0</formula>
    </cfRule>
  </conditionalFormatting>
  <conditionalFormatting sqref="L302:M302">
    <cfRule type="cellIs" dxfId="11" priority="5" operator="lessThan">
      <formula>0</formula>
    </cfRule>
  </conditionalFormatting>
  <conditionalFormatting sqref="O302:P302">
    <cfRule type="cellIs" dxfId="10" priority="4" operator="lessThan">
      <formula>0</formula>
    </cfRule>
  </conditionalFormatting>
  <conditionalFormatting sqref="R302:S302">
    <cfRule type="cellIs" dxfId="9" priority="3" operator="lessThan">
      <formula>0</formula>
    </cfRule>
  </conditionalFormatting>
  <conditionalFormatting sqref="U302:V302">
    <cfRule type="cellIs" dxfId="8" priority="2" operator="lessThan">
      <formula>0</formula>
    </cfRule>
  </conditionalFormatting>
  <conditionalFormatting sqref="X302">
    <cfRule type="cellIs" dxfId="7" priority="1" operator="lessThan">
      <formula>0</formula>
    </cfRule>
  </conditionalFormatting>
  <pageMargins left="0.47244094488188981" right="0.47244094488188981" top="0.47244094488188981" bottom="0.47244094488188981" header="0.27559055118110237" footer="0.27559055118110237"/>
  <pageSetup paperSize="9" scale="6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BB3C-CD38-4E81-82FA-DF62C7D7F775}">
  <sheetPr>
    <tabColor rgb="FF7030A0"/>
    <pageSetUpPr fitToPage="1"/>
  </sheetPr>
  <dimension ref="A1:AJ173"/>
  <sheetViews>
    <sheetView zoomScaleNormal="100" workbookViewId="0">
      <pane xSplit="1" topLeftCell="B1" activePane="topRight" state="frozen"/>
      <selection activeCell="C1" sqref="C1"/>
      <selection pane="topRight" activeCell="S137" sqref="S137:S159"/>
    </sheetView>
  </sheetViews>
  <sheetFormatPr defaultColWidth="8.85546875" defaultRowHeight="15" outlineLevelRow="1" x14ac:dyDescent="0.25"/>
  <cols>
    <col min="1" max="1" width="5.28515625" style="1" customWidth="1"/>
    <col min="2" max="2" width="31.85546875" style="1" customWidth="1"/>
    <col min="3" max="3" width="12.28515625" style="3" customWidth="1"/>
    <col min="4" max="4" width="11.5703125" style="1" customWidth="1"/>
    <col min="5" max="6" width="11" style="1" customWidth="1"/>
    <col min="7" max="7" width="14.42578125" style="1" customWidth="1"/>
    <col min="8" max="14" width="10.28515625" style="1" customWidth="1"/>
    <col min="15" max="15" width="12.28515625" style="1" customWidth="1"/>
    <col min="16" max="16" width="11.5703125" style="1" customWidth="1" collapsed="1"/>
    <col min="17" max="17" width="8.85546875" style="1"/>
    <col min="18" max="18" width="10.7109375" style="1" customWidth="1"/>
    <col min="19" max="19" width="12.28515625" style="1" bestFit="1" customWidth="1"/>
    <col min="20" max="16384" width="8.85546875" style="1"/>
  </cols>
  <sheetData>
    <row r="1" spans="1:18" ht="18.75" x14ac:dyDescent="0.3">
      <c r="A1" s="2" t="s">
        <v>0</v>
      </c>
      <c r="G1" s="4"/>
    </row>
    <row r="2" spans="1:18" ht="18.75" x14ac:dyDescent="0.3">
      <c r="A2" s="2"/>
      <c r="G2" s="4"/>
      <c r="J2" s="6"/>
    </row>
    <row r="3" spans="1:18" ht="15.75" x14ac:dyDescent="0.25">
      <c r="A3" s="7" t="s">
        <v>1</v>
      </c>
      <c r="G3" s="4"/>
      <c r="H3" s="8"/>
      <c r="I3" s="8"/>
      <c r="J3" s="8"/>
      <c r="K3" s="8"/>
      <c r="L3" s="8"/>
      <c r="M3" s="8"/>
      <c r="N3" s="8"/>
      <c r="O3" s="8"/>
      <c r="P3" s="8"/>
    </row>
    <row r="4" spans="1:18" s="9" customFormat="1" ht="45" x14ac:dyDescent="0.25">
      <c r="A4" s="11" t="s">
        <v>2</v>
      </c>
      <c r="B4" s="12" t="s">
        <v>3</v>
      </c>
      <c r="C4" s="11" t="s">
        <v>4</v>
      </c>
      <c r="D4" s="11" t="s">
        <v>5</v>
      </c>
      <c r="E4" s="11" t="s">
        <v>6</v>
      </c>
      <c r="F4" s="11" t="s">
        <v>7</v>
      </c>
      <c r="G4" s="13" t="s">
        <v>8</v>
      </c>
      <c r="H4" s="12">
        <v>2024</v>
      </c>
      <c r="I4" s="12">
        <v>2025</v>
      </c>
      <c r="J4" s="12">
        <v>2026</v>
      </c>
      <c r="K4" s="12">
        <v>2027</v>
      </c>
      <c r="L4" s="12">
        <v>2028</v>
      </c>
      <c r="M4" s="12">
        <v>2029</v>
      </c>
      <c r="N4" s="12">
        <v>2030</v>
      </c>
      <c r="O4" s="10" t="s">
        <v>9</v>
      </c>
      <c r="P4" s="11" t="s">
        <v>10</v>
      </c>
    </row>
    <row r="5" spans="1:18" s="14" customFormat="1" outlineLevel="1" x14ac:dyDescent="0.25">
      <c r="A5" s="15">
        <v>1</v>
      </c>
      <c r="B5" s="16" t="s">
        <v>11</v>
      </c>
      <c r="C5" s="17" t="s">
        <v>12</v>
      </c>
      <c r="D5" s="18" t="s">
        <v>13</v>
      </c>
      <c r="E5" s="18" t="s">
        <v>14</v>
      </c>
      <c r="F5" s="18" t="s">
        <v>15</v>
      </c>
      <c r="G5" s="19" t="s">
        <v>16</v>
      </c>
      <c r="H5" s="20">
        <v>97944.8</v>
      </c>
      <c r="I5" s="20">
        <v>97944.8</v>
      </c>
      <c r="J5" s="20">
        <v>97944.8</v>
      </c>
      <c r="K5" s="20">
        <v>97944.8</v>
      </c>
      <c r="L5" s="20">
        <v>97944.8</v>
      </c>
      <c r="M5" s="20">
        <v>97944.8</v>
      </c>
      <c r="N5" s="20">
        <v>97944.8</v>
      </c>
      <c r="O5" s="21">
        <v>609239.59</v>
      </c>
      <c r="P5" s="22">
        <v>1294853.19</v>
      </c>
      <c r="R5" s="23"/>
    </row>
    <row r="6" spans="1:18" outlineLevel="1" x14ac:dyDescent="0.25">
      <c r="A6" s="24"/>
      <c r="B6" s="25" t="s">
        <v>17</v>
      </c>
      <c r="C6" s="26"/>
      <c r="D6" s="27"/>
      <c r="E6" s="27"/>
      <c r="F6" s="27"/>
      <c r="G6" s="28" t="s">
        <v>18</v>
      </c>
      <c r="H6" s="29">
        <v>48164.6</v>
      </c>
      <c r="I6" s="29">
        <v>46535.7982032</v>
      </c>
      <c r="J6" s="29">
        <v>42727.704379200004</v>
      </c>
      <c r="K6" s="29">
        <v>38919.610555200001</v>
      </c>
      <c r="L6" s="29">
        <v>35111.516731199998</v>
      </c>
      <c r="M6" s="29">
        <v>31303.422907199998</v>
      </c>
      <c r="N6" s="29">
        <v>27495.329083199998</v>
      </c>
      <c r="O6" s="30">
        <v>81296.360726400002</v>
      </c>
      <c r="P6" s="31">
        <v>351554.34258559998</v>
      </c>
    </row>
    <row r="7" spans="1:18" s="14" customFormat="1" outlineLevel="1" x14ac:dyDescent="0.25">
      <c r="A7" s="15">
        <v>2</v>
      </c>
      <c r="B7" s="16" t="s">
        <v>11</v>
      </c>
      <c r="C7" s="17" t="s">
        <v>19</v>
      </c>
      <c r="D7" s="18" t="s">
        <v>20</v>
      </c>
      <c r="E7" s="18" t="s">
        <v>21</v>
      </c>
      <c r="F7" s="18" t="s">
        <v>22</v>
      </c>
      <c r="G7" s="19" t="s">
        <v>16</v>
      </c>
      <c r="H7" s="20">
        <v>392598.8</v>
      </c>
      <c r="I7" s="20">
        <v>392598.8</v>
      </c>
      <c r="J7" s="20">
        <v>392598.8</v>
      </c>
      <c r="K7" s="20">
        <v>392598.8</v>
      </c>
      <c r="L7" s="20">
        <v>392598.8</v>
      </c>
      <c r="M7" s="20">
        <v>392598.8</v>
      </c>
      <c r="N7" s="20">
        <v>392598.8</v>
      </c>
      <c r="O7" s="21">
        <v>392597.24</v>
      </c>
      <c r="P7" s="22">
        <v>3140788.84</v>
      </c>
      <c r="R7" s="23"/>
    </row>
    <row r="8" spans="1:18" outlineLevel="1" x14ac:dyDescent="0.25">
      <c r="A8" s="24"/>
      <c r="B8" s="25" t="s">
        <v>23</v>
      </c>
      <c r="C8" s="26"/>
      <c r="D8" s="27"/>
      <c r="E8" s="27"/>
      <c r="F8" s="27"/>
      <c r="G8" s="28" t="s">
        <v>18</v>
      </c>
      <c r="H8" s="29">
        <v>131844.60999999999</v>
      </c>
      <c r="I8" s="29">
        <v>114049.88666000002</v>
      </c>
      <c r="J8" s="29">
        <v>97757.036460000018</v>
      </c>
      <c r="K8" s="29">
        <v>81464.186260000002</v>
      </c>
      <c r="L8" s="29">
        <v>65171.336059999994</v>
      </c>
      <c r="M8" s="29">
        <v>48878.485860000001</v>
      </c>
      <c r="N8" s="29">
        <v>32585.635660000007</v>
      </c>
      <c r="O8" s="30">
        <v>16292.785460000001</v>
      </c>
      <c r="P8" s="31">
        <v>588043.96242000011</v>
      </c>
    </row>
    <row r="9" spans="1:18" s="14" customFormat="1" outlineLevel="1" x14ac:dyDescent="0.25">
      <c r="A9" s="15">
        <v>3</v>
      </c>
      <c r="B9" s="16" t="s">
        <v>24</v>
      </c>
      <c r="C9" s="17" t="s">
        <v>25</v>
      </c>
      <c r="D9" s="18" t="s">
        <v>26</v>
      </c>
      <c r="E9" s="18" t="s">
        <v>27</v>
      </c>
      <c r="F9" s="18" t="s">
        <v>28</v>
      </c>
      <c r="G9" s="19" t="s">
        <v>16</v>
      </c>
      <c r="H9" s="20">
        <v>53323.56</v>
      </c>
      <c r="I9" s="20">
        <v>53323.56</v>
      </c>
      <c r="J9" s="20">
        <v>53323.56</v>
      </c>
      <c r="K9" s="20">
        <v>53323.56</v>
      </c>
      <c r="L9" s="20">
        <v>53323.56</v>
      </c>
      <c r="M9" s="20">
        <v>53323.56</v>
      </c>
      <c r="N9" s="20">
        <v>53323.56</v>
      </c>
      <c r="O9" s="21">
        <v>53323.31</v>
      </c>
      <c r="P9" s="22">
        <v>426588.23</v>
      </c>
      <c r="R9" s="23"/>
    </row>
    <row r="10" spans="1:18" outlineLevel="1" x14ac:dyDescent="0.25">
      <c r="A10" s="24"/>
      <c r="B10" s="25" t="s">
        <v>29</v>
      </c>
      <c r="C10" s="26"/>
      <c r="D10" s="27"/>
      <c r="E10" s="27"/>
      <c r="F10" s="27"/>
      <c r="G10" s="28" t="s">
        <v>18</v>
      </c>
      <c r="H10" s="29">
        <v>17172.71</v>
      </c>
      <c r="I10" s="29">
        <v>15376.41</v>
      </c>
      <c r="J10" s="29">
        <v>13137.43</v>
      </c>
      <c r="K10" s="29">
        <v>10896.919999999998</v>
      </c>
      <c r="L10" s="29">
        <v>8679.44</v>
      </c>
      <c r="M10" s="29">
        <v>6409.7699999999995</v>
      </c>
      <c r="N10" s="29">
        <v>4166.21</v>
      </c>
      <c r="O10" s="30">
        <v>2115.79</v>
      </c>
      <c r="P10" s="31">
        <v>77954.680000000008</v>
      </c>
    </row>
    <row r="11" spans="1:18" s="14" customFormat="1" outlineLevel="1" x14ac:dyDescent="0.25">
      <c r="A11" s="15">
        <v>4</v>
      </c>
      <c r="B11" s="16" t="s">
        <v>11</v>
      </c>
      <c r="C11" s="17" t="s">
        <v>30</v>
      </c>
      <c r="D11" s="18" t="s">
        <v>31</v>
      </c>
      <c r="E11" s="18" t="s">
        <v>32</v>
      </c>
      <c r="F11" s="18" t="s">
        <v>33</v>
      </c>
      <c r="G11" s="19" t="s">
        <v>16</v>
      </c>
      <c r="H11" s="20">
        <v>67.680000000000007</v>
      </c>
      <c r="I11" s="20">
        <v>0</v>
      </c>
      <c r="J11" s="20">
        <v>0</v>
      </c>
      <c r="K11" s="20">
        <v>0</v>
      </c>
      <c r="L11" s="20">
        <v>0</v>
      </c>
      <c r="M11" s="20">
        <v>0</v>
      </c>
      <c r="N11" s="20">
        <v>0</v>
      </c>
      <c r="O11" s="21">
        <v>0</v>
      </c>
      <c r="P11" s="22">
        <v>67.680000000000007</v>
      </c>
      <c r="R11" s="23"/>
    </row>
    <row r="12" spans="1:18" outlineLevel="1" x14ac:dyDescent="0.25">
      <c r="A12" s="24"/>
      <c r="B12" s="25" t="s">
        <v>34</v>
      </c>
      <c r="C12" s="26"/>
      <c r="D12" s="27"/>
      <c r="E12" s="27"/>
      <c r="F12" s="27"/>
      <c r="G12" s="28" t="s">
        <v>18</v>
      </c>
      <c r="H12" s="29">
        <v>68</v>
      </c>
      <c r="I12" s="29">
        <v>0</v>
      </c>
      <c r="J12" s="29">
        <v>0</v>
      </c>
      <c r="K12" s="29">
        <v>0</v>
      </c>
      <c r="L12" s="29">
        <v>0</v>
      </c>
      <c r="M12" s="29">
        <v>0</v>
      </c>
      <c r="N12" s="29">
        <v>0</v>
      </c>
      <c r="O12" s="30">
        <v>0</v>
      </c>
      <c r="P12" s="31">
        <v>68</v>
      </c>
    </row>
    <row r="13" spans="1:18" s="14" customFormat="1" outlineLevel="1" x14ac:dyDescent="0.25">
      <c r="A13" s="15">
        <v>5</v>
      </c>
      <c r="B13" s="16" t="s">
        <v>35</v>
      </c>
      <c r="C13" s="17" t="s">
        <v>36</v>
      </c>
      <c r="D13" s="18" t="s">
        <v>37</v>
      </c>
      <c r="E13" s="18" t="s">
        <v>38</v>
      </c>
      <c r="F13" s="18" t="s">
        <v>39</v>
      </c>
      <c r="G13" s="19" t="s">
        <v>16</v>
      </c>
      <c r="H13" s="20">
        <v>132804</v>
      </c>
      <c r="I13" s="20">
        <v>132804</v>
      </c>
      <c r="J13" s="20">
        <v>132804</v>
      </c>
      <c r="K13" s="20">
        <v>132804</v>
      </c>
      <c r="L13" s="20">
        <v>132804</v>
      </c>
      <c r="M13" s="20">
        <v>132804</v>
      </c>
      <c r="N13" s="20">
        <v>132804</v>
      </c>
      <c r="O13" s="21">
        <v>199206</v>
      </c>
      <c r="P13" s="22">
        <v>1128834</v>
      </c>
      <c r="R13" s="1"/>
    </row>
    <row r="14" spans="1:18" outlineLevel="1" x14ac:dyDescent="0.25">
      <c r="A14" s="24"/>
      <c r="B14" s="25" t="s">
        <v>40</v>
      </c>
      <c r="C14" s="26"/>
      <c r="D14" s="27"/>
      <c r="E14" s="27"/>
      <c r="F14" s="27"/>
      <c r="G14" s="28" t="s">
        <v>18</v>
      </c>
      <c r="H14" s="29">
        <v>42555.82</v>
      </c>
      <c r="I14" s="29">
        <v>40418.897399999994</v>
      </c>
      <c r="J14" s="29">
        <v>35029.711080000001</v>
      </c>
      <c r="K14" s="29">
        <v>29640.524759999997</v>
      </c>
      <c r="L14" s="29">
        <v>24251.33844</v>
      </c>
      <c r="M14" s="29">
        <v>18862.152119999999</v>
      </c>
      <c r="N14" s="29">
        <v>13472.965799999998</v>
      </c>
      <c r="O14" s="30">
        <v>10778.37264</v>
      </c>
      <c r="P14" s="31">
        <v>215009.78224</v>
      </c>
    </row>
    <row r="15" spans="1:18" s="14" customFormat="1" outlineLevel="1" x14ac:dyDescent="0.25">
      <c r="A15" s="15">
        <v>6</v>
      </c>
      <c r="B15" s="16" t="s">
        <v>35</v>
      </c>
      <c r="C15" s="17" t="s">
        <v>41</v>
      </c>
      <c r="D15" s="18" t="s">
        <v>42</v>
      </c>
      <c r="E15" s="18" t="s">
        <v>43</v>
      </c>
      <c r="F15" s="18" t="s">
        <v>44</v>
      </c>
      <c r="G15" s="19" t="s">
        <v>16</v>
      </c>
      <c r="H15" s="20">
        <v>10472</v>
      </c>
      <c r="I15" s="20">
        <v>10472</v>
      </c>
      <c r="J15" s="20">
        <v>10472</v>
      </c>
      <c r="K15" s="20">
        <v>10472</v>
      </c>
      <c r="L15" s="20">
        <v>10472</v>
      </c>
      <c r="M15" s="20">
        <v>10472</v>
      </c>
      <c r="N15" s="20">
        <v>10472</v>
      </c>
      <c r="O15" s="21">
        <v>18326</v>
      </c>
      <c r="P15" s="22">
        <v>91630</v>
      </c>
      <c r="R15" s="23"/>
    </row>
    <row r="16" spans="1:18" outlineLevel="1" x14ac:dyDescent="0.25">
      <c r="A16" s="24"/>
      <c r="B16" s="25" t="s">
        <v>45</v>
      </c>
      <c r="C16" s="26"/>
      <c r="D16" s="27"/>
      <c r="E16" s="27"/>
      <c r="F16" s="27"/>
      <c r="G16" s="28" t="s">
        <v>18</v>
      </c>
      <c r="H16" s="29">
        <v>3691.9</v>
      </c>
      <c r="I16" s="29">
        <v>3543.3582799999999</v>
      </c>
      <c r="J16" s="29">
        <v>3086.15076</v>
      </c>
      <c r="K16" s="29">
        <v>2628.9432399999996</v>
      </c>
      <c r="L16" s="29">
        <v>2171.7357199999997</v>
      </c>
      <c r="M16" s="29">
        <v>1714.5281999999997</v>
      </c>
      <c r="N16" s="29">
        <v>1257.3206799999998</v>
      </c>
      <c r="O16" s="30">
        <v>1143.0187999999998</v>
      </c>
      <c r="P16" s="31">
        <v>19236.955679999999</v>
      </c>
    </row>
    <row r="17" spans="1:18" s="14" customFormat="1" outlineLevel="1" x14ac:dyDescent="0.25">
      <c r="A17" s="15">
        <v>7</v>
      </c>
      <c r="B17" s="16" t="s">
        <v>46</v>
      </c>
      <c r="C17" s="17" t="s">
        <v>47</v>
      </c>
      <c r="D17" s="18" t="s">
        <v>48</v>
      </c>
      <c r="E17" s="18" t="s">
        <v>49</v>
      </c>
      <c r="F17" s="18" t="s">
        <v>50</v>
      </c>
      <c r="G17" s="19" t="s">
        <v>16</v>
      </c>
      <c r="H17" s="20">
        <v>379984</v>
      </c>
      <c r="I17" s="20">
        <v>379984</v>
      </c>
      <c r="J17" s="20">
        <v>379984</v>
      </c>
      <c r="K17" s="20">
        <v>379984</v>
      </c>
      <c r="L17" s="20">
        <v>379984</v>
      </c>
      <c r="M17" s="20">
        <v>379984</v>
      </c>
      <c r="N17" s="20">
        <v>379984</v>
      </c>
      <c r="O17" s="21">
        <v>6649720</v>
      </c>
      <c r="P17" s="22">
        <v>9309608</v>
      </c>
      <c r="R17" s="23"/>
    </row>
    <row r="18" spans="1:18" outlineLevel="1" x14ac:dyDescent="0.25">
      <c r="A18" s="24"/>
      <c r="B18" s="25" t="s">
        <v>51</v>
      </c>
      <c r="C18" s="26"/>
      <c r="D18" s="27"/>
      <c r="E18" s="27"/>
      <c r="F18" s="27"/>
      <c r="G18" s="28" t="s">
        <v>18</v>
      </c>
      <c r="H18" s="29">
        <v>351032.95</v>
      </c>
      <c r="I18" s="29">
        <v>345755.04128</v>
      </c>
      <c r="J18" s="29">
        <v>331042.06079999998</v>
      </c>
      <c r="K18" s="29">
        <v>316329.08031999995</v>
      </c>
      <c r="L18" s="29">
        <v>301616.09983999998</v>
      </c>
      <c r="M18" s="29">
        <v>286903.11936000001</v>
      </c>
      <c r="N18" s="29">
        <v>272190.13887999998</v>
      </c>
      <c r="O18" s="30">
        <v>2383502.8377600005</v>
      </c>
      <c r="P18" s="31">
        <v>4588371.3282400006</v>
      </c>
    </row>
    <row r="19" spans="1:18" s="14" customFormat="1" outlineLevel="1" x14ac:dyDescent="0.25">
      <c r="A19" s="15">
        <v>8</v>
      </c>
      <c r="B19" s="16" t="s">
        <v>52</v>
      </c>
      <c r="C19" s="17" t="s">
        <v>53</v>
      </c>
      <c r="D19" s="18" t="s">
        <v>54</v>
      </c>
      <c r="E19" s="18" t="s">
        <v>55</v>
      </c>
      <c r="F19" s="18" t="s">
        <v>56</v>
      </c>
      <c r="G19" s="19" t="s">
        <v>16</v>
      </c>
      <c r="H19" s="20">
        <v>20312</v>
      </c>
      <c r="I19" s="20">
        <v>20312</v>
      </c>
      <c r="J19" s="20">
        <v>20312</v>
      </c>
      <c r="K19" s="20">
        <v>20312</v>
      </c>
      <c r="L19" s="20">
        <v>20312</v>
      </c>
      <c r="M19" s="20">
        <v>20312</v>
      </c>
      <c r="N19" s="20">
        <v>20312</v>
      </c>
      <c r="O19" s="21">
        <v>147262</v>
      </c>
      <c r="P19" s="22">
        <v>289446</v>
      </c>
      <c r="R19" s="23"/>
    </row>
    <row r="20" spans="1:18" outlineLevel="1" x14ac:dyDescent="0.25">
      <c r="A20" s="24"/>
      <c r="B20" s="25" t="s">
        <v>57</v>
      </c>
      <c r="C20" s="26"/>
      <c r="D20" s="27"/>
      <c r="E20" s="27"/>
      <c r="F20" s="27"/>
      <c r="G20" s="28" t="s">
        <v>18</v>
      </c>
      <c r="H20" s="29">
        <v>10527.86</v>
      </c>
      <c r="I20" s="29">
        <v>9723.81142</v>
      </c>
      <c r="J20" s="29">
        <v>8989.9388600000002</v>
      </c>
      <c r="K20" s="29">
        <v>8256.0663000000004</v>
      </c>
      <c r="L20" s="29">
        <v>7522.1937399999997</v>
      </c>
      <c r="M20" s="29">
        <v>6788.3211799999999</v>
      </c>
      <c r="N20" s="29">
        <v>6054.4486199999992</v>
      </c>
      <c r="O20" s="30">
        <v>22016.176800000001</v>
      </c>
      <c r="P20" s="31">
        <v>79878.816919999997</v>
      </c>
    </row>
    <row r="21" spans="1:18" s="14" customFormat="1" outlineLevel="1" x14ac:dyDescent="0.25">
      <c r="A21" s="15">
        <v>9</v>
      </c>
      <c r="B21" s="16" t="s">
        <v>58</v>
      </c>
      <c r="C21" s="17" t="s">
        <v>59</v>
      </c>
      <c r="D21" s="18" t="s">
        <v>60</v>
      </c>
      <c r="E21" s="18" t="s">
        <v>61</v>
      </c>
      <c r="F21" s="18" t="s">
        <v>62</v>
      </c>
      <c r="G21" s="19" t="s">
        <v>16</v>
      </c>
      <c r="H21" s="20">
        <v>14476</v>
      </c>
      <c r="I21" s="20">
        <v>14476</v>
      </c>
      <c r="J21" s="20">
        <v>14476</v>
      </c>
      <c r="K21" s="20">
        <v>14476</v>
      </c>
      <c r="L21" s="20">
        <v>14476</v>
      </c>
      <c r="M21" s="20">
        <v>14476</v>
      </c>
      <c r="N21" s="20">
        <v>14476</v>
      </c>
      <c r="O21" s="21">
        <v>108570</v>
      </c>
      <c r="P21" s="22">
        <v>209902</v>
      </c>
      <c r="R21" s="23"/>
    </row>
    <row r="22" spans="1:18" outlineLevel="1" x14ac:dyDescent="0.25">
      <c r="A22" s="24"/>
      <c r="B22" s="25" t="s">
        <v>63</v>
      </c>
      <c r="C22" s="26"/>
      <c r="D22" s="27"/>
      <c r="E22" s="27"/>
      <c r="F22" s="27"/>
      <c r="G22" s="28" t="s">
        <v>18</v>
      </c>
      <c r="H22" s="29">
        <v>8005.7</v>
      </c>
      <c r="I22" s="29">
        <v>7928.4328200000009</v>
      </c>
      <c r="J22" s="29">
        <v>7341.1415000000006</v>
      </c>
      <c r="K22" s="29">
        <v>6753.8501800000004</v>
      </c>
      <c r="L22" s="29">
        <v>6166.558860000001</v>
      </c>
      <c r="M22" s="29">
        <v>5579.2675400000007</v>
      </c>
      <c r="N22" s="29">
        <v>4991.9762200000005</v>
      </c>
      <c r="O22" s="30">
        <v>18793.322239999998</v>
      </c>
      <c r="P22" s="31">
        <v>65560.249360000002</v>
      </c>
    </row>
    <row r="23" spans="1:18" s="14" customFormat="1" outlineLevel="1" x14ac:dyDescent="0.25">
      <c r="A23" s="15">
        <v>10</v>
      </c>
      <c r="B23" s="16" t="s">
        <v>64</v>
      </c>
      <c r="C23" s="17" t="s">
        <v>65</v>
      </c>
      <c r="D23" s="18" t="s">
        <v>66</v>
      </c>
      <c r="E23" s="18" t="s">
        <v>61</v>
      </c>
      <c r="F23" s="18" t="s">
        <v>67</v>
      </c>
      <c r="G23" s="19" t="s">
        <v>16</v>
      </c>
      <c r="H23" s="20">
        <v>8944</v>
      </c>
      <c r="I23" s="20">
        <v>4472</v>
      </c>
      <c r="J23" s="20">
        <v>0</v>
      </c>
      <c r="K23" s="20">
        <v>0</v>
      </c>
      <c r="L23" s="20">
        <v>0</v>
      </c>
      <c r="M23" s="20">
        <v>0</v>
      </c>
      <c r="N23" s="20">
        <v>0</v>
      </c>
      <c r="O23" s="21">
        <v>0</v>
      </c>
      <c r="P23" s="22">
        <v>13416</v>
      </c>
      <c r="R23" s="23"/>
    </row>
    <row r="24" spans="1:18" outlineLevel="1" x14ac:dyDescent="0.25">
      <c r="A24" s="24"/>
      <c r="B24" s="25" t="s">
        <v>68</v>
      </c>
      <c r="C24" s="26"/>
      <c r="D24" s="27"/>
      <c r="E24" s="27"/>
      <c r="F24" s="27"/>
      <c r="G24" s="28" t="s">
        <v>18</v>
      </c>
      <c r="H24" s="29">
        <v>463.72</v>
      </c>
      <c r="I24" s="29">
        <v>181.42904000000001</v>
      </c>
      <c r="J24" s="29">
        <v>0</v>
      </c>
      <c r="K24" s="29">
        <v>0</v>
      </c>
      <c r="L24" s="29">
        <v>0</v>
      </c>
      <c r="M24" s="29">
        <v>0</v>
      </c>
      <c r="N24" s="29">
        <v>0</v>
      </c>
      <c r="O24" s="30">
        <v>0</v>
      </c>
      <c r="P24" s="31">
        <v>645.14904000000001</v>
      </c>
    </row>
    <row r="25" spans="1:18" s="14" customFormat="1" outlineLevel="1" x14ac:dyDescent="0.25">
      <c r="A25" s="15">
        <v>11</v>
      </c>
      <c r="B25" s="16" t="s">
        <v>69</v>
      </c>
      <c r="C25" s="17" t="s">
        <v>70</v>
      </c>
      <c r="D25" s="18" t="s">
        <v>71</v>
      </c>
      <c r="E25" s="18" t="s">
        <v>61</v>
      </c>
      <c r="F25" s="18" t="s">
        <v>72</v>
      </c>
      <c r="G25" s="19" t="s">
        <v>16</v>
      </c>
      <c r="H25" s="20">
        <v>1480</v>
      </c>
      <c r="I25" s="20">
        <v>1480</v>
      </c>
      <c r="J25" s="20">
        <v>1480</v>
      </c>
      <c r="K25" s="20">
        <v>1480</v>
      </c>
      <c r="L25" s="20">
        <v>1480</v>
      </c>
      <c r="M25" s="20">
        <v>1480</v>
      </c>
      <c r="N25" s="20">
        <v>1480</v>
      </c>
      <c r="O25" s="21">
        <v>3700</v>
      </c>
      <c r="P25" s="22">
        <v>14060</v>
      </c>
      <c r="R25" s="23"/>
    </row>
    <row r="26" spans="1:18" outlineLevel="1" x14ac:dyDescent="0.25">
      <c r="A26" s="24"/>
      <c r="B26" s="25" t="s">
        <v>73</v>
      </c>
      <c r="C26" s="26"/>
      <c r="D26" s="27"/>
      <c r="E26" s="27"/>
      <c r="F26" s="27"/>
      <c r="G26" s="28" t="s">
        <v>18</v>
      </c>
      <c r="H26" s="29">
        <v>533.69999999999993</v>
      </c>
      <c r="I26" s="29">
        <v>510.37060000000002</v>
      </c>
      <c r="J26" s="29">
        <v>450.32700000000006</v>
      </c>
      <c r="K26" s="29">
        <v>390.28340000000003</v>
      </c>
      <c r="L26" s="29">
        <v>330.23980000000006</v>
      </c>
      <c r="M26" s="29">
        <v>270.19620000000003</v>
      </c>
      <c r="N26" s="29">
        <v>210.15260000000001</v>
      </c>
      <c r="O26" s="30">
        <v>270.19620000000003</v>
      </c>
      <c r="P26" s="31">
        <v>2965.4657999999995</v>
      </c>
    </row>
    <row r="27" spans="1:18" s="14" customFormat="1" outlineLevel="1" x14ac:dyDescent="0.25">
      <c r="A27" s="15">
        <v>12</v>
      </c>
      <c r="B27" s="16" t="s">
        <v>74</v>
      </c>
      <c r="C27" s="17" t="s">
        <v>75</v>
      </c>
      <c r="D27" s="18" t="s">
        <v>76</v>
      </c>
      <c r="E27" s="18" t="s">
        <v>61</v>
      </c>
      <c r="F27" s="18" t="s">
        <v>62</v>
      </c>
      <c r="G27" s="19" t="s">
        <v>16</v>
      </c>
      <c r="H27" s="20">
        <v>10600</v>
      </c>
      <c r="I27" s="20">
        <v>10600</v>
      </c>
      <c r="J27" s="20">
        <v>10600</v>
      </c>
      <c r="K27" s="20">
        <v>10600</v>
      </c>
      <c r="L27" s="20">
        <v>10600</v>
      </c>
      <c r="M27" s="20">
        <v>10600</v>
      </c>
      <c r="N27" s="20">
        <v>10600</v>
      </c>
      <c r="O27" s="21">
        <v>79500</v>
      </c>
      <c r="P27" s="22">
        <v>153700</v>
      </c>
      <c r="R27" s="23"/>
    </row>
    <row r="28" spans="1:18" outlineLevel="1" x14ac:dyDescent="0.25">
      <c r="A28" s="24"/>
      <c r="B28" s="25" t="s">
        <v>77</v>
      </c>
      <c r="C28" s="26"/>
      <c r="D28" s="27"/>
      <c r="E28" s="27"/>
      <c r="F28" s="27"/>
      <c r="G28" s="28" t="s">
        <v>18</v>
      </c>
      <c r="H28" s="29">
        <v>5862.6500000000005</v>
      </c>
      <c r="I28" s="29">
        <v>5805.5670000000009</v>
      </c>
      <c r="J28" s="29">
        <v>5375.5249999999996</v>
      </c>
      <c r="K28" s="29">
        <v>4945.4830000000002</v>
      </c>
      <c r="L28" s="29">
        <v>4515.4410000000007</v>
      </c>
      <c r="M28" s="29">
        <v>4085.3990000000003</v>
      </c>
      <c r="N28" s="29">
        <v>3655.357</v>
      </c>
      <c r="O28" s="30">
        <v>13761.344000000003</v>
      </c>
      <c r="P28" s="31">
        <v>48006.766000000003</v>
      </c>
    </row>
    <row r="29" spans="1:18" s="14" customFormat="1" outlineLevel="1" x14ac:dyDescent="0.25">
      <c r="A29" s="15">
        <v>13</v>
      </c>
      <c r="B29" s="16" t="s">
        <v>78</v>
      </c>
      <c r="C29" s="17" t="s">
        <v>79</v>
      </c>
      <c r="D29" s="18" t="s">
        <v>80</v>
      </c>
      <c r="E29" s="18" t="s">
        <v>81</v>
      </c>
      <c r="F29" s="18" t="s">
        <v>82</v>
      </c>
      <c r="G29" s="19" t="s">
        <v>16</v>
      </c>
      <c r="H29" s="20">
        <v>3548</v>
      </c>
      <c r="I29" s="20">
        <v>3548</v>
      </c>
      <c r="J29" s="20">
        <v>3548</v>
      </c>
      <c r="K29" s="20">
        <v>3548</v>
      </c>
      <c r="L29" s="20">
        <v>1774</v>
      </c>
      <c r="M29" s="20">
        <v>0</v>
      </c>
      <c r="N29" s="20">
        <v>0</v>
      </c>
      <c r="O29" s="21">
        <v>0</v>
      </c>
      <c r="P29" s="22">
        <v>15966</v>
      </c>
      <c r="R29" s="23"/>
    </row>
    <row r="30" spans="1:18" outlineLevel="1" x14ac:dyDescent="0.25">
      <c r="A30" s="24"/>
      <c r="B30" s="25" t="s">
        <v>83</v>
      </c>
      <c r="C30" s="26"/>
      <c r="D30" s="27"/>
      <c r="E30" s="27"/>
      <c r="F30" s="27"/>
      <c r="G30" s="28" t="s">
        <v>18</v>
      </c>
      <c r="H30" s="29">
        <v>638.57999999999993</v>
      </c>
      <c r="I30" s="29">
        <v>548.25469999999996</v>
      </c>
      <c r="J30" s="29">
        <v>391.6105</v>
      </c>
      <c r="K30" s="29">
        <v>234.96630000000002</v>
      </c>
      <c r="L30" s="29">
        <v>78.322100000000006</v>
      </c>
      <c r="M30" s="29">
        <v>0</v>
      </c>
      <c r="N30" s="29">
        <v>0</v>
      </c>
      <c r="O30" s="30">
        <v>0</v>
      </c>
      <c r="P30" s="31">
        <v>1891.7336</v>
      </c>
    </row>
    <row r="31" spans="1:18" s="14" customFormat="1" outlineLevel="1" x14ac:dyDescent="0.25">
      <c r="A31" s="15">
        <v>14</v>
      </c>
      <c r="B31" s="16" t="s">
        <v>84</v>
      </c>
      <c r="C31" s="17" t="s">
        <v>85</v>
      </c>
      <c r="D31" s="18" t="s">
        <v>86</v>
      </c>
      <c r="E31" s="18" t="s">
        <v>87</v>
      </c>
      <c r="F31" s="18" t="s">
        <v>88</v>
      </c>
      <c r="G31" s="19" t="s">
        <v>16</v>
      </c>
      <c r="H31" s="20">
        <v>94200</v>
      </c>
      <c r="I31" s="20">
        <v>94200</v>
      </c>
      <c r="J31" s="20">
        <v>94200</v>
      </c>
      <c r="K31" s="20">
        <v>94200</v>
      </c>
      <c r="L31" s="20">
        <v>94200</v>
      </c>
      <c r="M31" s="20">
        <v>94200</v>
      </c>
      <c r="N31" s="20">
        <v>94200</v>
      </c>
      <c r="O31" s="21">
        <v>1667739.31</v>
      </c>
      <c r="P31" s="22">
        <v>2327139.31</v>
      </c>
      <c r="R31" s="23"/>
    </row>
    <row r="32" spans="1:18" outlineLevel="1" x14ac:dyDescent="0.25">
      <c r="A32" s="24"/>
      <c r="B32" s="25" t="s">
        <v>89</v>
      </c>
      <c r="C32" s="26"/>
      <c r="D32" s="27"/>
      <c r="E32" s="27"/>
      <c r="F32" s="27"/>
      <c r="G32" s="28" t="s">
        <v>18</v>
      </c>
      <c r="H32" s="29">
        <v>94731.91</v>
      </c>
      <c r="I32" s="29">
        <v>97445.471488400013</v>
      </c>
      <c r="J32" s="29">
        <v>93334.583488400007</v>
      </c>
      <c r="K32" s="29">
        <v>89223.695488400001</v>
      </c>
      <c r="L32" s="29">
        <v>85112.807488400009</v>
      </c>
      <c r="M32" s="29">
        <v>81001.919488400003</v>
      </c>
      <c r="N32" s="29">
        <v>76891.031488399996</v>
      </c>
      <c r="O32" s="30">
        <v>681076.71879120008</v>
      </c>
      <c r="P32" s="31">
        <v>1298818.1377216</v>
      </c>
    </row>
    <row r="33" spans="1:18" s="14" customFormat="1" outlineLevel="1" x14ac:dyDescent="0.25">
      <c r="A33" s="15">
        <v>15</v>
      </c>
      <c r="B33" s="16" t="s">
        <v>90</v>
      </c>
      <c r="C33" s="17" t="s">
        <v>91</v>
      </c>
      <c r="D33" s="18" t="s">
        <v>92</v>
      </c>
      <c r="E33" s="18" t="s">
        <v>87</v>
      </c>
      <c r="F33" s="18" t="s">
        <v>88</v>
      </c>
      <c r="G33" s="19" t="s">
        <v>16</v>
      </c>
      <c r="H33" s="20">
        <v>125996</v>
      </c>
      <c r="I33" s="20">
        <v>125996</v>
      </c>
      <c r="J33" s="20">
        <v>125996</v>
      </c>
      <c r="K33" s="20">
        <v>125996</v>
      </c>
      <c r="L33" s="20">
        <v>125996</v>
      </c>
      <c r="M33" s="20">
        <v>125996</v>
      </c>
      <c r="N33" s="20">
        <v>125996</v>
      </c>
      <c r="O33" s="21">
        <v>2236429</v>
      </c>
      <c r="P33" s="22">
        <v>3118401</v>
      </c>
      <c r="R33" s="23"/>
    </row>
    <row r="34" spans="1:18" outlineLevel="1" x14ac:dyDescent="0.25">
      <c r="A34" s="24"/>
      <c r="B34" s="25" t="s">
        <v>93</v>
      </c>
      <c r="C34" s="26"/>
      <c r="D34" s="27"/>
      <c r="E34" s="27"/>
      <c r="F34" s="27"/>
      <c r="G34" s="28" t="s">
        <v>18</v>
      </c>
      <c r="H34" s="29">
        <v>126943.57</v>
      </c>
      <c r="I34" s="29">
        <v>130588.5542</v>
      </c>
      <c r="J34" s="29">
        <v>125090.08876</v>
      </c>
      <c r="K34" s="29">
        <v>119591.62332</v>
      </c>
      <c r="L34" s="29">
        <v>114093.15787999998</v>
      </c>
      <c r="M34" s="29">
        <v>108594.69243999998</v>
      </c>
      <c r="N34" s="29">
        <v>103096.227</v>
      </c>
      <c r="O34" s="30">
        <v>915494.49575999985</v>
      </c>
      <c r="P34" s="31">
        <v>1743492.4093599999</v>
      </c>
    </row>
    <row r="35" spans="1:18" s="14" customFormat="1" outlineLevel="1" x14ac:dyDescent="0.25">
      <c r="A35" s="15">
        <v>16</v>
      </c>
      <c r="B35" s="16" t="s">
        <v>58</v>
      </c>
      <c r="C35" s="17" t="s">
        <v>94</v>
      </c>
      <c r="D35" s="18" t="s">
        <v>95</v>
      </c>
      <c r="E35" s="18" t="s">
        <v>96</v>
      </c>
      <c r="F35" s="18" t="s">
        <v>97</v>
      </c>
      <c r="G35" s="19" t="s">
        <v>16</v>
      </c>
      <c r="H35" s="20">
        <v>9752</v>
      </c>
      <c r="I35" s="20">
        <v>9752</v>
      </c>
      <c r="J35" s="20">
        <v>9752</v>
      </c>
      <c r="K35" s="20">
        <v>9752</v>
      </c>
      <c r="L35" s="20">
        <v>9752</v>
      </c>
      <c r="M35" s="20">
        <v>9752</v>
      </c>
      <c r="N35" s="20">
        <v>9752</v>
      </c>
      <c r="O35" s="21">
        <v>75572</v>
      </c>
      <c r="P35" s="22">
        <v>143836</v>
      </c>
      <c r="R35" s="23"/>
    </row>
    <row r="36" spans="1:18" outlineLevel="1" x14ac:dyDescent="0.25">
      <c r="A36" s="24"/>
      <c r="B36" s="25" t="s">
        <v>98</v>
      </c>
      <c r="C36" s="26"/>
      <c r="D36" s="27"/>
      <c r="E36" s="27"/>
      <c r="F36" s="27"/>
      <c r="G36" s="28" t="s">
        <v>18</v>
      </c>
      <c r="H36" s="29">
        <v>5871.92</v>
      </c>
      <c r="I36" s="29">
        <v>5564.4860000000008</v>
      </c>
      <c r="J36" s="29">
        <v>5159.7780000000002</v>
      </c>
      <c r="K36" s="29">
        <v>4755.0700000000006</v>
      </c>
      <c r="L36" s="29">
        <v>4350.3620000000001</v>
      </c>
      <c r="M36" s="29">
        <v>3945.6540000000005</v>
      </c>
      <c r="N36" s="29">
        <v>3540.9460000000004</v>
      </c>
      <c r="O36" s="30">
        <v>13758.08</v>
      </c>
      <c r="P36" s="31">
        <v>46946.296000000009</v>
      </c>
    </row>
    <row r="37" spans="1:18" s="14" customFormat="1" outlineLevel="1" collapsed="1" x14ac:dyDescent="0.25">
      <c r="A37" s="15">
        <v>17</v>
      </c>
      <c r="B37" s="16" t="s">
        <v>99</v>
      </c>
      <c r="C37" s="17" t="s">
        <v>100</v>
      </c>
      <c r="D37" s="18" t="s">
        <v>101</v>
      </c>
      <c r="E37" s="18" t="s">
        <v>102</v>
      </c>
      <c r="F37" s="18" t="s">
        <v>97</v>
      </c>
      <c r="G37" s="19" t="s">
        <v>16</v>
      </c>
      <c r="H37" s="20">
        <v>9200</v>
      </c>
      <c r="I37" s="20">
        <v>9200</v>
      </c>
      <c r="J37" s="20">
        <v>9200</v>
      </c>
      <c r="K37" s="20">
        <v>9200</v>
      </c>
      <c r="L37" s="20">
        <v>9200</v>
      </c>
      <c r="M37" s="20">
        <v>9200</v>
      </c>
      <c r="N37" s="20">
        <v>9200</v>
      </c>
      <c r="O37" s="21">
        <v>71300</v>
      </c>
      <c r="P37" s="22">
        <v>135700</v>
      </c>
      <c r="R37" s="23"/>
    </row>
    <row r="38" spans="1:18" outlineLevel="1" x14ac:dyDescent="0.25">
      <c r="A38" s="24"/>
      <c r="B38" s="25" t="s">
        <v>103</v>
      </c>
      <c r="C38" s="26"/>
      <c r="D38" s="27"/>
      <c r="E38" s="27"/>
      <c r="F38" s="27"/>
      <c r="G38" s="28" t="s">
        <v>18</v>
      </c>
      <c r="H38" s="29">
        <v>5556.74</v>
      </c>
      <c r="I38" s="29">
        <v>5249.75</v>
      </c>
      <c r="J38" s="29">
        <v>4867.9500000000007</v>
      </c>
      <c r="K38" s="29">
        <v>4486.1500000000005</v>
      </c>
      <c r="L38" s="29">
        <v>4104.3500000000004</v>
      </c>
      <c r="M38" s="29">
        <v>3722.5500000000006</v>
      </c>
      <c r="N38" s="29">
        <v>3340.75</v>
      </c>
      <c r="O38" s="30">
        <v>12981.2</v>
      </c>
      <c r="P38" s="31">
        <v>44309.440000000002</v>
      </c>
    </row>
    <row r="39" spans="1:18" s="14" customFormat="1" outlineLevel="1" collapsed="1" x14ac:dyDescent="0.25">
      <c r="A39" s="15">
        <v>18</v>
      </c>
      <c r="B39" s="16" t="s">
        <v>104</v>
      </c>
      <c r="C39" s="17" t="s">
        <v>105</v>
      </c>
      <c r="D39" s="18" t="s">
        <v>106</v>
      </c>
      <c r="E39" s="18" t="s">
        <v>102</v>
      </c>
      <c r="F39" s="18" t="s">
        <v>107</v>
      </c>
      <c r="G39" s="19" t="s">
        <v>16</v>
      </c>
      <c r="H39" s="20">
        <v>80976</v>
      </c>
      <c r="I39" s="20">
        <v>80976</v>
      </c>
      <c r="J39" s="20">
        <v>80976</v>
      </c>
      <c r="K39" s="20">
        <v>80976</v>
      </c>
      <c r="L39" s="20">
        <v>80976</v>
      </c>
      <c r="M39" s="20">
        <v>80976</v>
      </c>
      <c r="N39" s="20">
        <v>80976</v>
      </c>
      <c r="O39" s="21">
        <v>222683.99</v>
      </c>
      <c r="P39" s="22">
        <v>789515.99</v>
      </c>
      <c r="R39" s="23"/>
    </row>
    <row r="40" spans="1:18" outlineLevel="1" x14ac:dyDescent="0.25">
      <c r="A40" s="24"/>
      <c r="B40" s="25"/>
      <c r="C40" s="26"/>
      <c r="D40" s="27"/>
      <c r="E40" s="27"/>
      <c r="F40" s="27"/>
      <c r="G40" s="28" t="s">
        <v>18</v>
      </c>
      <c r="H40" s="29">
        <v>32171.7</v>
      </c>
      <c r="I40" s="29">
        <v>29404.409585000001</v>
      </c>
      <c r="J40" s="29">
        <v>26043.905585000004</v>
      </c>
      <c r="K40" s="29">
        <v>22683.401585000003</v>
      </c>
      <c r="L40" s="29">
        <v>19322.897585000002</v>
      </c>
      <c r="M40" s="29">
        <v>15962.393585000002</v>
      </c>
      <c r="N40" s="29">
        <v>12601.889585000003</v>
      </c>
      <c r="O40" s="30">
        <v>17642.644755000001</v>
      </c>
      <c r="P40" s="31">
        <v>175833.24226500001</v>
      </c>
    </row>
    <row r="41" spans="1:18" s="14" customFormat="1" outlineLevel="1" collapsed="1" x14ac:dyDescent="0.25">
      <c r="A41" s="15">
        <v>19</v>
      </c>
      <c r="B41" s="16" t="s">
        <v>108</v>
      </c>
      <c r="C41" s="17" t="s">
        <v>109</v>
      </c>
      <c r="D41" s="18" t="s">
        <v>110</v>
      </c>
      <c r="E41" s="18" t="s">
        <v>111</v>
      </c>
      <c r="F41" s="18" t="s">
        <v>112</v>
      </c>
      <c r="G41" s="19" t="s">
        <v>16</v>
      </c>
      <c r="H41" s="20">
        <v>38968</v>
      </c>
      <c r="I41" s="20">
        <v>38968</v>
      </c>
      <c r="J41" s="20">
        <v>38968</v>
      </c>
      <c r="K41" s="20">
        <v>38968</v>
      </c>
      <c r="L41" s="20">
        <v>29226</v>
      </c>
      <c r="M41" s="20">
        <v>0</v>
      </c>
      <c r="N41" s="20">
        <v>0</v>
      </c>
      <c r="O41" s="21">
        <v>0</v>
      </c>
      <c r="P41" s="22">
        <v>185098</v>
      </c>
      <c r="R41" s="23"/>
    </row>
    <row r="42" spans="1:18" outlineLevel="1" x14ac:dyDescent="0.25">
      <c r="A42" s="24"/>
      <c r="B42" s="25"/>
      <c r="C42" s="26"/>
      <c r="D42" s="27"/>
      <c r="E42" s="27"/>
      <c r="F42" s="27"/>
      <c r="G42" s="28" t="s">
        <v>18</v>
      </c>
      <c r="H42" s="29">
        <v>7626.83</v>
      </c>
      <c r="I42" s="29">
        <v>6064.3950000000004</v>
      </c>
      <c r="J42" s="29">
        <v>4447.2230000000009</v>
      </c>
      <c r="K42" s="29">
        <v>2830.0510000000004</v>
      </c>
      <c r="L42" s="29">
        <v>1212.8790000000001</v>
      </c>
      <c r="M42" s="29">
        <v>0</v>
      </c>
      <c r="N42" s="29">
        <v>0</v>
      </c>
      <c r="O42" s="30">
        <v>0</v>
      </c>
      <c r="P42" s="31">
        <v>22181.378000000001</v>
      </c>
    </row>
    <row r="43" spans="1:18" s="14" customFormat="1" outlineLevel="1" x14ac:dyDescent="0.25">
      <c r="A43" s="15">
        <v>20</v>
      </c>
      <c r="B43" s="16" t="s">
        <v>58</v>
      </c>
      <c r="C43" s="17" t="s">
        <v>113</v>
      </c>
      <c r="D43" s="18" t="s">
        <v>114</v>
      </c>
      <c r="E43" s="18" t="s">
        <v>115</v>
      </c>
      <c r="F43" s="18" t="s">
        <v>116</v>
      </c>
      <c r="G43" s="19" t="s">
        <v>16</v>
      </c>
      <c r="H43" s="20">
        <v>8236</v>
      </c>
      <c r="I43" s="20">
        <v>8236</v>
      </c>
      <c r="J43" s="20">
        <v>8236</v>
      </c>
      <c r="K43" s="20">
        <v>8236</v>
      </c>
      <c r="L43" s="20">
        <v>8236</v>
      </c>
      <c r="M43" s="20">
        <v>8236</v>
      </c>
      <c r="N43" s="20">
        <v>8236</v>
      </c>
      <c r="O43" s="21">
        <v>65888</v>
      </c>
      <c r="P43" s="22">
        <v>123540</v>
      </c>
      <c r="R43" s="23"/>
    </row>
    <row r="44" spans="1:18" outlineLevel="1" x14ac:dyDescent="0.25">
      <c r="A44" s="24"/>
      <c r="B44" s="25" t="s">
        <v>117</v>
      </c>
      <c r="C44" s="26"/>
      <c r="D44" s="27"/>
      <c r="E44" s="27"/>
      <c r="F44" s="27"/>
      <c r="G44" s="28" t="s">
        <v>18</v>
      </c>
      <c r="H44" s="29">
        <v>5002.9799999999996</v>
      </c>
      <c r="I44" s="29">
        <v>4785.116</v>
      </c>
      <c r="J44" s="29">
        <v>4443.3220000000001</v>
      </c>
      <c r="K44" s="29">
        <v>4101.5280000000002</v>
      </c>
      <c r="L44" s="29">
        <v>3759.7340000000004</v>
      </c>
      <c r="M44" s="29">
        <v>3417.9400000000005</v>
      </c>
      <c r="N44" s="29">
        <v>3076.1460000000002</v>
      </c>
      <c r="O44" s="30">
        <v>12304.583999999999</v>
      </c>
      <c r="P44" s="31">
        <v>40891.350000000006</v>
      </c>
    </row>
    <row r="45" spans="1:18" s="14" customFormat="1" outlineLevel="1" x14ac:dyDescent="0.25">
      <c r="A45" s="15">
        <v>21</v>
      </c>
      <c r="B45" s="16" t="s">
        <v>118</v>
      </c>
      <c r="C45" s="17" t="s">
        <v>119</v>
      </c>
      <c r="D45" s="18" t="s">
        <v>120</v>
      </c>
      <c r="E45" s="18" t="s">
        <v>121</v>
      </c>
      <c r="F45" s="18" t="s">
        <v>122</v>
      </c>
      <c r="G45" s="19" t="s">
        <v>16</v>
      </c>
      <c r="H45" s="20">
        <v>6728</v>
      </c>
      <c r="I45" s="20">
        <v>6728</v>
      </c>
      <c r="J45" s="20">
        <v>6728</v>
      </c>
      <c r="K45" s="20">
        <v>6728</v>
      </c>
      <c r="L45" s="20">
        <v>6728</v>
      </c>
      <c r="M45" s="20">
        <v>6728</v>
      </c>
      <c r="N45" s="20">
        <v>6728</v>
      </c>
      <c r="O45" s="21">
        <v>53824</v>
      </c>
      <c r="P45" s="22">
        <v>100920</v>
      </c>
      <c r="R45" s="23"/>
    </row>
    <row r="46" spans="1:18" outlineLevel="1" x14ac:dyDescent="0.25">
      <c r="A46" s="24"/>
      <c r="B46" s="25" t="s">
        <v>123</v>
      </c>
      <c r="C46" s="26"/>
      <c r="D46" s="27"/>
      <c r="E46" s="27"/>
      <c r="F46" s="27"/>
      <c r="G46" s="28" t="s">
        <v>18</v>
      </c>
      <c r="H46" s="29">
        <v>4075.75</v>
      </c>
      <c r="I46" s="29">
        <v>3908.9680000000003</v>
      </c>
      <c r="J46" s="29">
        <v>3629.7560000000003</v>
      </c>
      <c r="K46" s="29">
        <v>3350.5440000000003</v>
      </c>
      <c r="L46" s="29">
        <v>3071.3320000000003</v>
      </c>
      <c r="M46" s="29">
        <v>2792.12</v>
      </c>
      <c r="N46" s="29">
        <v>2512.9080000000004</v>
      </c>
      <c r="O46" s="30">
        <v>10051.632000000001</v>
      </c>
      <c r="P46" s="31">
        <v>33393.01</v>
      </c>
    </row>
    <row r="47" spans="1:18" s="14" customFormat="1" outlineLevel="1" x14ac:dyDescent="0.25">
      <c r="A47" s="15">
        <v>22</v>
      </c>
      <c r="B47" s="16" t="s">
        <v>124</v>
      </c>
      <c r="C47" s="17" t="s">
        <v>125</v>
      </c>
      <c r="D47" s="18" t="s">
        <v>126</v>
      </c>
      <c r="E47" s="18" t="s">
        <v>127</v>
      </c>
      <c r="F47" s="18" t="s">
        <v>128</v>
      </c>
      <c r="G47" s="19" t="s">
        <v>16</v>
      </c>
      <c r="H47" s="20">
        <v>395316</v>
      </c>
      <c r="I47" s="20">
        <v>363420</v>
      </c>
      <c r="J47" s="20">
        <v>344336</v>
      </c>
      <c r="K47" s="20">
        <v>314856</v>
      </c>
      <c r="L47" s="20">
        <v>305080</v>
      </c>
      <c r="M47" s="20">
        <v>279984</v>
      </c>
      <c r="N47" s="20">
        <v>252100</v>
      </c>
      <c r="O47" s="21">
        <v>777092</v>
      </c>
      <c r="P47" s="22">
        <v>3032184</v>
      </c>
      <c r="R47" s="23"/>
    </row>
    <row r="48" spans="1:18" outlineLevel="1" x14ac:dyDescent="0.25">
      <c r="A48" s="24"/>
      <c r="B48" s="25" t="s">
        <v>129</v>
      </c>
      <c r="C48" s="26"/>
      <c r="D48" s="27"/>
      <c r="E48" s="27"/>
      <c r="F48" s="27"/>
      <c r="G48" s="28" t="s">
        <v>18</v>
      </c>
      <c r="H48" s="29">
        <v>112754.5</v>
      </c>
      <c r="I48" s="29">
        <v>102178.63499999999</v>
      </c>
      <c r="J48" s="29">
        <v>88096.11</v>
      </c>
      <c r="K48" s="29">
        <v>74753.09</v>
      </c>
      <c r="L48" s="29">
        <v>62552.42</v>
      </c>
      <c r="M48" s="29">
        <v>50730.57</v>
      </c>
      <c r="N48" s="29">
        <v>39881.19</v>
      </c>
      <c r="O48" s="30">
        <v>64400.01999999999</v>
      </c>
      <c r="P48" s="31">
        <v>595346.53499999992</v>
      </c>
    </row>
    <row r="49" spans="1:18" s="14" customFormat="1" outlineLevel="1" x14ac:dyDescent="0.25">
      <c r="A49" s="15">
        <v>23</v>
      </c>
      <c r="B49" s="16" t="s">
        <v>130</v>
      </c>
      <c r="C49" s="17" t="s">
        <v>131</v>
      </c>
      <c r="D49" s="18" t="s">
        <v>132</v>
      </c>
      <c r="E49" s="18" t="s">
        <v>133</v>
      </c>
      <c r="F49" s="18" t="s">
        <v>134</v>
      </c>
      <c r="G49" s="19" t="s">
        <v>16</v>
      </c>
      <c r="H49" s="20">
        <v>1932</v>
      </c>
      <c r="I49" s="20">
        <v>1932</v>
      </c>
      <c r="J49" s="20">
        <v>1932</v>
      </c>
      <c r="K49" s="20">
        <v>1932</v>
      </c>
      <c r="L49" s="20">
        <v>1932</v>
      </c>
      <c r="M49" s="20">
        <v>483</v>
      </c>
      <c r="N49" s="20">
        <v>0</v>
      </c>
      <c r="O49" s="21">
        <v>0</v>
      </c>
      <c r="P49" s="22">
        <v>10143</v>
      </c>
      <c r="R49" s="23"/>
    </row>
    <row r="50" spans="1:18" outlineLevel="1" x14ac:dyDescent="0.25">
      <c r="A50" s="24"/>
      <c r="B50" s="25" t="s">
        <v>135</v>
      </c>
      <c r="C50" s="26"/>
      <c r="D50" s="27"/>
      <c r="E50" s="27"/>
      <c r="F50" s="27"/>
      <c r="G50" s="28" t="s">
        <v>18</v>
      </c>
      <c r="H50" s="29">
        <v>381.92</v>
      </c>
      <c r="I50" s="29">
        <v>334.26981000000001</v>
      </c>
      <c r="J50" s="29">
        <v>255.61808999999997</v>
      </c>
      <c r="K50" s="29">
        <v>176.96636999999998</v>
      </c>
      <c r="L50" s="29">
        <v>98.31465</v>
      </c>
      <c r="M50" s="29">
        <v>19.662929999999999</v>
      </c>
      <c r="N50" s="29">
        <v>0</v>
      </c>
      <c r="O50" s="30">
        <v>0</v>
      </c>
      <c r="P50" s="31">
        <v>1266.7518499999999</v>
      </c>
    </row>
    <row r="51" spans="1:18" s="14" customFormat="1" outlineLevel="1" x14ac:dyDescent="0.25">
      <c r="A51" s="15">
        <v>24</v>
      </c>
      <c r="B51" s="16" t="s">
        <v>136</v>
      </c>
      <c r="C51" s="17" t="s">
        <v>137</v>
      </c>
      <c r="D51" s="18" t="s">
        <v>138</v>
      </c>
      <c r="E51" s="18" t="s">
        <v>139</v>
      </c>
      <c r="F51" s="18" t="s">
        <v>140</v>
      </c>
      <c r="G51" s="19" t="s">
        <v>16</v>
      </c>
      <c r="H51" s="20">
        <v>70440</v>
      </c>
      <c r="I51" s="20">
        <v>70440</v>
      </c>
      <c r="J51" s="20">
        <v>70440</v>
      </c>
      <c r="K51" s="20">
        <v>70440</v>
      </c>
      <c r="L51" s="20">
        <v>70440</v>
      </c>
      <c r="M51" s="20">
        <v>70440</v>
      </c>
      <c r="N51" s="20">
        <v>70440</v>
      </c>
      <c r="O51" s="21">
        <v>1303140</v>
      </c>
      <c r="P51" s="22">
        <v>1796220</v>
      </c>
      <c r="R51" s="23"/>
    </row>
    <row r="52" spans="1:18" outlineLevel="1" x14ac:dyDescent="0.25">
      <c r="A52" s="24"/>
      <c r="B52" s="25" t="s">
        <v>141</v>
      </c>
      <c r="C52" s="26"/>
      <c r="D52" s="27"/>
      <c r="E52" s="27"/>
      <c r="F52" s="27"/>
      <c r="G52" s="28" t="s">
        <v>18</v>
      </c>
      <c r="H52" s="29">
        <v>70346.63</v>
      </c>
      <c r="I52" s="29">
        <v>72292.924199999994</v>
      </c>
      <c r="J52" s="29">
        <v>69342.192599999995</v>
      </c>
      <c r="K52" s="29">
        <v>66391.460999999996</v>
      </c>
      <c r="L52" s="29">
        <v>63440.729400000004</v>
      </c>
      <c r="M52" s="29">
        <v>60489.997800000005</v>
      </c>
      <c r="N52" s="29">
        <v>57539.266199999998</v>
      </c>
      <c r="O52" s="30">
        <v>532607.05380000023</v>
      </c>
      <c r="P52" s="31">
        <v>992450.25500000035</v>
      </c>
    </row>
    <row r="53" spans="1:18" s="14" customFormat="1" outlineLevel="1" x14ac:dyDescent="0.25">
      <c r="A53" s="15">
        <v>25</v>
      </c>
      <c r="B53" s="16" t="s">
        <v>142</v>
      </c>
      <c r="C53" s="17" t="s">
        <v>143</v>
      </c>
      <c r="D53" s="18" t="s">
        <v>144</v>
      </c>
      <c r="E53" s="18" t="s">
        <v>145</v>
      </c>
      <c r="F53" s="18" t="s">
        <v>146</v>
      </c>
      <c r="G53" s="19" t="s">
        <v>16</v>
      </c>
      <c r="H53" s="20">
        <v>36656</v>
      </c>
      <c r="I53" s="20">
        <v>36656</v>
      </c>
      <c r="J53" s="20">
        <v>36656</v>
      </c>
      <c r="K53" s="20">
        <v>36656</v>
      </c>
      <c r="L53" s="20">
        <v>36656</v>
      </c>
      <c r="M53" s="20">
        <v>36656</v>
      </c>
      <c r="N53" s="20">
        <v>36656</v>
      </c>
      <c r="O53" s="21">
        <v>137460</v>
      </c>
      <c r="P53" s="22">
        <v>394052</v>
      </c>
      <c r="R53" s="23"/>
    </row>
    <row r="54" spans="1:18" outlineLevel="1" x14ac:dyDescent="0.25">
      <c r="A54" s="24"/>
      <c r="B54" s="25"/>
      <c r="C54" s="26"/>
      <c r="D54" s="27"/>
      <c r="E54" s="27"/>
      <c r="F54" s="27"/>
      <c r="G54" s="28" t="s">
        <v>18</v>
      </c>
      <c r="H54" s="29">
        <v>16476.5</v>
      </c>
      <c r="I54" s="29">
        <v>14831.934000000001</v>
      </c>
      <c r="J54" s="29">
        <v>13310.71</v>
      </c>
      <c r="K54" s="29">
        <v>11789.486000000001</v>
      </c>
      <c r="L54" s="29">
        <v>10268.262000000001</v>
      </c>
      <c r="M54" s="29">
        <v>8747.0380000000005</v>
      </c>
      <c r="N54" s="29">
        <v>7225.8140000000003</v>
      </c>
      <c r="O54" s="30">
        <v>13691.016</v>
      </c>
      <c r="P54" s="31">
        <v>96340.760000000009</v>
      </c>
    </row>
    <row r="55" spans="1:18" s="14" customFormat="1" outlineLevel="1" x14ac:dyDescent="0.25">
      <c r="A55" s="15">
        <v>26</v>
      </c>
      <c r="B55" s="16" t="s">
        <v>147</v>
      </c>
      <c r="C55" s="17" t="s">
        <v>148</v>
      </c>
      <c r="D55" s="18" t="s">
        <v>149</v>
      </c>
      <c r="E55" s="18" t="s">
        <v>150</v>
      </c>
      <c r="F55" s="18" t="s">
        <v>151</v>
      </c>
      <c r="G55" s="19" t="s">
        <v>16</v>
      </c>
      <c r="H55" s="20">
        <v>31568</v>
      </c>
      <c r="I55" s="20">
        <v>31568</v>
      </c>
      <c r="J55" s="20">
        <v>31568</v>
      </c>
      <c r="K55" s="20">
        <v>31568</v>
      </c>
      <c r="L55" s="20">
        <v>31568</v>
      </c>
      <c r="M55" s="20">
        <v>31568</v>
      </c>
      <c r="N55" s="20">
        <v>31568</v>
      </c>
      <c r="O55" s="21">
        <v>284112</v>
      </c>
      <c r="P55" s="22">
        <v>505088</v>
      </c>
      <c r="R55" s="23"/>
    </row>
    <row r="56" spans="1:18" outlineLevel="1" x14ac:dyDescent="0.25">
      <c r="A56" s="24"/>
      <c r="B56" s="25"/>
      <c r="C56" s="26"/>
      <c r="D56" s="27"/>
      <c r="E56" s="27"/>
      <c r="F56" s="27"/>
      <c r="G56" s="28" t="s">
        <v>18</v>
      </c>
      <c r="H56" s="29">
        <v>9943.73</v>
      </c>
      <c r="I56" s="29">
        <v>19651.080000000002</v>
      </c>
      <c r="J56" s="29">
        <v>18341.008000000002</v>
      </c>
      <c r="K56" s="29">
        <v>17030.936000000002</v>
      </c>
      <c r="L56" s="29">
        <v>15720.864000000001</v>
      </c>
      <c r="M56" s="29">
        <v>14410.792000000001</v>
      </c>
      <c r="N56" s="29">
        <v>13100.72</v>
      </c>
      <c r="O56" s="30">
        <v>58953.240000000005</v>
      </c>
      <c r="P56" s="31">
        <v>167152.37</v>
      </c>
    </row>
    <row r="57" spans="1:18" s="14" customFormat="1" outlineLevel="1" x14ac:dyDescent="0.25">
      <c r="A57" s="15">
        <v>27</v>
      </c>
      <c r="B57" s="16" t="s">
        <v>152</v>
      </c>
      <c r="C57" s="17" t="s">
        <v>153</v>
      </c>
      <c r="D57" s="18" t="s">
        <v>154</v>
      </c>
      <c r="E57" s="18" t="s">
        <v>155</v>
      </c>
      <c r="F57" s="18" t="s">
        <v>156</v>
      </c>
      <c r="G57" s="19" t="s">
        <v>16</v>
      </c>
      <c r="H57" s="20">
        <v>96316</v>
      </c>
      <c r="I57" s="20">
        <v>96316</v>
      </c>
      <c r="J57" s="20">
        <v>96316</v>
      </c>
      <c r="K57" s="20">
        <v>96316</v>
      </c>
      <c r="L57" s="20">
        <v>96316</v>
      </c>
      <c r="M57" s="20">
        <v>96316</v>
      </c>
      <c r="N57" s="20">
        <v>96316</v>
      </c>
      <c r="O57" s="21">
        <v>1666007.52</v>
      </c>
      <c r="P57" s="22">
        <v>2340219.52</v>
      </c>
      <c r="R57" s="23"/>
    </row>
    <row r="58" spans="1:18" outlineLevel="1" x14ac:dyDescent="0.25">
      <c r="A58" s="24"/>
      <c r="B58" s="25"/>
      <c r="C58" s="26"/>
      <c r="D58" s="27"/>
      <c r="E58" s="27"/>
      <c r="F58" s="27"/>
      <c r="G58" s="28" t="s">
        <v>18</v>
      </c>
      <c r="H58" s="29">
        <v>140834.80000000002</v>
      </c>
      <c r="I58" s="29">
        <v>135150.30900959999</v>
      </c>
      <c r="J58" s="29">
        <v>129349.19632959999</v>
      </c>
      <c r="K58" s="29">
        <v>123548.0836496</v>
      </c>
      <c r="L58" s="29">
        <v>117746.97096959999</v>
      </c>
      <c r="M58" s="29">
        <v>111945.8582896</v>
      </c>
      <c r="N58" s="29">
        <v>106144.74560960001</v>
      </c>
      <c r="O58" s="30">
        <v>918615.15269280004</v>
      </c>
      <c r="P58" s="31">
        <v>1783335.1165503999</v>
      </c>
    </row>
    <row r="59" spans="1:18" s="14" customFormat="1" outlineLevel="1" x14ac:dyDescent="0.25">
      <c r="A59" s="15">
        <v>28</v>
      </c>
      <c r="B59" s="16" t="s">
        <v>157</v>
      </c>
      <c r="C59" s="17" t="s">
        <v>158</v>
      </c>
      <c r="D59" s="18" t="s">
        <v>159</v>
      </c>
      <c r="E59" s="18" t="s">
        <v>160</v>
      </c>
      <c r="F59" s="18" t="s">
        <v>161</v>
      </c>
      <c r="G59" s="19" t="s">
        <v>16</v>
      </c>
      <c r="H59" s="20">
        <v>88284</v>
      </c>
      <c r="I59" s="20">
        <v>88284</v>
      </c>
      <c r="J59" s="20">
        <v>88284</v>
      </c>
      <c r="K59" s="20">
        <v>88284</v>
      </c>
      <c r="L59" s="20">
        <v>88284</v>
      </c>
      <c r="M59" s="20">
        <v>88284</v>
      </c>
      <c r="N59" s="20">
        <v>88284</v>
      </c>
      <c r="O59" s="21">
        <v>397278</v>
      </c>
      <c r="P59" s="22">
        <v>1015266</v>
      </c>
      <c r="R59" s="23"/>
    </row>
    <row r="60" spans="1:18" outlineLevel="1" x14ac:dyDescent="0.25">
      <c r="A60" s="24"/>
      <c r="B60" s="25"/>
      <c r="C60" s="26"/>
      <c r="D60" s="27"/>
      <c r="E60" s="27"/>
      <c r="F60" s="27"/>
      <c r="G60" s="28" t="s">
        <v>18</v>
      </c>
      <c r="H60" s="29">
        <v>49127.630000000005</v>
      </c>
      <c r="I60" s="29">
        <v>46349.1</v>
      </c>
      <c r="J60" s="29">
        <v>41934.9</v>
      </c>
      <c r="K60" s="29">
        <v>37520.699999999997</v>
      </c>
      <c r="L60" s="29">
        <v>33106.5</v>
      </c>
      <c r="M60" s="29">
        <v>28692.3</v>
      </c>
      <c r="N60" s="29">
        <v>24278.1</v>
      </c>
      <c r="O60" s="30">
        <v>55177.500000000007</v>
      </c>
      <c r="P60" s="31">
        <v>316186.73000000004</v>
      </c>
    </row>
    <row r="61" spans="1:18" s="14" customFormat="1" outlineLevel="1" x14ac:dyDescent="0.25">
      <c r="A61" s="15">
        <v>29</v>
      </c>
      <c r="B61" s="16" t="s">
        <v>162</v>
      </c>
      <c r="C61" s="17" t="s">
        <v>163</v>
      </c>
      <c r="D61" s="18" t="s">
        <v>164</v>
      </c>
      <c r="E61" s="18" t="s">
        <v>165</v>
      </c>
      <c r="F61" s="18" t="s">
        <v>166</v>
      </c>
      <c r="G61" s="19" t="s">
        <v>16</v>
      </c>
      <c r="H61" s="20">
        <v>29724</v>
      </c>
      <c r="I61" s="20">
        <v>29724</v>
      </c>
      <c r="J61" s="20">
        <v>29724</v>
      </c>
      <c r="K61" s="20">
        <v>29724</v>
      </c>
      <c r="L61" s="20">
        <v>29724</v>
      </c>
      <c r="M61" s="20">
        <v>29724</v>
      </c>
      <c r="N61" s="20">
        <v>29724</v>
      </c>
      <c r="O61" s="21">
        <v>587049</v>
      </c>
      <c r="P61" s="22">
        <v>795117</v>
      </c>
      <c r="R61" s="23"/>
    </row>
    <row r="62" spans="1:18" outlineLevel="1" x14ac:dyDescent="0.25">
      <c r="A62" s="24"/>
      <c r="B62" s="25" t="s">
        <v>167</v>
      </c>
      <c r="C62" s="26"/>
      <c r="D62" s="27"/>
      <c r="E62" s="27"/>
      <c r="F62" s="27"/>
      <c r="G62" s="28" t="s">
        <v>18</v>
      </c>
      <c r="H62" s="29">
        <v>41331.82</v>
      </c>
      <c r="I62" s="29">
        <v>39035.042999999998</v>
      </c>
      <c r="J62" s="29">
        <v>37519.118999999999</v>
      </c>
      <c r="K62" s="29">
        <v>36003.194999999992</v>
      </c>
      <c r="L62" s="29">
        <v>34487.270999999993</v>
      </c>
      <c r="M62" s="29">
        <v>32971.346999999994</v>
      </c>
      <c r="N62" s="29">
        <v>31455.422999999999</v>
      </c>
      <c r="O62" s="30">
        <v>310764.42000000016</v>
      </c>
      <c r="P62" s="31">
        <v>563567.63800000015</v>
      </c>
    </row>
    <row r="63" spans="1:18" s="14" customFormat="1" outlineLevel="1" x14ac:dyDescent="0.25">
      <c r="A63" s="15">
        <v>30</v>
      </c>
      <c r="B63" s="16" t="s">
        <v>168</v>
      </c>
      <c r="C63" s="17" t="s">
        <v>169</v>
      </c>
      <c r="D63" s="18" t="s">
        <v>170</v>
      </c>
      <c r="E63" s="18" t="s">
        <v>165</v>
      </c>
      <c r="F63" s="18" t="s">
        <v>171</v>
      </c>
      <c r="G63" s="19" t="s">
        <v>16</v>
      </c>
      <c r="H63" s="20">
        <v>18788</v>
      </c>
      <c r="I63" s="20">
        <v>18788</v>
      </c>
      <c r="J63" s="20">
        <v>18788</v>
      </c>
      <c r="K63" s="20">
        <v>18788</v>
      </c>
      <c r="L63" s="20">
        <v>18788</v>
      </c>
      <c r="M63" s="20">
        <v>18788</v>
      </c>
      <c r="N63" s="20">
        <v>18788</v>
      </c>
      <c r="O63" s="21">
        <v>178398.04</v>
      </c>
      <c r="P63" s="22">
        <v>309914.04000000004</v>
      </c>
      <c r="R63" s="23"/>
    </row>
    <row r="64" spans="1:18" outlineLevel="1" x14ac:dyDescent="0.25">
      <c r="A64" s="24"/>
      <c r="B64" s="25" t="s">
        <v>172</v>
      </c>
      <c r="C64" s="26"/>
      <c r="D64" s="27"/>
      <c r="E64" s="27"/>
      <c r="F64" s="27"/>
      <c r="G64" s="28" t="s">
        <v>18</v>
      </c>
      <c r="H64" s="29">
        <v>15339.8</v>
      </c>
      <c r="I64" s="29">
        <v>14556.302</v>
      </c>
      <c r="J64" s="29">
        <v>13616.902</v>
      </c>
      <c r="K64" s="29">
        <v>12677.502</v>
      </c>
      <c r="L64" s="29">
        <v>11738.101999999999</v>
      </c>
      <c r="M64" s="29">
        <v>10798.701999999999</v>
      </c>
      <c r="N64" s="29">
        <v>9859.3020000000015</v>
      </c>
      <c r="O64" s="30">
        <v>46926.020000000004</v>
      </c>
      <c r="P64" s="31">
        <v>135512.63200000001</v>
      </c>
    </row>
    <row r="65" spans="1:18" s="14" customFormat="1" outlineLevel="1" x14ac:dyDescent="0.25">
      <c r="A65" s="15">
        <v>31</v>
      </c>
      <c r="B65" s="16" t="s">
        <v>173</v>
      </c>
      <c r="C65" s="17" t="s">
        <v>174</v>
      </c>
      <c r="D65" s="18" t="s">
        <v>175</v>
      </c>
      <c r="E65" s="18" t="s">
        <v>176</v>
      </c>
      <c r="F65" s="18" t="s">
        <v>177</v>
      </c>
      <c r="G65" s="19" t="s">
        <v>16</v>
      </c>
      <c r="H65" s="20">
        <v>11204</v>
      </c>
      <c r="I65" s="20">
        <v>8403</v>
      </c>
      <c r="J65" s="20">
        <v>0</v>
      </c>
      <c r="K65" s="20">
        <v>0</v>
      </c>
      <c r="L65" s="20">
        <v>0</v>
      </c>
      <c r="M65" s="20">
        <v>0</v>
      </c>
      <c r="N65" s="20">
        <v>0</v>
      </c>
      <c r="O65" s="21">
        <v>0</v>
      </c>
      <c r="P65" s="22">
        <v>19607</v>
      </c>
      <c r="R65" s="23"/>
    </row>
    <row r="66" spans="1:18" outlineLevel="1" x14ac:dyDescent="0.25">
      <c r="A66" s="24"/>
      <c r="B66" s="25"/>
      <c r="C66" s="26"/>
      <c r="D66" s="27"/>
      <c r="E66" s="27"/>
      <c r="F66" s="27"/>
      <c r="G66" s="28" t="s">
        <v>18</v>
      </c>
      <c r="H66" s="29">
        <v>45.89</v>
      </c>
      <c r="I66" s="29">
        <v>21.0075</v>
      </c>
      <c r="J66" s="29">
        <v>0</v>
      </c>
      <c r="K66" s="29">
        <v>0</v>
      </c>
      <c r="L66" s="29">
        <v>0</v>
      </c>
      <c r="M66" s="29">
        <v>0</v>
      </c>
      <c r="N66" s="29">
        <v>0</v>
      </c>
      <c r="O66" s="30">
        <v>0</v>
      </c>
      <c r="P66" s="31">
        <v>66.897500000000008</v>
      </c>
    </row>
    <row r="67" spans="1:18" s="14" customFormat="1" outlineLevel="1" x14ac:dyDescent="0.25">
      <c r="A67" s="15">
        <v>32</v>
      </c>
      <c r="B67" s="16" t="s">
        <v>178</v>
      </c>
      <c r="C67" s="17" t="s">
        <v>179</v>
      </c>
      <c r="D67" s="18" t="s">
        <v>180</v>
      </c>
      <c r="E67" s="18" t="s">
        <v>176</v>
      </c>
      <c r="F67" s="18" t="s">
        <v>177</v>
      </c>
      <c r="G67" s="19" t="s">
        <v>16</v>
      </c>
      <c r="H67" s="20">
        <v>9896</v>
      </c>
      <c r="I67" s="20">
        <v>7420.33</v>
      </c>
      <c r="J67" s="20">
        <v>0</v>
      </c>
      <c r="K67" s="20">
        <v>0</v>
      </c>
      <c r="L67" s="20">
        <v>0</v>
      </c>
      <c r="M67" s="20">
        <v>0</v>
      </c>
      <c r="N67" s="20">
        <v>0</v>
      </c>
      <c r="O67" s="21">
        <v>0</v>
      </c>
      <c r="P67" s="22">
        <v>17316.330000000002</v>
      </c>
      <c r="R67" s="23"/>
    </row>
    <row r="68" spans="1:18" outlineLevel="1" x14ac:dyDescent="0.25">
      <c r="A68" s="24"/>
      <c r="B68" s="25"/>
      <c r="C68" s="26"/>
      <c r="D68" s="27"/>
      <c r="E68" s="27"/>
      <c r="F68" s="27"/>
      <c r="G68" s="28" t="s">
        <v>18</v>
      </c>
      <c r="H68" s="29">
        <v>40.08</v>
      </c>
      <c r="I68" s="29">
        <v>18.550825</v>
      </c>
      <c r="J68" s="29">
        <v>0</v>
      </c>
      <c r="K68" s="29">
        <v>0</v>
      </c>
      <c r="L68" s="29">
        <v>0</v>
      </c>
      <c r="M68" s="29">
        <v>0</v>
      </c>
      <c r="N68" s="29">
        <v>0</v>
      </c>
      <c r="O68" s="30">
        <v>0</v>
      </c>
      <c r="P68" s="31">
        <v>58.630825000000002</v>
      </c>
    </row>
    <row r="69" spans="1:18" s="14" customFormat="1" outlineLevel="1" x14ac:dyDescent="0.25">
      <c r="A69" s="15">
        <v>33</v>
      </c>
      <c r="B69" s="16" t="s">
        <v>181</v>
      </c>
      <c r="C69" s="17" t="s">
        <v>182</v>
      </c>
      <c r="D69" s="18" t="s">
        <v>183</v>
      </c>
      <c r="E69" s="18" t="s">
        <v>184</v>
      </c>
      <c r="F69" s="18" t="s">
        <v>185</v>
      </c>
      <c r="G69" s="19" t="s">
        <v>16</v>
      </c>
      <c r="H69" s="20">
        <v>343508</v>
      </c>
      <c r="I69" s="20">
        <v>343508</v>
      </c>
      <c r="J69" s="20">
        <v>343508</v>
      </c>
      <c r="K69" s="20">
        <v>343508</v>
      </c>
      <c r="L69" s="20">
        <v>343508</v>
      </c>
      <c r="M69" s="20">
        <v>343508</v>
      </c>
      <c r="N69" s="20">
        <v>343508</v>
      </c>
      <c r="O69" s="21">
        <v>6909467.9199999999</v>
      </c>
      <c r="P69" s="22">
        <v>9314023.9199999999</v>
      </c>
      <c r="R69" s="23"/>
    </row>
    <row r="70" spans="1:18" outlineLevel="1" x14ac:dyDescent="0.25">
      <c r="A70" s="24"/>
      <c r="B70" s="25"/>
      <c r="C70" s="26"/>
      <c r="D70" s="27"/>
      <c r="E70" s="27"/>
      <c r="F70" s="27"/>
      <c r="G70" s="28" t="s">
        <v>18</v>
      </c>
      <c r="H70" s="29">
        <v>421313.80999999994</v>
      </c>
      <c r="I70" s="29">
        <v>426099.50619999995</v>
      </c>
      <c r="J70" s="29">
        <v>409782.8762</v>
      </c>
      <c r="K70" s="29">
        <v>393466.24619999999</v>
      </c>
      <c r="L70" s="29">
        <v>377149.61619999999</v>
      </c>
      <c r="M70" s="29">
        <v>360832.98619999998</v>
      </c>
      <c r="N70" s="29">
        <v>344516.35619999998</v>
      </c>
      <c r="O70" s="30">
        <v>3465701.9502000008</v>
      </c>
      <c r="P70" s="31">
        <v>6198863.3474000003</v>
      </c>
    </row>
    <row r="71" spans="1:18" s="14" customFormat="1" outlineLevel="1" x14ac:dyDescent="0.25">
      <c r="A71" s="15">
        <v>34</v>
      </c>
      <c r="B71" s="16" t="s">
        <v>186</v>
      </c>
      <c r="C71" s="17" t="s">
        <v>187</v>
      </c>
      <c r="D71" s="18" t="s">
        <v>188</v>
      </c>
      <c r="E71" s="18" t="s">
        <v>184</v>
      </c>
      <c r="F71" s="18" t="s">
        <v>189</v>
      </c>
      <c r="G71" s="19" t="s">
        <v>16</v>
      </c>
      <c r="H71" s="20">
        <v>848</v>
      </c>
      <c r="I71" s="20">
        <v>848</v>
      </c>
      <c r="J71" s="20">
        <v>848</v>
      </c>
      <c r="K71" s="20">
        <v>848</v>
      </c>
      <c r="L71" s="20">
        <v>848</v>
      </c>
      <c r="M71" s="20">
        <v>848</v>
      </c>
      <c r="N71" s="20">
        <v>848</v>
      </c>
      <c r="O71" s="21">
        <v>212</v>
      </c>
      <c r="P71" s="22">
        <v>6148</v>
      </c>
      <c r="R71" s="23"/>
    </row>
    <row r="72" spans="1:18" outlineLevel="1" x14ac:dyDescent="0.25">
      <c r="A72" s="24"/>
      <c r="B72" s="25"/>
      <c r="C72" s="26"/>
      <c r="D72" s="27"/>
      <c r="E72" s="27"/>
      <c r="F72" s="27"/>
      <c r="G72" s="28" t="s">
        <v>18</v>
      </c>
      <c r="H72" s="29">
        <v>15.780000000000001</v>
      </c>
      <c r="I72" s="29">
        <v>13.25</v>
      </c>
      <c r="J72" s="29">
        <v>11.13</v>
      </c>
      <c r="K72" s="29">
        <v>9.01</v>
      </c>
      <c r="L72" s="29">
        <v>6.89</v>
      </c>
      <c r="M72" s="29">
        <v>4.7699999999999996</v>
      </c>
      <c r="N72" s="29">
        <v>2.65</v>
      </c>
      <c r="O72" s="30">
        <v>0.53</v>
      </c>
      <c r="P72" s="31">
        <v>64.009999999999991</v>
      </c>
    </row>
    <row r="73" spans="1:18" s="14" customFormat="1" outlineLevel="1" x14ac:dyDescent="0.25">
      <c r="A73" s="15">
        <v>35</v>
      </c>
      <c r="B73" s="16" t="s">
        <v>190</v>
      </c>
      <c r="C73" s="17" t="s">
        <v>191</v>
      </c>
      <c r="D73" s="18" t="s">
        <v>192</v>
      </c>
      <c r="E73" s="18" t="s">
        <v>193</v>
      </c>
      <c r="F73" s="18" t="s">
        <v>194</v>
      </c>
      <c r="G73" s="19" t="s">
        <v>16</v>
      </c>
      <c r="H73" s="20">
        <v>13676</v>
      </c>
      <c r="I73" s="20">
        <v>13676</v>
      </c>
      <c r="J73" s="20">
        <v>13676</v>
      </c>
      <c r="K73" s="20">
        <v>13676</v>
      </c>
      <c r="L73" s="20">
        <v>13676</v>
      </c>
      <c r="M73" s="20">
        <v>13676</v>
      </c>
      <c r="N73" s="20">
        <v>13676</v>
      </c>
      <c r="O73" s="21">
        <v>276939</v>
      </c>
      <c r="P73" s="22">
        <v>372671</v>
      </c>
      <c r="R73" s="23"/>
    </row>
    <row r="74" spans="1:18" outlineLevel="1" x14ac:dyDescent="0.25">
      <c r="A74" s="24"/>
      <c r="B74" s="25" t="s">
        <v>195</v>
      </c>
      <c r="C74" s="26"/>
      <c r="D74" s="27"/>
      <c r="E74" s="27"/>
      <c r="F74" s="27"/>
      <c r="G74" s="28" t="s">
        <v>18</v>
      </c>
      <c r="H74" s="29">
        <v>16195.75</v>
      </c>
      <c r="I74" s="29">
        <v>16513.769999999997</v>
      </c>
      <c r="J74" s="29">
        <v>15884.673999999999</v>
      </c>
      <c r="K74" s="29">
        <v>15255.577999999998</v>
      </c>
      <c r="L74" s="29">
        <v>14626.482</v>
      </c>
      <c r="M74" s="29">
        <v>13997.385999999999</v>
      </c>
      <c r="N74" s="29">
        <v>13368.29</v>
      </c>
      <c r="O74" s="30">
        <v>135412.91399999996</v>
      </c>
      <c r="P74" s="31">
        <v>241254.84399999995</v>
      </c>
    </row>
    <row r="75" spans="1:18" s="14" customFormat="1" outlineLevel="1" x14ac:dyDescent="0.25">
      <c r="A75" s="15">
        <v>36</v>
      </c>
      <c r="B75" s="16" t="s">
        <v>196</v>
      </c>
      <c r="C75" s="17" t="s">
        <v>197</v>
      </c>
      <c r="D75" s="18" t="s">
        <v>198</v>
      </c>
      <c r="E75" s="18" t="s">
        <v>199</v>
      </c>
      <c r="F75" s="18" t="s">
        <v>200</v>
      </c>
      <c r="G75" s="19" t="s">
        <v>16</v>
      </c>
      <c r="H75" s="20">
        <v>19244.34</v>
      </c>
      <c r="I75" s="20">
        <v>0</v>
      </c>
      <c r="J75" s="20">
        <v>0</v>
      </c>
      <c r="K75" s="20">
        <v>0</v>
      </c>
      <c r="L75" s="20">
        <v>0</v>
      </c>
      <c r="M75" s="20">
        <v>0</v>
      </c>
      <c r="N75" s="20">
        <v>0</v>
      </c>
      <c r="O75" s="21">
        <v>0</v>
      </c>
      <c r="P75" s="22">
        <v>19244.34</v>
      </c>
      <c r="R75" s="23"/>
    </row>
    <row r="76" spans="1:18" outlineLevel="1" x14ac:dyDescent="0.25">
      <c r="A76" s="24"/>
      <c r="B76" s="25" t="s">
        <v>201</v>
      </c>
      <c r="C76" s="26"/>
      <c r="D76" s="27"/>
      <c r="E76" s="27"/>
      <c r="F76" s="27"/>
      <c r="G76" s="28" t="s">
        <v>18</v>
      </c>
      <c r="H76" s="29">
        <v>34.909999999999997</v>
      </c>
      <c r="I76" s="29">
        <v>0</v>
      </c>
      <c r="J76" s="29">
        <v>0</v>
      </c>
      <c r="K76" s="29">
        <v>0</v>
      </c>
      <c r="L76" s="29">
        <v>0</v>
      </c>
      <c r="M76" s="29">
        <v>0</v>
      </c>
      <c r="N76" s="29">
        <v>0</v>
      </c>
      <c r="O76" s="30">
        <v>0</v>
      </c>
      <c r="P76" s="31">
        <v>34.909999999999997</v>
      </c>
    </row>
    <row r="77" spans="1:18" s="14" customFormat="1" outlineLevel="1" collapsed="1" x14ac:dyDescent="0.25">
      <c r="A77" s="15">
        <v>37</v>
      </c>
      <c r="B77" s="16" t="s">
        <v>202</v>
      </c>
      <c r="C77" s="17" t="s">
        <v>203</v>
      </c>
      <c r="D77" s="18" t="s">
        <v>204</v>
      </c>
      <c r="E77" s="18" t="s">
        <v>205</v>
      </c>
      <c r="F77" s="18" t="s">
        <v>206</v>
      </c>
      <c r="G77" s="19" t="s">
        <v>16</v>
      </c>
      <c r="H77" s="20">
        <v>9564</v>
      </c>
      <c r="I77" s="20">
        <v>9564</v>
      </c>
      <c r="J77" s="20">
        <v>9564</v>
      </c>
      <c r="K77" s="20">
        <v>9564</v>
      </c>
      <c r="L77" s="20">
        <v>9564</v>
      </c>
      <c r="M77" s="20">
        <v>9564</v>
      </c>
      <c r="N77" s="20">
        <v>9564</v>
      </c>
      <c r="O77" s="21">
        <v>193671</v>
      </c>
      <c r="P77" s="22">
        <v>260619</v>
      </c>
      <c r="R77" s="23"/>
    </row>
    <row r="78" spans="1:18" outlineLevel="1" x14ac:dyDescent="0.25">
      <c r="A78" s="24"/>
      <c r="B78" s="25"/>
      <c r="C78" s="26"/>
      <c r="D78" s="27"/>
      <c r="E78" s="27"/>
      <c r="F78" s="27"/>
      <c r="G78" s="28" t="s">
        <v>18</v>
      </c>
      <c r="H78" s="29">
        <v>11170.85</v>
      </c>
      <c r="I78" s="29">
        <v>10551.84165</v>
      </c>
      <c r="J78" s="29">
        <v>10149.866730000002</v>
      </c>
      <c r="K78" s="29">
        <v>9747.891810000001</v>
      </c>
      <c r="L78" s="29">
        <v>9345.9168900000004</v>
      </c>
      <c r="M78" s="29">
        <v>8943.9419699999999</v>
      </c>
      <c r="N78" s="29">
        <v>8541.9670500000011</v>
      </c>
      <c r="O78" s="30">
        <v>86525.101530000029</v>
      </c>
      <c r="P78" s="31">
        <v>154977.37763000003</v>
      </c>
    </row>
    <row r="79" spans="1:18" s="14" customFormat="1" outlineLevel="1" x14ac:dyDescent="0.25">
      <c r="A79" s="15">
        <v>38</v>
      </c>
      <c r="B79" s="16" t="s">
        <v>207</v>
      </c>
      <c r="C79" s="17" t="s">
        <v>208</v>
      </c>
      <c r="D79" s="18" t="s">
        <v>209</v>
      </c>
      <c r="E79" s="18" t="s">
        <v>210</v>
      </c>
      <c r="F79" s="18" t="s">
        <v>211</v>
      </c>
      <c r="G79" s="19" t="s">
        <v>16</v>
      </c>
      <c r="H79" s="20">
        <v>128252</v>
      </c>
      <c r="I79" s="20">
        <v>123200</v>
      </c>
      <c r="J79" s="20">
        <v>121648</v>
      </c>
      <c r="K79" s="20">
        <v>117000</v>
      </c>
      <c r="L79" s="20">
        <v>117000</v>
      </c>
      <c r="M79" s="20">
        <v>117000</v>
      </c>
      <c r="N79" s="20">
        <v>117000</v>
      </c>
      <c r="O79" s="21">
        <v>570102</v>
      </c>
      <c r="P79" s="22">
        <v>1411202</v>
      </c>
      <c r="R79" s="23"/>
    </row>
    <row r="80" spans="1:18" outlineLevel="1" x14ac:dyDescent="0.25">
      <c r="A80" s="24"/>
      <c r="B80" s="25" t="s">
        <v>212</v>
      </c>
      <c r="C80" s="26"/>
      <c r="D80" s="27"/>
      <c r="E80" s="27"/>
      <c r="F80" s="27"/>
      <c r="G80" s="28" t="s">
        <v>18</v>
      </c>
      <c r="H80" s="29">
        <v>53826.83</v>
      </c>
      <c r="I80" s="29">
        <v>52280.212500000001</v>
      </c>
      <c r="J80" s="29">
        <v>47259.8125</v>
      </c>
      <c r="K80" s="29">
        <v>42302.656500000005</v>
      </c>
      <c r="L80" s="29">
        <v>37534.906500000005</v>
      </c>
      <c r="M80" s="29">
        <v>32767.156500000005</v>
      </c>
      <c r="N80" s="29">
        <v>27999.406499999997</v>
      </c>
      <c r="O80" s="30">
        <v>83997.322999999989</v>
      </c>
      <c r="P80" s="31">
        <v>377968.304</v>
      </c>
    </row>
    <row r="81" spans="1:18" s="14" customFormat="1" outlineLevel="1" x14ac:dyDescent="0.25">
      <c r="A81" s="15">
        <v>39</v>
      </c>
      <c r="B81" s="16" t="s">
        <v>214</v>
      </c>
      <c r="C81" s="17" t="s">
        <v>215</v>
      </c>
      <c r="D81" s="18" t="s">
        <v>216</v>
      </c>
      <c r="E81" s="18" t="s">
        <v>217</v>
      </c>
      <c r="F81" s="18" t="s">
        <v>218</v>
      </c>
      <c r="G81" s="19" t="s">
        <v>16</v>
      </c>
      <c r="H81" s="20">
        <v>20940</v>
      </c>
      <c r="I81" s="20">
        <v>20940</v>
      </c>
      <c r="J81" s="20">
        <v>20940</v>
      </c>
      <c r="K81" s="20">
        <v>20940</v>
      </c>
      <c r="L81" s="20">
        <v>20940</v>
      </c>
      <c r="M81" s="20">
        <v>20940</v>
      </c>
      <c r="N81" s="20">
        <v>20940</v>
      </c>
      <c r="O81" s="21">
        <v>429270</v>
      </c>
      <c r="P81" s="22">
        <v>575850</v>
      </c>
      <c r="R81" s="23"/>
    </row>
    <row r="82" spans="1:18" outlineLevel="1" x14ac:dyDescent="0.25">
      <c r="A82" s="24"/>
      <c r="B82" s="25"/>
      <c r="C82" s="26"/>
      <c r="D82" s="27"/>
      <c r="E82" s="27"/>
      <c r="F82" s="27"/>
      <c r="G82" s="28" t="s">
        <v>18</v>
      </c>
      <c r="H82" s="29">
        <v>25851.040000000001</v>
      </c>
      <c r="I82" s="29">
        <v>24998.695499999998</v>
      </c>
      <c r="J82" s="29">
        <v>24055.3485</v>
      </c>
      <c r="K82" s="29">
        <v>23112.001499999998</v>
      </c>
      <c r="L82" s="29">
        <v>22168.654499999997</v>
      </c>
      <c r="M82" s="29">
        <v>21225.307499999999</v>
      </c>
      <c r="N82" s="29">
        <v>20281.960500000001</v>
      </c>
      <c r="O82" s="30">
        <v>208008.01350000003</v>
      </c>
      <c r="P82" s="31">
        <v>369701.02150000003</v>
      </c>
    </row>
    <row r="83" spans="1:18" s="14" customFormat="1" outlineLevel="1" x14ac:dyDescent="0.25">
      <c r="A83" s="15">
        <v>40</v>
      </c>
      <c r="B83" s="16" t="s">
        <v>219</v>
      </c>
      <c r="C83" s="17" t="s">
        <v>220</v>
      </c>
      <c r="D83" s="18" t="s">
        <v>221</v>
      </c>
      <c r="E83" s="18" t="s">
        <v>222</v>
      </c>
      <c r="F83" s="18" t="s">
        <v>223</v>
      </c>
      <c r="G83" s="19" t="s">
        <v>16</v>
      </c>
      <c r="H83" s="20">
        <v>6772</v>
      </c>
      <c r="I83" s="20">
        <v>6772</v>
      </c>
      <c r="J83" s="20">
        <v>6772</v>
      </c>
      <c r="K83" s="20">
        <v>6772</v>
      </c>
      <c r="L83" s="20">
        <v>6772</v>
      </c>
      <c r="M83" s="20">
        <v>6772</v>
      </c>
      <c r="N83" s="20">
        <v>6772</v>
      </c>
      <c r="O83" s="21">
        <v>71005.070000000007</v>
      </c>
      <c r="P83" s="22">
        <v>118409.07</v>
      </c>
      <c r="R83" s="23"/>
    </row>
    <row r="84" spans="1:18" outlineLevel="1" x14ac:dyDescent="0.25">
      <c r="A84" s="24"/>
      <c r="B84" s="25"/>
      <c r="C84" s="26"/>
      <c r="D84" s="27"/>
      <c r="E84" s="27"/>
      <c r="F84" s="27"/>
      <c r="G84" s="28" t="s">
        <v>18</v>
      </c>
      <c r="H84" s="29">
        <v>5169.53</v>
      </c>
      <c r="I84" s="29">
        <v>4923.1947870000004</v>
      </c>
      <c r="J84" s="29">
        <v>4624.5495870000004</v>
      </c>
      <c r="K84" s="29">
        <v>4325.9043870000005</v>
      </c>
      <c r="L84" s="29">
        <v>4027.2591870000006</v>
      </c>
      <c r="M84" s="29">
        <v>3728.6139870000002</v>
      </c>
      <c r="N84" s="29">
        <v>3429.9687870000007</v>
      </c>
      <c r="O84" s="30">
        <v>18019.073456999999</v>
      </c>
      <c r="P84" s="31">
        <v>48248.094179000007</v>
      </c>
    </row>
    <row r="85" spans="1:18" s="14" customFormat="1" outlineLevel="1" x14ac:dyDescent="0.25">
      <c r="A85" s="15">
        <v>41</v>
      </c>
      <c r="B85" s="16" t="s">
        <v>224</v>
      </c>
      <c r="C85" s="17" t="s">
        <v>225</v>
      </c>
      <c r="D85" s="18" t="s">
        <v>226</v>
      </c>
      <c r="E85" s="18" t="s">
        <v>222</v>
      </c>
      <c r="F85" s="18" t="s">
        <v>223</v>
      </c>
      <c r="G85" s="19" t="s">
        <v>16</v>
      </c>
      <c r="H85" s="20">
        <v>7456</v>
      </c>
      <c r="I85" s="20">
        <v>7456</v>
      </c>
      <c r="J85" s="20">
        <v>7456</v>
      </c>
      <c r="K85" s="20">
        <v>7456</v>
      </c>
      <c r="L85" s="20">
        <v>7456</v>
      </c>
      <c r="M85" s="20">
        <v>7456</v>
      </c>
      <c r="N85" s="20">
        <v>7456</v>
      </c>
      <c r="O85" s="21">
        <v>78288</v>
      </c>
      <c r="P85" s="22">
        <v>130480</v>
      </c>
      <c r="R85" s="23"/>
    </row>
    <row r="86" spans="1:18" outlineLevel="1" x14ac:dyDescent="0.25">
      <c r="A86" s="24"/>
      <c r="B86" s="25" t="s">
        <v>227</v>
      </c>
      <c r="C86" s="26"/>
      <c r="D86" s="27"/>
      <c r="E86" s="27"/>
      <c r="F86" s="27"/>
      <c r="G86" s="28" t="s">
        <v>18</v>
      </c>
      <c r="H86" s="29">
        <v>5696.58</v>
      </c>
      <c r="I86" s="29">
        <v>5425.3584000000001</v>
      </c>
      <c r="J86" s="29">
        <v>5096.5488000000005</v>
      </c>
      <c r="K86" s="29">
        <v>4767.7392</v>
      </c>
      <c r="L86" s="29">
        <v>4438.9296000000004</v>
      </c>
      <c r="M86" s="29">
        <v>4110.12</v>
      </c>
      <c r="N86" s="29">
        <v>3781.3104000000003</v>
      </c>
      <c r="O86" s="30">
        <v>19892.980800000001</v>
      </c>
      <c r="P86" s="31">
        <v>53209.567200000005</v>
      </c>
    </row>
    <row r="87" spans="1:18" s="14" customFormat="1" outlineLevel="1" x14ac:dyDescent="0.25">
      <c r="A87" s="15">
        <v>42</v>
      </c>
      <c r="B87" s="16" t="s">
        <v>228</v>
      </c>
      <c r="C87" s="17" t="s">
        <v>229</v>
      </c>
      <c r="D87" s="18" t="s">
        <v>230</v>
      </c>
      <c r="E87" s="18" t="s">
        <v>231</v>
      </c>
      <c r="F87" s="18" t="s">
        <v>232</v>
      </c>
      <c r="G87" s="19" t="s">
        <v>16</v>
      </c>
      <c r="H87" s="20">
        <v>29748</v>
      </c>
      <c r="I87" s="20">
        <v>29748</v>
      </c>
      <c r="J87" s="20">
        <v>22311</v>
      </c>
      <c r="K87" s="20">
        <v>0</v>
      </c>
      <c r="L87" s="20">
        <v>0</v>
      </c>
      <c r="M87" s="20">
        <v>0</v>
      </c>
      <c r="N87" s="20">
        <v>0</v>
      </c>
      <c r="O87" s="21">
        <v>0</v>
      </c>
      <c r="P87" s="22">
        <v>81807</v>
      </c>
      <c r="R87" s="23"/>
    </row>
    <row r="88" spans="1:18" outlineLevel="1" x14ac:dyDescent="0.25">
      <c r="A88" s="24"/>
      <c r="B88" s="25"/>
      <c r="C88" s="26"/>
      <c r="D88" s="27"/>
      <c r="E88" s="27"/>
      <c r="F88" s="27"/>
      <c r="G88" s="28" t="s">
        <v>18</v>
      </c>
      <c r="H88" s="29">
        <v>196.6</v>
      </c>
      <c r="I88" s="29">
        <v>130.14750000000001</v>
      </c>
      <c r="J88" s="29">
        <v>55.777500000000003</v>
      </c>
      <c r="K88" s="29">
        <v>0</v>
      </c>
      <c r="L88" s="29">
        <v>0</v>
      </c>
      <c r="M88" s="29">
        <v>0</v>
      </c>
      <c r="N88" s="29">
        <v>0</v>
      </c>
      <c r="O88" s="30">
        <v>0</v>
      </c>
      <c r="P88" s="31">
        <v>382.52499999999998</v>
      </c>
    </row>
    <row r="89" spans="1:18" s="14" customFormat="1" outlineLevel="1" x14ac:dyDescent="0.25">
      <c r="A89" s="15">
        <v>43</v>
      </c>
      <c r="B89" s="16" t="s">
        <v>233</v>
      </c>
      <c r="C89" s="17" t="s">
        <v>234</v>
      </c>
      <c r="D89" s="18" t="s">
        <v>235</v>
      </c>
      <c r="E89" s="18" t="s">
        <v>236</v>
      </c>
      <c r="F89" s="18" t="s">
        <v>237</v>
      </c>
      <c r="G89" s="19" t="s">
        <v>16</v>
      </c>
      <c r="H89" s="20">
        <v>17360</v>
      </c>
      <c r="I89" s="20">
        <v>15080</v>
      </c>
      <c r="J89" s="20">
        <v>8240</v>
      </c>
      <c r="K89" s="20">
        <v>8240</v>
      </c>
      <c r="L89" s="20">
        <v>8240</v>
      </c>
      <c r="M89" s="20">
        <v>8240</v>
      </c>
      <c r="N89" s="20">
        <v>8240</v>
      </c>
      <c r="O89" s="21">
        <v>82400</v>
      </c>
      <c r="P89" s="22">
        <v>156040</v>
      </c>
      <c r="R89" s="23"/>
    </row>
    <row r="90" spans="1:18" outlineLevel="1" x14ac:dyDescent="0.25">
      <c r="A90" s="24"/>
      <c r="B90" s="25" t="s">
        <v>238</v>
      </c>
      <c r="C90" s="26"/>
      <c r="D90" s="27"/>
      <c r="E90" s="27"/>
      <c r="F90" s="27"/>
      <c r="G90" s="28" t="s">
        <v>18</v>
      </c>
      <c r="H90" s="29">
        <v>6731.66</v>
      </c>
      <c r="I90" s="29">
        <v>6379.28</v>
      </c>
      <c r="J90" s="29">
        <v>5685.6</v>
      </c>
      <c r="K90" s="29">
        <v>5306.56</v>
      </c>
      <c r="L90" s="29">
        <v>4927.5199999999995</v>
      </c>
      <c r="M90" s="29">
        <v>4548.4799999999996</v>
      </c>
      <c r="N90" s="29">
        <v>4169.4399999999996</v>
      </c>
      <c r="O90" s="30">
        <v>20847.2</v>
      </c>
      <c r="P90" s="31">
        <v>58595.740000000005</v>
      </c>
    </row>
    <row r="91" spans="1:18" s="14" customFormat="1" outlineLevel="1" x14ac:dyDescent="0.25">
      <c r="A91" s="15">
        <v>44</v>
      </c>
      <c r="B91" s="16" t="s">
        <v>239</v>
      </c>
      <c r="C91" s="17" t="s">
        <v>240</v>
      </c>
      <c r="D91" s="18" t="s">
        <v>241</v>
      </c>
      <c r="E91" s="18" t="s">
        <v>236</v>
      </c>
      <c r="F91" s="18" t="s">
        <v>242</v>
      </c>
      <c r="G91" s="19" t="s">
        <v>16</v>
      </c>
      <c r="H91" s="20">
        <v>73372</v>
      </c>
      <c r="I91" s="20">
        <v>73372</v>
      </c>
      <c r="J91" s="20">
        <v>73372</v>
      </c>
      <c r="K91" s="20">
        <v>73372</v>
      </c>
      <c r="L91" s="20">
        <v>73372</v>
      </c>
      <c r="M91" s="20">
        <v>73372</v>
      </c>
      <c r="N91" s="20">
        <v>73372</v>
      </c>
      <c r="O91" s="21">
        <v>73372</v>
      </c>
      <c r="P91" s="22">
        <v>586976</v>
      </c>
      <c r="R91" s="23"/>
    </row>
    <row r="92" spans="1:18" outlineLevel="1" x14ac:dyDescent="0.25">
      <c r="A92" s="24"/>
      <c r="B92" s="25"/>
      <c r="C92" s="26"/>
      <c r="D92" s="27"/>
      <c r="E92" s="27"/>
      <c r="F92" s="27"/>
      <c r="G92" s="28" t="s">
        <v>18</v>
      </c>
      <c r="H92" s="29">
        <v>24416.6</v>
      </c>
      <c r="I92" s="29">
        <v>22598.576000000001</v>
      </c>
      <c r="J92" s="29">
        <v>19370.207999999999</v>
      </c>
      <c r="K92" s="29">
        <v>16141.840000000002</v>
      </c>
      <c r="L92" s="29">
        <v>12913.472000000002</v>
      </c>
      <c r="M92" s="29">
        <v>9685.1039999999994</v>
      </c>
      <c r="N92" s="29">
        <v>6456.7360000000008</v>
      </c>
      <c r="O92" s="30">
        <v>3228.3680000000004</v>
      </c>
      <c r="P92" s="31">
        <v>114810.90399999999</v>
      </c>
    </row>
    <row r="93" spans="1:18" s="14" customFormat="1" outlineLevel="1" x14ac:dyDescent="0.25">
      <c r="A93" s="15">
        <v>45</v>
      </c>
      <c r="B93" s="16" t="s">
        <v>243</v>
      </c>
      <c r="C93" s="17" t="s">
        <v>244</v>
      </c>
      <c r="D93" s="18" t="s">
        <v>245</v>
      </c>
      <c r="E93" s="18" t="s">
        <v>236</v>
      </c>
      <c r="F93" s="18" t="s">
        <v>242</v>
      </c>
      <c r="G93" s="19" t="s">
        <v>16</v>
      </c>
      <c r="H93" s="20">
        <v>58116</v>
      </c>
      <c r="I93" s="20">
        <v>58116</v>
      </c>
      <c r="J93" s="20">
        <v>58116</v>
      </c>
      <c r="K93" s="20">
        <v>58116</v>
      </c>
      <c r="L93" s="20">
        <v>58116</v>
      </c>
      <c r="M93" s="20">
        <v>58116</v>
      </c>
      <c r="N93" s="20">
        <v>58116</v>
      </c>
      <c r="O93" s="21">
        <v>35995.86</v>
      </c>
      <c r="P93" s="22">
        <v>442807.86</v>
      </c>
      <c r="R93" s="23"/>
    </row>
    <row r="94" spans="1:18" outlineLevel="1" x14ac:dyDescent="0.25">
      <c r="A94" s="24"/>
      <c r="B94" s="25"/>
      <c r="C94" s="26"/>
      <c r="D94" s="27"/>
      <c r="E94" s="27"/>
      <c r="F94" s="27"/>
      <c r="G94" s="28" t="s">
        <v>18</v>
      </c>
      <c r="H94" s="29">
        <v>18399.66</v>
      </c>
      <c r="I94" s="29">
        <v>16926.44184</v>
      </c>
      <c r="J94" s="29">
        <v>14369.33784</v>
      </c>
      <c r="K94" s="29">
        <v>11812.233840000001</v>
      </c>
      <c r="L94" s="29">
        <v>9255.1298400000014</v>
      </c>
      <c r="M94" s="29">
        <v>6698.0258400000002</v>
      </c>
      <c r="N94" s="29">
        <v>4140.92184</v>
      </c>
      <c r="O94" s="30">
        <v>1583.8178400000002</v>
      </c>
      <c r="P94" s="31">
        <v>83185.568880000006</v>
      </c>
    </row>
    <row r="95" spans="1:18" s="14" customFormat="1" outlineLevel="1" x14ac:dyDescent="0.25">
      <c r="A95" s="15">
        <v>46</v>
      </c>
      <c r="B95" s="16" t="s">
        <v>246</v>
      </c>
      <c r="C95" s="17" t="s">
        <v>247</v>
      </c>
      <c r="D95" s="18" t="s">
        <v>248</v>
      </c>
      <c r="E95" s="18" t="s">
        <v>249</v>
      </c>
      <c r="F95" s="18" t="s">
        <v>250</v>
      </c>
      <c r="G95" s="19" t="s">
        <v>16</v>
      </c>
      <c r="H95" s="20">
        <v>61976</v>
      </c>
      <c r="I95" s="20">
        <v>61976</v>
      </c>
      <c r="J95" s="20">
        <v>61976</v>
      </c>
      <c r="K95" s="20">
        <v>0</v>
      </c>
      <c r="L95" s="20">
        <v>0</v>
      </c>
      <c r="M95" s="20">
        <v>0</v>
      </c>
      <c r="N95" s="20">
        <v>0</v>
      </c>
      <c r="O95" s="21">
        <v>0</v>
      </c>
      <c r="P95" s="22">
        <v>185928</v>
      </c>
      <c r="R95" s="23"/>
    </row>
    <row r="96" spans="1:18" outlineLevel="1" x14ac:dyDescent="0.25">
      <c r="A96" s="24"/>
      <c r="B96" s="25" t="s">
        <v>251</v>
      </c>
      <c r="C96" s="26"/>
      <c r="D96" s="27"/>
      <c r="E96" s="27"/>
      <c r="F96" s="27"/>
      <c r="G96" s="28" t="s">
        <v>18</v>
      </c>
      <c r="H96" s="29">
        <v>7015.86</v>
      </c>
      <c r="I96" s="29">
        <v>5336.22</v>
      </c>
      <c r="J96" s="29">
        <v>2449.1499999999996</v>
      </c>
      <c r="K96" s="29">
        <v>160.5</v>
      </c>
      <c r="L96" s="29">
        <v>0</v>
      </c>
      <c r="M96" s="29">
        <v>0</v>
      </c>
      <c r="N96" s="29">
        <v>0</v>
      </c>
      <c r="O96" s="30">
        <v>0</v>
      </c>
      <c r="P96" s="31">
        <v>14961.73</v>
      </c>
    </row>
    <row r="97" spans="1:18" s="14" customFormat="1" outlineLevel="1" x14ac:dyDescent="0.25">
      <c r="A97" s="15">
        <v>47</v>
      </c>
      <c r="B97" s="16" t="s">
        <v>252</v>
      </c>
      <c r="C97" s="17" t="s">
        <v>253</v>
      </c>
      <c r="D97" s="18" t="s">
        <v>254</v>
      </c>
      <c r="E97" s="18" t="s">
        <v>255</v>
      </c>
      <c r="F97" s="18" t="s">
        <v>256</v>
      </c>
      <c r="G97" s="19" t="s">
        <v>16</v>
      </c>
      <c r="H97" s="20">
        <v>12500</v>
      </c>
      <c r="I97" s="20">
        <v>12500</v>
      </c>
      <c r="J97" s="20">
        <v>12500</v>
      </c>
      <c r="K97" s="20">
        <v>12500</v>
      </c>
      <c r="L97" s="20">
        <v>12500</v>
      </c>
      <c r="M97" s="20">
        <v>12500</v>
      </c>
      <c r="N97" s="20">
        <v>12500</v>
      </c>
      <c r="O97" s="21">
        <v>5783.52</v>
      </c>
      <c r="P97" s="22">
        <v>93283.520000000004</v>
      </c>
      <c r="R97" s="23"/>
    </row>
    <row r="98" spans="1:18" outlineLevel="1" x14ac:dyDescent="0.25">
      <c r="A98" s="24"/>
      <c r="B98" s="25" t="s">
        <v>257</v>
      </c>
      <c r="C98" s="26"/>
      <c r="D98" s="27"/>
      <c r="E98" s="27"/>
      <c r="F98" s="27"/>
      <c r="G98" s="28" t="s">
        <v>18</v>
      </c>
      <c r="H98" s="29">
        <v>3677.65</v>
      </c>
      <c r="I98" s="29">
        <v>3152.1729504000004</v>
      </c>
      <c r="J98" s="29">
        <v>2664.4229504</v>
      </c>
      <c r="K98" s="29">
        <v>2176.6729504000004</v>
      </c>
      <c r="L98" s="29">
        <v>1688.9229504000002</v>
      </c>
      <c r="M98" s="29">
        <v>1201.1729504000002</v>
      </c>
      <c r="N98" s="29">
        <v>713.42295039999999</v>
      </c>
      <c r="O98" s="30">
        <v>225.67295040000002</v>
      </c>
      <c r="P98" s="31">
        <v>15500.110652799998</v>
      </c>
    </row>
    <row r="99" spans="1:18" s="14" customFormat="1" outlineLevel="1" x14ac:dyDescent="0.25">
      <c r="A99" s="15">
        <v>48</v>
      </c>
      <c r="B99" s="16" t="s">
        <v>258</v>
      </c>
      <c r="C99" s="17" t="s">
        <v>259</v>
      </c>
      <c r="D99" s="18" t="s">
        <v>260</v>
      </c>
      <c r="E99" s="18" t="s">
        <v>261</v>
      </c>
      <c r="F99" s="18" t="s">
        <v>262</v>
      </c>
      <c r="G99" s="19" t="s">
        <v>16</v>
      </c>
      <c r="H99" s="20">
        <v>86352</v>
      </c>
      <c r="I99" s="20">
        <v>86352</v>
      </c>
      <c r="J99" s="20">
        <v>86352</v>
      </c>
      <c r="K99" s="20">
        <v>86352</v>
      </c>
      <c r="L99" s="20">
        <v>86352</v>
      </c>
      <c r="M99" s="20">
        <v>86352</v>
      </c>
      <c r="N99" s="20">
        <v>86352</v>
      </c>
      <c r="O99" s="21">
        <v>225866.22999999998</v>
      </c>
      <c r="P99" s="22">
        <v>830330.23</v>
      </c>
      <c r="R99" s="23"/>
    </row>
    <row r="100" spans="1:18" outlineLevel="1" x14ac:dyDescent="0.25">
      <c r="A100" s="24"/>
      <c r="B100" s="25" t="s">
        <v>263</v>
      </c>
      <c r="C100" s="26"/>
      <c r="D100" s="27"/>
      <c r="E100" s="27"/>
      <c r="F100" s="27"/>
      <c r="G100" s="28" t="s">
        <v>18</v>
      </c>
      <c r="H100" s="29">
        <v>43678.929999999993</v>
      </c>
      <c r="I100" s="29">
        <v>37593.219961900002</v>
      </c>
      <c r="J100" s="29">
        <v>33229.8534019</v>
      </c>
      <c r="K100" s="29">
        <v>28866.486841899998</v>
      </c>
      <c r="L100" s="29">
        <v>24503.120281899999</v>
      </c>
      <c r="M100" s="29">
        <v>20139.753721899997</v>
      </c>
      <c r="N100" s="29">
        <v>15776.387161899998</v>
      </c>
      <c r="O100" s="30">
        <v>21148.962125699996</v>
      </c>
      <c r="P100" s="31">
        <v>224936.71349709996</v>
      </c>
    </row>
    <row r="101" spans="1:18" s="14" customFormat="1" outlineLevel="1" x14ac:dyDescent="0.25">
      <c r="A101" s="15">
        <v>49</v>
      </c>
      <c r="B101" s="16" t="s">
        <v>264</v>
      </c>
      <c r="C101" s="17" t="s">
        <v>265</v>
      </c>
      <c r="D101" s="18" t="s">
        <v>266</v>
      </c>
      <c r="E101" s="18" t="s">
        <v>267</v>
      </c>
      <c r="F101" s="18" t="s">
        <v>268</v>
      </c>
      <c r="G101" s="19" t="s">
        <v>16</v>
      </c>
      <c r="H101" s="20">
        <v>37076</v>
      </c>
      <c r="I101" s="20">
        <v>37076</v>
      </c>
      <c r="J101" s="20">
        <v>37076</v>
      </c>
      <c r="K101" s="20">
        <v>8137.11</v>
      </c>
      <c r="L101" s="20">
        <v>0</v>
      </c>
      <c r="M101" s="20">
        <v>0</v>
      </c>
      <c r="N101" s="20">
        <v>0</v>
      </c>
      <c r="O101" s="21">
        <v>0</v>
      </c>
      <c r="P101" s="22">
        <v>119365.11</v>
      </c>
      <c r="R101" s="23"/>
    </row>
    <row r="102" spans="1:18" outlineLevel="1" x14ac:dyDescent="0.25">
      <c r="A102" s="24"/>
      <c r="B102" s="25"/>
      <c r="C102" s="26"/>
      <c r="D102" s="27"/>
      <c r="E102" s="27"/>
      <c r="F102" s="27"/>
      <c r="G102" s="28" t="s">
        <v>18</v>
      </c>
      <c r="H102" s="29">
        <v>5689.58</v>
      </c>
      <c r="I102" s="29">
        <v>4151.4855994999998</v>
      </c>
      <c r="J102" s="29">
        <v>2281.0013994999999</v>
      </c>
      <c r="K102" s="29">
        <v>410.5171995</v>
      </c>
      <c r="L102" s="29">
        <v>0</v>
      </c>
      <c r="M102" s="29">
        <v>0</v>
      </c>
      <c r="N102" s="29">
        <v>0</v>
      </c>
      <c r="O102" s="30">
        <v>0</v>
      </c>
      <c r="P102" s="31">
        <v>12532.584198499999</v>
      </c>
    </row>
    <row r="103" spans="1:18" s="14" customFormat="1" outlineLevel="1" x14ac:dyDescent="0.25">
      <c r="A103" s="15">
        <v>50</v>
      </c>
      <c r="B103" s="16" t="s">
        <v>269</v>
      </c>
      <c r="C103" s="17" t="s">
        <v>270</v>
      </c>
      <c r="D103" s="18" t="s">
        <v>271</v>
      </c>
      <c r="E103" s="18" t="s">
        <v>272</v>
      </c>
      <c r="F103" s="18" t="s">
        <v>273</v>
      </c>
      <c r="G103" s="19" t="s">
        <v>16</v>
      </c>
      <c r="H103" s="20">
        <v>20380</v>
      </c>
      <c r="I103" s="20">
        <v>20380</v>
      </c>
      <c r="J103" s="20">
        <v>20380</v>
      </c>
      <c r="K103" s="20">
        <v>9346.1899999999987</v>
      </c>
      <c r="L103" s="20">
        <v>0</v>
      </c>
      <c r="M103" s="20">
        <v>0</v>
      </c>
      <c r="N103" s="20">
        <v>0</v>
      </c>
      <c r="O103" s="21">
        <v>0</v>
      </c>
      <c r="P103" s="22">
        <v>70486.19</v>
      </c>
      <c r="R103" s="23"/>
    </row>
    <row r="104" spans="1:18" outlineLevel="1" x14ac:dyDescent="0.25">
      <c r="A104" s="24"/>
      <c r="B104" s="25" t="s">
        <v>274</v>
      </c>
      <c r="C104" s="26"/>
      <c r="D104" s="27"/>
      <c r="E104" s="27"/>
      <c r="F104" s="27"/>
      <c r="G104" s="28" t="s">
        <v>18</v>
      </c>
      <c r="H104" s="29">
        <v>3497.98</v>
      </c>
      <c r="I104" s="29">
        <v>2616.0441799</v>
      </c>
      <c r="J104" s="29">
        <v>1552.0043799</v>
      </c>
      <c r="K104" s="29">
        <v>487.96457989999993</v>
      </c>
      <c r="L104" s="29">
        <v>0</v>
      </c>
      <c r="M104" s="29">
        <v>0</v>
      </c>
      <c r="N104" s="29">
        <v>0</v>
      </c>
      <c r="O104" s="30">
        <v>0</v>
      </c>
      <c r="P104" s="31">
        <v>8153.9931396999991</v>
      </c>
    </row>
    <row r="105" spans="1:18" s="14" customFormat="1" outlineLevel="1" x14ac:dyDescent="0.25">
      <c r="A105" s="15">
        <v>51</v>
      </c>
      <c r="B105" s="16" t="s">
        <v>275</v>
      </c>
      <c r="C105" s="17" t="s">
        <v>276</v>
      </c>
      <c r="D105" s="18" t="s">
        <v>277</v>
      </c>
      <c r="E105" s="18" t="s">
        <v>278</v>
      </c>
      <c r="F105" s="18" t="s">
        <v>279</v>
      </c>
      <c r="G105" s="19" t="s">
        <v>16</v>
      </c>
      <c r="H105" s="20">
        <v>53660</v>
      </c>
      <c r="I105" s="20">
        <v>53660</v>
      </c>
      <c r="J105" s="20">
        <v>53660</v>
      </c>
      <c r="K105" s="20">
        <v>53660</v>
      </c>
      <c r="L105" s="20">
        <v>53660</v>
      </c>
      <c r="M105" s="20">
        <v>53660</v>
      </c>
      <c r="N105" s="20">
        <v>53660</v>
      </c>
      <c r="O105" s="21">
        <v>93905</v>
      </c>
      <c r="P105" s="22">
        <v>469525</v>
      </c>
      <c r="R105" s="23"/>
    </row>
    <row r="106" spans="1:18" outlineLevel="1" x14ac:dyDescent="0.25">
      <c r="A106" s="24"/>
      <c r="B106" s="25" t="s">
        <v>280</v>
      </c>
      <c r="C106" s="26"/>
      <c r="D106" s="27"/>
      <c r="E106" s="27"/>
      <c r="F106" s="27"/>
      <c r="G106" s="28" t="s">
        <v>18</v>
      </c>
      <c r="H106" s="29">
        <v>25381.77</v>
      </c>
      <c r="I106" s="29">
        <v>23001.493149999998</v>
      </c>
      <c r="J106" s="29">
        <v>20033.558550000002</v>
      </c>
      <c r="K106" s="29">
        <v>17065.623950000001</v>
      </c>
      <c r="L106" s="29">
        <v>14097.689349999999</v>
      </c>
      <c r="M106" s="29">
        <v>11129.754749999998</v>
      </c>
      <c r="N106" s="29">
        <v>8161.8201499999986</v>
      </c>
      <c r="O106" s="30">
        <v>7419.8364999999994</v>
      </c>
      <c r="P106" s="31">
        <v>126291.54640000001</v>
      </c>
    </row>
    <row r="107" spans="1:18" s="14" customFormat="1" outlineLevel="1" x14ac:dyDescent="0.25">
      <c r="A107" s="15">
        <v>52</v>
      </c>
      <c r="B107" s="16" t="s">
        <v>281</v>
      </c>
      <c r="C107" s="17" t="s">
        <v>282</v>
      </c>
      <c r="D107" s="18" t="s">
        <v>283</v>
      </c>
      <c r="E107" s="18" t="s">
        <v>284</v>
      </c>
      <c r="F107" s="18" t="s">
        <v>285</v>
      </c>
      <c r="G107" s="19" t="s">
        <v>16</v>
      </c>
      <c r="H107" s="20">
        <v>928</v>
      </c>
      <c r="I107" s="20">
        <v>928</v>
      </c>
      <c r="J107" s="20">
        <v>928</v>
      </c>
      <c r="K107" s="20">
        <v>928</v>
      </c>
      <c r="L107" s="20">
        <v>928</v>
      </c>
      <c r="M107" s="20">
        <v>696</v>
      </c>
      <c r="N107" s="20">
        <v>0</v>
      </c>
      <c r="O107" s="21">
        <v>0</v>
      </c>
      <c r="P107" s="22">
        <v>5336</v>
      </c>
      <c r="R107" s="23"/>
    </row>
    <row r="108" spans="1:18" outlineLevel="1" x14ac:dyDescent="0.25">
      <c r="A108" s="24"/>
      <c r="B108" s="25" t="s">
        <v>286</v>
      </c>
      <c r="C108" s="26"/>
      <c r="D108" s="27"/>
      <c r="E108" s="27"/>
      <c r="F108" s="27"/>
      <c r="G108" s="28" t="s">
        <v>18</v>
      </c>
      <c r="H108" s="29">
        <v>280.58</v>
      </c>
      <c r="I108" s="29">
        <v>239.57479999999998</v>
      </c>
      <c r="J108" s="29">
        <v>189.13800000000001</v>
      </c>
      <c r="K108" s="29">
        <v>138.7012</v>
      </c>
      <c r="L108" s="29">
        <v>88.264399999999981</v>
      </c>
      <c r="M108" s="29">
        <v>37.827599999999997</v>
      </c>
      <c r="N108" s="29">
        <v>0</v>
      </c>
      <c r="O108" s="30">
        <v>0</v>
      </c>
      <c r="P108" s="31">
        <v>974.08600000000001</v>
      </c>
    </row>
    <row r="109" spans="1:18" s="14" customFormat="1" outlineLevel="1" x14ac:dyDescent="0.25">
      <c r="A109" s="15">
        <v>53</v>
      </c>
      <c r="B109" s="16" t="s">
        <v>287</v>
      </c>
      <c r="C109" s="17" t="s">
        <v>288</v>
      </c>
      <c r="D109" s="18" t="s">
        <v>289</v>
      </c>
      <c r="E109" s="18" t="s">
        <v>290</v>
      </c>
      <c r="F109" s="18" t="s">
        <v>291</v>
      </c>
      <c r="G109" s="19" t="s">
        <v>16</v>
      </c>
      <c r="H109" s="20">
        <v>35348</v>
      </c>
      <c r="I109" s="20">
        <v>35348</v>
      </c>
      <c r="J109" s="20">
        <v>35348</v>
      </c>
      <c r="K109" s="20">
        <v>35348</v>
      </c>
      <c r="L109" s="20">
        <v>35348</v>
      </c>
      <c r="M109" s="20">
        <v>35348</v>
      </c>
      <c r="N109" s="20">
        <v>35348</v>
      </c>
      <c r="O109" s="21">
        <v>247436</v>
      </c>
      <c r="P109" s="22">
        <v>494872</v>
      </c>
      <c r="R109" s="23"/>
    </row>
    <row r="110" spans="1:18" outlineLevel="1" x14ac:dyDescent="0.25">
      <c r="A110" s="24"/>
      <c r="B110" s="25" t="s">
        <v>292</v>
      </c>
      <c r="C110" s="26"/>
      <c r="D110" s="27"/>
      <c r="E110" s="27"/>
      <c r="F110" s="27"/>
      <c r="G110" s="28" t="s">
        <v>18</v>
      </c>
      <c r="H110" s="29">
        <v>22933.739999999998</v>
      </c>
      <c r="I110" s="29">
        <v>21193.246880000002</v>
      </c>
      <c r="J110" s="29">
        <v>19562.99712</v>
      </c>
      <c r="K110" s="29">
        <v>17932.747360000001</v>
      </c>
      <c r="L110" s="29">
        <v>16302.497600000001</v>
      </c>
      <c r="M110" s="29">
        <v>14672.24784</v>
      </c>
      <c r="N110" s="29">
        <v>13041.998079999999</v>
      </c>
      <c r="O110" s="30">
        <v>45646.993280000002</v>
      </c>
      <c r="P110" s="31">
        <v>171286.46816000002</v>
      </c>
    </row>
    <row r="111" spans="1:18" s="14" customFormat="1" outlineLevel="1" x14ac:dyDescent="0.25">
      <c r="A111" s="15">
        <v>54</v>
      </c>
      <c r="B111" s="16" t="s">
        <v>287</v>
      </c>
      <c r="C111" s="17" t="s">
        <v>293</v>
      </c>
      <c r="D111" s="18" t="s">
        <v>294</v>
      </c>
      <c r="E111" s="18" t="s">
        <v>290</v>
      </c>
      <c r="F111" s="18" t="s">
        <v>295</v>
      </c>
      <c r="G111" s="19" t="s">
        <v>16</v>
      </c>
      <c r="H111" s="20">
        <v>32436</v>
      </c>
      <c r="I111" s="20">
        <v>32436</v>
      </c>
      <c r="J111" s="20">
        <v>32436</v>
      </c>
      <c r="K111" s="20">
        <v>32436</v>
      </c>
      <c r="L111" s="20">
        <v>32436</v>
      </c>
      <c r="M111" s="20">
        <v>32436</v>
      </c>
      <c r="N111" s="20">
        <v>32436</v>
      </c>
      <c r="O111" s="21">
        <v>64872</v>
      </c>
      <c r="P111" s="22">
        <v>291924</v>
      </c>
      <c r="R111" s="23"/>
    </row>
    <row r="112" spans="1:18" outlineLevel="1" x14ac:dyDescent="0.25">
      <c r="A112" s="24"/>
      <c r="B112" s="25" t="s">
        <v>296</v>
      </c>
      <c r="C112" s="26"/>
      <c r="D112" s="27"/>
      <c r="E112" s="27"/>
      <c r="F112" s="27"/>
      <c r="G112" s="28" t="s">
        <v>18</v>
      </c>
      <c r="H112" s="29">
        <v>12816.71</v>
      </c>
      <c r="I112" s="29">
        <v>11412.282239999999</v>
      </c>
      <c r="J112" s="29">
        <v>9985.7469599999986</v>
      </c>
      <c r="K112" s="29">
        <v>8559.2116800000003</v>
      </c>
      <c r="L112" s="29">
        <v>7132.6763999999994</v>
      </c>
      <c r="M112" s="29">
        <v>5706.1411199999993</v>
      </c>
      <c r="N112" s="29">
        <v>4279.6058400000002</v>
      </c>
      <c r="O112" s="30">
        <v>4279.6058399999993</v>
      </c>
      <c r="P112" s="31">
        <v>64171.980079999987</v>
      </c>
    </row>
    <row r="113" spans="1:18" s="14" customFormat="1" outlineLevel="1" x14ac:dyDescent="0.25">
      <c r="A113" s="15">
        <v>55</v>
      </c>
      <c r="B113" s="16" t="s">
        <v>297</v>
      </c>
      <c r="C113" s="17" t="s">
        <v>298</v>
      </c>
      <c r="D113" s="18" t="s">
        <v>299</v>
      </c>
      <c r="E113" s="18" t="s">
        <v>300</v>
      </c>
      <c r="F113" s="18" t="s">
        <v>301</v>
      </c>
      <c r="G113" s="19" t="s">
        <v>16</v>
      </c>
      <c r="H113" s="20">
        <v>20200</v>
      </c>
      <c r="I113" s="20">
        <v>20200</v>
      </c>
      <c r="J113" s="20">
        <v>20200</v>
      </c>
      <c r="K113" s="20">
        <v>20200</v>
      </c>
      <c r="L113" s="20">
        <v>20200</v>
      </c>
      <c r="M113" s="20">
        <v>20200</v>
      </c>
      <c r="N113" s="20">
        <v>20200</v>
      </c>
      <c r="O113" s="21">
        <v>141400</v>
      </c>
      <c r="P113" s="22">
        <v>282800</v>
      </c>
      <c r="R113" s="23"/>
    </row>
    <row r="114" spans="1:18" outlineLevel="1" x14ac:dyDescent="0.25">
      <c r="A114" s="24"/>
      <c r="B114" s="25" t="s">
        <v>302</v>
      </c>
      <c r="C114" s="26"/>
      <c r="D114" s="27"/>
      <c r="E114" s="27"/>
      <c r="F114" s="27"/>
      <c r="G114" s="28" t="s">
        <v>18</v>
      </c>
      <c r="H114" s="29">
        <v>12785.44</v>
      </c>
      <c r="I114" s="29">
        <v>12105.86</v>
      </c>
      <c r="J114" s="29">
        <v>11174.64</v>
      </c>
      <c r="K114" s="29">
        <v>10243.420000000002</v>
      </c>
      <c r="L114" s="29">
        <v>9312.2000000000007</v>
      </c>
      <c r="M114" s="29">
        <v>8380.98</v>
      </c>
      <c r="N114" s="29">
        <v>7449.76</v>
      </c>
      <c r="O114" s="30">
        <v>26074.16</v>
      </c>
      <c r="P114" s="31">
        <v>97526.459999999992</v>
      </c>
    </row>
    <row r="115" spans="1:18" outlineLevel="1" x14ac:dyDescent="0.25">
      <c r="A115" s="32">
        <v>56</v>
      </c>
      <c r="B115" s="33" t="s">
        <v>303</v>
      </c>
      <c r="C115" s="34" t="s">
        <v>304</v>
      </c>
      <c r="D115" s="35" t="s">
        <v>305</v>
      </c>
      <c r="E115" s="35" t="s">
        <v>306</v>
      </c>
      <c r="F115" s="35" t="s">
        <v>213</v>
      </c>
      <c r="G115" s="19" t="s">
        <v>16</v>
      </c>
      <c r="H115" s="36">
        <v>37335</v>
      </c>
      <c r="I115" s="36"/>
      <c r="J115" s="36"/>
      <c r="K115" s="36"/>
      <c r="L115" s="36"/>
      <c r="M115" s="36"/>
      <c r="N115" s="36"/>
      <c r="O115" s="21">
        <v>0</v>
      </c>
      <c r="P115" s="22">
        <v>37335</v>
      </c>
    </row>
    <row r="116" spans="1:18" outlineLevel="1" x14ac:dyDescent="0.25">
      <c r="A116" s="37"/>
      <c r="B116" s="33" t="s">
        <v>307</v>
      </c>
      <c r="C116" s="34"/>
      <c r="D116" s="35"/>
      <c r="E116" s="35"/>
      <c r="F116" s="35"/>
      <c r="G116" s="28" t="s">
        <v>18</v>
      </c>
      <c r="H116" s="36">
        <v>466.58000000000004</v>
      </c>
      <c r="I116" s="36"/>
      <c r="J116" s="36"/>
      <c r="K116" s="36"/>
      <c r="L116" s="36"/>
      <c r="M116" s="36"/>
      <c r="N116" s="36"/>
      <c r="O116" s="30">
        <v>0</v>
      </c>
      <c r="P116" s="31">
        <v>466.58000000000004</v>
      </c>
    </row>
    <row r="117" spans="1:18" s="14" customFormat="1" outlineLevel="1" x14ac:dyDescent="0.25">
      <c r="A117" s="15">
        <v>57</v>
      </c>
      <c r="B117" s="16" t="s">
        <v>308</v>
      </c>
      <c r="C117" s="17" t="s">
        <v>309</v>
      </c>
      <c r="D117" s="18" t="s">
        <v>310</v>
      </c>
      <c r="E117" s="18" t="s">
        <v>311</v>
      </c>
      <c r="F117" s="18" t="s">
        <v>211</v>
      </c>
      <c r="G117" s="19" t="s">
        <v>16</v>
      </c>
      <c r="H117" s="20">
        <v>26079</v>
      </c>
      <c r="I117" s="20">
        <v>34772</v>
      </c>
      <c r="J117" s="20">
        <v>34772</v>
      </c>
      <c r="K117" s="20">
        <v>34772</v>
      </c>
      <c r="L117" s="20">
        <v>34772</v>
      </c>
      <c r="M117" s="20">
        <v>34772</v>
      </c>
      <c r="N117" s="20">
        <v>34772</v>
      </c>
      <c r="O117" s="21">
        <v>260790</v>
      </c>
      <c r="P117" s="22">
        <v>495501</v>
      </c>
      <c r="R117" s="23"/>
    </row>
    <row r="118" spans="1:18" outlineLevel="1" x14ac:dyDescent="0.25">
      <c r="A118" s="24"/>
      <c r="B118" s="25" t="s">
        <v>312</v>
      </c>
      <c r="C118" s="26"/>
      <c r="D118" s="27"/>
      <c r="E118" s="27"/>
      <c r="F118" s="27"/>
      <c r="G118" s="28" t="s">
        <v>18</v>
      </c>
      <c r="H118" s="29">
        <v>25267.67</v>
      </c>
      <c r="I118" s="29">
        <v>25930.871279999999</v>
      </c>
      <c r="J118" s="29">
        <v>24010.066000000003</v>
      </c>
      <c r="K118" s="29">
        <v>22089.260720000002</v>
      </c>
      <c r="L118" s="29">
        <v>20168.455440000002</v>
      </c>
      <c r="M118" s="29">
        <v>18247.650160000001</v>
      </c>
      <c r="N118" s="29">
        <v>16326.844879999999</v>
      </c>
      <c r="O118" s="30">
        <v>61465.768960000009</v>
      </c>
      <c r="P118" s="31">
        <v>213506.58744</v>
      </c>
    </row>
    <row r="119" spans="1:18" s="14" customFormat="1" x14ac:dyDescent="0.25">
      <c r="A119" s="15">
        <v>58</v>
      </c>
      <c r="B119" s="16" t="s">
        <v>313</v>
      </c>
      <c r="C119" s="17" t="s">
        <v>314</v>
      </c>
      <c r="D119" s="18" t="s">
        <v>315</v>
      </c>
      <c r="E119" s="18" t="s">
        <v>316</v>
      </c>
      <c r="F119" s="18" t="s">
        <v>317</v>
      </c>
      <c r="G119" s="19" t="s">
        <v>16</v>
      </c>
      <c r="H119" s="20">
        <v>167687</v>
      </c>
      <c r="I119" s="20">
        <v>0</v>
      </c>
      <c r="J119" s="20">
        <v>0</v>
      </c>
      <c r="K119" s="20">
        <v>0</v>
      </c>
      <c r="L119" s="20">
        <v>0</v>
      </c>
      <c r="M119" s="20">
        <v>0</v>
      </c>
      <c r="N119" s="20">
        <v>0</v>
      </c>
      <c r="O119" s="21">
        <v>0</v>
      </c>
      <c r="P119" s="22">
        <v>167687</v>
      </c>
      <c r="R119" s="23"/>
    </row>
    <row r="120" spans="1:18" x14ac:dyDescent="0.25">
      <c r="A120" s="24"/>
      <c r="B120" s="25" t="s">
        <v>318</v>
      </c>
      <c r="C120" s="26"/>
      <c r="D120" s="27"/>
      <c r="E120" s="27"/>
      <c r="F120" s="27"/>
      <c r="G120" s="28" t="s">
        <v>18</v>
      </c>
      <c r="H120" s="29">
        <v>2549.5500000000002</v>
      </c>
      <c r="I120" s="29">
        <v>0</v>
      </c>
      <c r="J120" s="29">
        <v>0</v>
      </c>
      <c r="K120" s="29">
        <v>0</v>
      </c>
      <c r="L120" s="29">
        <v>0</v>
      </c>
      <c r="M120" s="29">
        <v>0</v>
      </c>
      <c r="N120" s="29">
        <v>0</v>
      </c>
      <c r="O120" s="30">
        <v>0</v>
      </c>
      <c r="P120" s="31">
        <v>2549.5500000000002</v>
      </c>
    </row>
    <row r="121" spans="1:18" s="41" customFormat="1" x14ac:dyDescent="0.25">
      <c r="A121" s="38">
        <v>59</v>
      </c>
      <c r="B121" s="39" t="s">
        <v>319</v>
      </c>
      <c r="C121" s="17" t="s">
        <v>320</v>
      </c>
      <c r="D121" s="17" t="s">
        <v>321</v>
      </c>
      <c r="E121" s="40">
        <v>45159</v>
      </c>
      <c r="F121" s="17" t="s">
        <v>322</v>
      </c>
      <c r="G121" s="19" t="s">
        <v>16</v>
      </c>
      <c r="H121" s="20">
        <v>15542</v>
      </c>
      <c r="I121" s="20">
        <v>31084</v>
      </c>
      <c r="J121" s="20">
        <v>31084</v>
      </c>
      <c r="K121" s="20">
        <v>31084</v>
      </c>
      <c r="L121" s="20">
        <v>31084</v>
      </c>
      <c r="M121" s="20">
        <v>31084</v>
      </c>
      <c r="N121" s="20">
        <v>31084</v>
      </c>
      <c r="O121" s="21">
        <v>85454</v>
      </c>
      <c r="P121" s="22">
        <v>287500</v>
      </c>
      <c r="R121" s="42"/>
    </row>
    <row r="122" spans="1:18" s="3" customFormat="1" x14ac:dyDescent="0.25">
      <c r="A122" s="43"/>
      <c r="B122" s="44" t="s">
        <v>323</v>
      </c>
      <c r="C122" s="26"/>
      <c r="D122" s="26"/>
      <c r="E122" s="26"/>
      <c r="F122" s="26"/>
      <c r="G122" s="28" t="s">
        <v>18</v>
      </c>
      <c r="H122" s="29">
        <v>13360.7</v>
      </c>
      <c r="I122" s="29">
        <v>14402.89568</v>
      </c>
      <c r="J122" s="29">
        <v>12756.687040000001</v>
      </c>
      <c r="K122" s="29">
        <v>11110.4784</v>
      </c>
      <c r="L122" s="29">
        <v>9464.269760000001</v>
      </c>
      <c r="M122" s="29">
        <v>7818.0611200000012</v>
      </c>
      <c r="N122" s="29">
        <v>6171.8524800000005</v>
      </c>
      <c r="O122" s="30">
        <v>8638.3055999999997</v>
      </c>
      <c r="P122" s="31">
        <v>83723.250079999998</v>
      </c>
    </row>
    <row r="123" spans="1:18" s="41" customFormat="1" x14ac:dyDescent="0.25">
      <c r="A123" s="38">
        <v>60</v>
      </c>
      <c r="B123" s="39" t="s">
        <v>324</v>
      </c>
      <c r="C123" s="17" t="s">
        <v>325</v>
      </c>
      <c r="D123" s="17" t="s">
        <v>326</v>
      </c>
      <c r="E123" s="40">
        <v>45215</v>
      </c>
      <c r="F123" s="40">
        <v>49572</v>
      </c>
      <c r="G123" s="19" t="s">
        <v>16</v>
      </c>
      <c r="H123" s="20">
        <v>30108</v>
      </c>
      <c r="I123" s="20">
        <v>30108</v>
      </c>
      <c r="J123" s="20">
        <v>30108</v>
      </c>
      <c r="K123" s="20">
        <v>30108</v>
      </c>
      <c r="L123" s="20">
        <v>30108</v>
      </c>
      <c r="M123" s="20">
        <v>30108</v>
      </c>
      <c r="N123" s="20">
        <v>30108</v>
      </c>
      <c r="O123" s="21">
        <v>142994</v>
      </c>
      <c r="P123" s="22">
        <v>353750</v>
      </c>
      <c r="R123" s="42"/>
    </row>
    <row r="124" spans="1:18" s="3" customFormat="1" x14ac:dyDescent="0.25">
      <c r="A124" s="43"/>
      <c r="B124" s="44" t="s">
        <v>327</v>
      </c>
      <c r="C124" s="26"/>
      <c r="D124" s="26"/>
      <c r="E124" s="26"/>
      <c r="F124" s="26"/>
      <c r="G124" s="28" t="s">
        <v>18</v>
      </c>
      <c r="H124" s="29">
        <v>6910.1299999999992</v>
      </c>
      <c r="I124" s="29">
        <v>14858.40422</v>
      </c>
      <c r="J124" s="29">
        <v>13476.14594</v>
      </c>
      <c r="K124" s="29">
        <v>12093.88766</v>
      </c>
      <c r="L124" s="29">
        <v>10711.62938</v>
      </c>
      <c r="M124" s="29">
        <v>9329.3711000000003</v>
      </c>
      <c r="N124" s="29">
        <v>7947.1128200000003</v>
      </c>
      <c r="O124" s="30">
        <v>19001.689900000001</v>
      </c>
      <c r="P124" s="31">
        <v>94328.371019999991</v>
      </c>
    </row>
    <row r="125" spans="1:18" s="3" customFormat="1" x14ac:dyDescent="0.25">
      <c r="A125" s="38">
        <v>61</v>
      </c>
      <c r="B125" s="39" t="s">
        <v>328</v>
      </c>
      <c r="C125" s="17" t="s">
        <v>329</v>
      </c>
      <c r="D125" s="17" t="s">
        <v>330</v>
      </c>
      <c r="E125" s="40">
        <v>45561</v>
      </c>
      <c r="F125" s="40">
        <v>49207</v>
      </c>
      <c r="G125" s="19" t="s">
        <v>16</v>
      </c>
      <c r="H125" s="20"/>
      <c r="I125" s="20">
        <v>39430</v>
      </c>
      <c r="J125" s="20">
        <v>78860</v>
      </c>
      <c r="K125" s="20">
        <v>78860</v>
      </c>
      <c r="L125" s="20">
        <v>78860</v>
      </c>
      <c r="M125" s="20">
        <v>78860</v>
      </c>
      <c r="N125" s="20">
        <v>78860</v>
      </c>
      <c r="O125" s="21">
        <v>295694</v>
      </c>
      <c r="P125" s="22">
        <v>729424</v>
      </c>
      <c r="R125" s="42"/>
    </row>
    <row r="126" spans="1:18" s="3" customFormat="1" x14ac:dyDescent="0.25">
      <c r="A126" s="45"/>
      <c r="B126" s="44" t="s">
        <v>331</v>
      </c>
      <c r="C126" s="26"/>
      <c r="D126" s="26"/>
      <c r="E126" s="26"/>
      <c r="F126" s="26"/>
      <c r="G126" s="28" t="s">
        <v>18</v>
      </c>
      <c r="H126" s="29"/>
      <c r="I126" s="29">
        <v>32437.485280000001</v>
      </c>
      <c r="J126" s="29">
        <v>30684.033179999999</v>
      </c>
      <c r="K126" s="29">
        <v>27177.128980000001</v>
      </c>
      <c r="L126" s="29">
        <v>23670.22478</v>
      </c>
      <c r="M126" s="29">
        <v>20163.32058</v>
      </c>
      <c r="N126" s="29">
        <v>16656.416379999999</v>
      </c>
      <c r="O126" s="30">
        <v>31556.623520000001</v>
      </c>
      <c r="P126" s="31">
        <v>182345.23270000002</v>
      </c>
    </row>
    <row r="127" spans="1:18" s="53" customFormat="1" x14ac:dyDescent="0.25">
      <c r="A127" s="46">
        <v>62</v>
      </c>
      <c r="B127" s="47" t="s">
        <v>332</v>
      </c>
      <c r="C127" s="48" t="s">
        <v>333</v>
      </c>
      <c r="D127" s="48"/>
      <c r="E127" s="48">
        <v>2024</v>
      </c>
      <c r="F127" s="48">
        <v>2029</v>
      </c>
      <c r="G127" s="49" t="s">
        <v>16</v>
      </c>
      <c r="H127" s="50"/>
      <c r="I127" s="50"/>
      <c r="J127" s="50">
        <v>39316.800000000003</v>
      </c>
      <c r="K127" s="50">
        <v>39316.800000000003</v>
      </c>
      <c r="L127" s="50">
        <v>39316.800000000003</v>
      </c>
      <c r="M127" s="50">
        <v>39316.800000000003</v>
      </c>
      <c r="N127" s="50">
        <v>39316.800000000003</v>
      </c>
      <c r="O127" s="52">
        <v>0</v>
      </c>
      <c r="P127" s="51">
        <v>196584</v>
      </c>
      <c r="R127" s="55"/>
    </row>
    <row r="128" spans="1:18" s="53" customFormat="1" x14ac:dyDescent="0.25">
      <c r="A128" s="56"/>
      <c r="B128" s="57" t="s">
        <v>334</v>
      </c>
      <c r="C128" s="58"/>
      <c r="D128" s="58"/>
      <c r="E128" s="58"/>
      <c r="F128" s="58"/>
      <c r="G128" s="59" t="s">
        <v>18</v>
      </c>
      <c r="H128" s="60"/>
      <c r="I128" s="60">
        <v>8742.0904800000008</v>
      </c>
      <c r="J128" s="60">
        <v>8742.0904800000008</v>
      </c>
      <c r="K128" s="60">
        <v>6993.6723840000004</v>
      </c>
      <c r="L128" s="60">
        <v>5245.2542880000001</v>
      </c>
      <c r="M128" s="60">
        <v>3496.8361920000002</v>
      </c>
      <c r="N128" s="60">
        <v>1748.4180960000001</v>
      </c>
      <c r="O128" s="62">
        <v>0</v>
      </c>
      <c r="P128" s="61">
        <v>34968.361920000003</v>
      </c>
    </row>
    <row r="129" spans="1:19" s="53" customFormat="1" x14ac:dyDescent="0.25">
      <c r="A129" s="46">
        <v>63</v>
      </c>
      <c r="B129" s="47" t="s">
        <v>335</v>
      </c>
      <c r="C129" s="48" t="s">
        <v>333</v>
      </c>
      <c r="D129" s="48"/>
      <c r="E129" s="48">
        <v>2024</v>
      </c>
      <c r="F129" s="48">
        <v>2039</v>
      </c>
      <c r="G129" s="49" t="s">
        <v>16</v>
      </c>
      <c r="H129" s="50"/>
      <c r="I129" s="50"/>
      <c r="J129" s="50"/>
      <c r="K129" s="50">
        <v>52500.933333333334</v>
      </c>
      <c r="L129" s="50">
        <v>52500.933333333334</v>
      </c>
      <c r="M129" s="50">
        <v>52500.933333333334</v>
      </c>
      <c r="N129" s="50">
        <v>52500.933333333334</v>
      </c>
      <c r="O129" s="52">
        <v>577510.26666666672</v>
      </c>
      <c r="P129" s="51">
        <v>787514</v>
      </c>
      <c r="R129" s="55"/>
    </row>
    <row r="130" spans="1:19" s="53" customFormat="1" x14ac:dyDescent="0.25">
      <c r="A130" s="56"/>
      <c r="B130" s="57"/>
      <c r="C130" s="58"/>
      <c r="D130" s="58"/>
      <c r="E130" s="58"/>
      <c r="F130" s="58"/>
      <c r="G130" s="59" t="s">
        <v>18</v>
      </c>
      <c r="H130" s="60"/>
      <c r="I130" s="60">
        <v>38934.692160000006</v>
      </c>
      <c r="J130" s="60">
        <v>38934.692160000006</v>
      </c>
      <c r="K130" s="60">
        <v>38934.692160000006</v>
      </c>
      <c r="L130" s="60">
        <v>36339.046016000008</v>
      </c>
      <c r="M130" s="60">
        <v>33743.399872000002</v>
      </c>
      <c r="N130" s="60">
        <v>31147.753728000003</v>
      </c>
      <c r="O130" s="62">
        <v>171312.64550399999</v>
      </c>
      <c r="P130" s="61">
        <v>389346.9216</v>
      </c>
    </row>
    <row r="131" spans="1:19" s="53" customFormat="1" x14ac:dyDescent="0.25">
      <c r="A131" s="46">
        <v>64</v>
      </c>
      <c r="B131" s="47" t="s">
        <v>336</v>
      </c>
      <c r="C131" s="48" t="s">
        <v>333</v>
      </c>
      <c r="D131" s="48"/>
      <c r="E131" s="48">
        <v>2024</v>
      </c>
      <c r="F131" s="48">
        <v>2029</v>
      </c>
      <c r="G131" s="63" t="s">
        <v>16</v>
      </c>
      <c r="H131" s="64"/>
      <c r="I131" s="64">
        <v>23133.736874999999</v>
      </c>
      <c r="J131" s="64">
        <v>30844.982499999998</v>
      </c>
      <c r="K131" s="64">
        <v>30844.982499999998</v>
      </c>
      <c r="L131" s="64">
        <v>30844.982499999998</v>
      </c>
      <c r="M131" s="64">
        <v>7711.2456249999996</v>
      </c>
      <c r="N131" s="64"/>
      <c r="O131" s="65">
        <v>0</v>
      </c>
      <c r="P131" s="51">
        <v>123379.93</v>
      </c>
      <c r="R131" s="55"/>
    </row>
    <row r="132" spans="1:19" s="53" customFormat="1" x14ac:dyDescent="0.25">
      <c r="A132" s="56"/>
      <c r="B132" s="57"/>
      <c r="C132" s="58"/>
      <c r="D132" s="58"/>
      <c r="E132" s="58"/>
      <c r="F132" s="58"/>
      <c r="G132" s="66" t="s">
        <v>18</v>
      </c>
      <c r="H132" s="67">
        <v>4115.029115325</v>
      </c>
      <c r="I132" s="67">
        <v>5486.7054871</v>
      </c>
      <c r="J132" s="67">
        <v>4457.94820826875</v>
      </c>
      <c r="K132" s="67">
        <v>3086.27183649375</v>
      </c>
      <c r="L132" s="67">
        <v>1714.5954647187498</v>
      </c>
      <c r="M132" s="67">
        <v>342.91909294375</v>
      </c>
      <c r="N132" s="67"/>
      <c r="O132" s="68">
        <v>0</v>
      </c>
      <c r="P132" s="61">
        <v>19203.46920485</v>
      </c>
    </row>
    <row r="133" spans="1:19" s="53" customFormat="1" x14ac:dyDescent="0.25">
      <c r="A133" s="46">
        <v>65</v>
      </c>
      <c r="B133" s="47" t="s">
        <v>337</v>
      </c>
      <c r="C133" s="48" t="s">
        <v>333</v>
      </c>
      <c r="D133" s="48"/>
      <c r="E133" s="48">
        <v>2025</v>
      </c>
      <c r="F133" s="48">
        <v>2045</v>
      </c>
      <c r="G133" s="49" t="s">
        <v>16</v>
      </c>
      <c r="H133" s="50"/>
      <c r="I133" s="50"/>
      <c r="J133" s="50"/>
      <c r="K133" s="50">
        <v>158055.55555555556</v>
      </c>
      <c r="L133" s="50">
        <v>316111.11111111112</v>
      </c>
      <c r="M133" s="50">
        <v>316111.11111111112</v>
      </c>
      <c r="N133" s="50">
        <v>316111.11111111112</v>
      </c>
      <c r="O133" s="52">
        <v>4583611.1111111101</v>
      </c>
      <c r="P133" s="51">
        <v>5689999.9999999991</v>
      </c>
      <c r="R133" s="55"/>
    </row>
    <row r="134" spans="1:19" s="53" customFormat="1" x14ac:dyDescent="0.25">
      <c r="A134" s="56"/>
      <c r="B134" s="58"/>
      <c r="C134" s="58"/>
      <c r="D134" s="58"/>
      <c r="E134" s="58"/>
      <c r="F134" s="58"/>
      <c r="G134" s="59" t="s">
        <v>18</v>
      </c>
      <c r="H134" s="60"/>
      <c r="I134" s="60">
        <v>72590.174999999988</v>
      </c>
      <c r="J134" s="60">
        <v>290360.69999999995</v>
      </c>
      <c r="K134" s="60">
        <v>290360.69999999995</v>
      </c>
      <c r="L134" s="60">
        <v>282295.12499999994</v>
      </c>
      <c r="M134" s="60">
        <v>266163.97499999998</v>
      </c>
      <c r="N134" s="60">
        <v>250032.82499999995</v>
      </c>
      <c r="O134" s="62">
        <v>1806688.7999999998</v>
      </c>
      <c r="P134" s="61">
        <v>3258492.3</v>
      </c>
    </row>
    <row r="135" spans="1:19" x14ac:dyDescent="0.25">
      <c r="G135" s="70"/>
      <c r="H135" s="69"/>
      <c r="I135" s="69"/>
      <c r="J135" s="69"/>
      <c r="K135" s="69"/>
      <c r="L135" s="69"/>
      <c r="M135" s="69"/>
      <c r="N135" s="69"/>
      <c r="O135" s="69"/>
      <c r="P135" s="69"/>
    </row>
    <row r="136" spans="1:19" s="14" customFormat="1" x14ac:dyDescent="0.25">
      <c r="C136" s="41"/>
      <c r="F136" s="71"/>
      <c r="G136" s="72" t="s">
        <v>16</v>
      </c>
      <c r="H136" s="73">
        <v>3657198.1799999997</v>
      </c>
      <c r="I136" s="73">
        <v>3470686.2268750002</v>
      </c>
      <c r="J136" s="73">
        <v>3501935.9424999999</v>
      </c>
      <c r="K136" s="73">
        <v>3554104.7313888883</v>
      </c>
      <c r="L136" s="73">
        <v>3673384.986944444</v>
      </c>
      <c r="M136" s="73">
        <v>3592474.2500694441</v>
      </c>
      <c r="N136" s="73">
        <v>3555700.0044444441</v>
      </c>
      <c r="O136" s="73">
        <v>33431455.977777787</v>
      </c>
      <c r="P136" s="73">
        <v>58436940.300000004</v>
      </c>
      <c r="R136" s="23"/>
    </row>
    <row r="137" spans="1:19" x14ac:dyDescent="0.25">
      <c r="F137" s="71"/>
      <c r="G137" s="74" t="s">
        <v>18</v>
      </c>
      <c r="H137" s="75">
        <v>2138614.9991153246</v>
      </c>
      <c r="I137" s="75">
        <v>2238832.7567470004</v>
      </c>
      <c r="J137" s="75">
        <v>2307001.6046191687</v>
      </c>
      <c r="K137" s="75">
        <v>2155508.9970673937</v>
      </c>
      <c r="L137" s="75">
        <v>1998929.9240922185</v>
      </c>
      <c r="M137" s="75">
        <v>1836153.5029964442</v>
      </c>
      <c r="N137" s="75">
        <v>1676767.2182695002</v>
      </c>
      <c r="O137" s="75">
        <v>12461090.318932502</v>
      </c>
      <c r="P137" s="75">
        <v>26812899.321839556</v>
      </c>
      <c r="R137" s="23"/>
    </row>
    <row r="138" spans="1:19" s="41" customFormat="1" x14ac:dyDescent="0.25">
      <c r="F138" s="71"/>
      <c r="G138" s="72" t="s">
        <v>338</v>
      </c>
      <c r="H138" s="76">
        <v>5795813.1791153243</v>
      </c>
      <c r="I138" s="76">
        <v>5709518.9836220006</v>
      </c>
      <c r="J138" s="76">
        <v>5808937.5471191686</v>
      </c>
      <c r="K138" s="76">
        <v>5709613.7284562821</v>
      </c>
      <c r="L138" s="76">
        <v>5672314.9110366628</v>
      </c>
      <c r="M138" s="76">
        <v>5428627.7530658878</v>
      </c>
      <c r="N138" s="76">
        <v>5232467.2227139445</v>
      </c>
      <c r="O138" s="76">
        <v>45892546.296710268</v>
      </c>
      <c r="P138" s="76">
        <v>85249839.621839538</v>
      </c>
      <c r="R138" s="23"/>
      <c r="S138" s="42"/>
    </row>
    <row r="139" spans="1:19" x14ac:dyDescent="0.25">
      <c r="H139" s="6"/>
      <c r="I139" s="6"/>
      <c r="J139" s="6"/>
      <c r="K139" s="6"/>
      <c r="L139" s="6"/>
      <c r="M139" s="6"/>
      <c r="N139" s="6"/>
      <c r="P139" s="6"/>
      <c r="S139" s="6"/>
    </row>
    <row r="140" spans="1:19" x14ac:dyDescent="0.25">
      <c r="H140" s="77"/>
      <c r="I140" s="77"/>
      <c r="J140" s="77"/>
      <c r="K140" s="77"/>
      <c r="L140" s="77"/>
      <c r="M140" s="77"/>
      <c r="N140" s="77"/>
      <c r="O140" s="77"/>
      <c r="P140" s="77"/>
    </row>
    <row r="141" spans="1:19" ht="15.75" x14ac:dyDescent="0.25">
      <c r="A141" s="7" t="s">
        <v>339</v>
      </c>
      <c r="H141" s="5"/>
      <c r="I141" s="5"/>
    </row>
    <row r="142" spans="1:19" ht="45" x14ac:dyDescent="0.25">
      <c r="A142" s="11" t="s">
        <v>2</v>
      </c>
      <c r="B142" s="11" t="s">
        <v>340</v>
      </c>
      <c r="C142" s="11" t="s">
        <v>341</v>
      </c>
      <c r="D142" s="11" t="s">
        <v>342</v>
      </c>
      <c r="E142" s="11" t="s">
        <v>6</v>
      </c>
      <c r="F142" s="11" t="s">
        <v>7</v>
      </c>
      <c r="G142" s="13" t="s">
        <v>8</v>
      </c>
      <c r="H142" s="12">
        <v>2024</v>
      </c>
      <c r="I142" s="12">
        <v>2025</v>
      </c>
      <c r="J142" s="12">
        <v>2026</v>
      </c>
      <c r="K142" s="12">
        <v>2027</v>
      </c>
      <c r="L142" s="12">
        <v>2028</v>
      </c>
      <c r="M142" s="12">
        <v>2029</v>
      </c>
      <c r="N142" s="12">
        <v>2030</v>
      </c>
      <c r="O142" s="10" t="s">
        <v>9</v>
      </c>
      <c r="P142" s="11" t="s">
        <v>10</v>
      </c>
    </row>
    <row r="143" spans="1:19" s="14" customFormat="1" x14ac:dyDescent="0.25">
      <c r="A143" s="16">
        <v>1</v>
      </c>
      <c r="B143" s="16" t="s">
        <v>343</v>
      </c>
      <c r="C143" s="39"/>
      <c r="D143" s="16"/>
      <c r="E143" s="18">
        <v>3.2017000000000002</v>
      </c>
      <c r="F143" s="18">
        <v>3.2031999999999998</v>
      </c>
      <c r="G143" s="19" t="s">
        <v>16</v>
      </c>
      <c r="H143" s="20">
        <v>8936</v>
      </c>
      <c r="I143" s="20">
        <v>8936</v>
      </c>
      <c r="J143" s="20">
        <v>8936</v>
      </c>
      <c r="K143" s="20">
        <v>8936</v>
      </c>
      <c r="L143" s="20">
        <v>8936</v>
      </c>
      <c r="M143" s="20">
        <v>8936</v>
      </c>
      <c r="N143" s="20">
        <v>8936</v>
      </c>
      <c r="O143" s="21">
        <v>11170</v>
      </c>
      <c r="P143" s="22">
        <v>73722</v>
      </c>
    </row>
    <row r="144" spans="1:19" x14ac:dyDescent="0.25">
      <c r="A144" s="27"/>
      <c r="B144" s="27"/>
      <c r="C144" s="26"/>
      <c r="D144" s="27"/>
      <c r="E144" s="27"/>
      <c r="F144" s="27"/>
      <c r="G144" s="28" t="s">
        <v>18</v>
      </c>
      <c r="H144" s="29">
        <v>2218.2949800000001</v>
      </c>
      <c r="I144" s="29">
        <v>1949.41074</v>
      </c>
      <c r="J144" s="29">
        <v>1680.5264999999999</v>
      </c>
      <c r="K144" s="29">
        <v>1411.6422599999999</v>
      </c>
      <c r="L144" s="29">
        <v>1142.75802</v>
      </c>
      <c r="M144" s="29">
        <v>873.87378000000001</v>
      </c>
      <c r="N144" s="29">
        <v>604.98954000000003</v>
      </c>
      <c r="O144" s="30">
        <v>403.32636000000002</v>
      </c>
      <c r="P144" s="31">
        <v>10284.822179999999</v>
      </c>
    </row>
    <row r="145" spans="1:19" s="14" customFormat="1" x14ac:dyDescent="0.25">
      <c r="A145" s="16">
        <v>2</v>
      </c>
      <c r="B145" s="16" t="s">
        <v>344</v>
      </c>
      <c r="C145" s="39"/>
      <c r="D145" s="16"/>
      <c r="E145" s="78">
        <v>43832</v>
      </c>
      <c r="F145" s="78">
        <v>45656</v>
      </c>
      <c r="G145" s="19" t="s">
        <v>16</v>
      </c>
      <c r="H145" s="20">
        <v>5976</v>
      </c>
      <c r="I145" s="20">
        <v>446.95</v>
      </c>
      <c r="J145" s="20"/>
      <c r="K145" s="20"/>
      <c r="L145" s="20"/>
      <c r="M145" s="20"/>
      <c r="N145" s="20"/>
      <c r="O145" s="21">
        <v>0</v>
      </c>
      <c r="P145" s="22">
        <v>6422.95</v>
      </c>
    </row>
    <row r="146" spans="1:19" x14ac:dyDescent="0.25">
      <c r="A146" s="27"/>
      <c r="B146" s="27" t="s">
        <v>345</v>
      </c>
      <c r="C146" s="26"/>
      <c r="D146" s="27"/>
      <c r="E146" s="27"/>
      <c r="F146" s="27"/>
      <c r="G146" s="28" t="s">
        <v>18</v>
      </c>
      <c r="H146" s="29"/>
      <c r="I146" s="29"/>
      <c r="J146" s="29"/>
      <c r="K146" s="29"/>
      <c r="L146" s="29"/>
      <c r="M146" s="29"/>
      <c r="N146" s="29"/>
      <c r="O146" s="30">
        <v>0</v>
      </c>
      <c r="P146" s="31">
        <v>0</v>
      </c>
    </row>
    <row r="147" spans="1:19" s="14" customFormat="1" x14ac:dyDescent="0.25">
      <c r="A147" s="16">
        <v>3</v>
      </c>
      <c r="B147" s="16" t="s">
        <v>346</v>
      </c>
      <c r="C147" s="39"/>
      <c r="D147" s="16"/>
      <c r="E147" s="78">
        <v>44151</v>
      </c>
      <c r="F147" s="78">
        <v>45981</v>
      </c>
      <c r="G147" s="19" t="s">
        <v>16</v>
      </c>
      <c r="H147" s="20">
        <v>15204.36</v>
      </c>
      <c r="I147" s="20">
        <v>13937.16</v>
      </c>
      <c r="J147" s="20"/>
      <c r="K147" s="20"/>
      <c r="L147" s="20"/>
      <c r="M147" s="20"/>
      <c r="N147" s="20"/>
      <c r="O147" s="21">
        <v>0</v>
      </c>
      <c r="P147" s="22">
        <v>29141.52</v>
      </c>
    </row>
    <row r="148" spans="1:19" x14ac:dyDescent="0.25">
      <c r="A148" s="27"/>
      <c r="B148" s="27" t="s">
        <v>345</v>
      </c>
      <c r="C148" s="26"/>
      <c r="D148" s="27"/>
      <c r="E148" s="27"/>
      <c r="F148" s="27"/>
      <c r="G148" s="28" t="s">
        <v>18</v>
      </c>
      <c r="H148" s="29"/>
      <c r="I148" s="29"/>
      <c r="J148" s="29"/>
      <c r="K148" s="29"/>
      <c r="L148" s="29"/>
      <c r="M148" s="29"/>
      <c r="N148" s="29"/>
      <c r="O148" s="30">
        <v>0</v>
      </c>
      <c r="P148" s="31">
        <v>0</v>
      </c>
    </row>
    <row r="149" spans="1:19" s="14" customFormat="1" x14ac:dyDescent="0.25">
      <c r="A149" s="16">
        <v>4</v>
      </c>
      <c r="B149" s="16" t="s">
        <v>347</v>
      </c>
      <c r="C149" s="39"/>
      <c r="D149" s="16"/>
      <c r="E149" s="78">
        <v>44313</v>
      </c>
      <c r="F149" s="78">
        <v>45774</v>
      </c>
      <c r="G149" s="19" t="s">
        <v>16</v>
      </c>
      <c r="H149" s="20">
        <v>8424</v>
      </c>
      <c r="I149" s="20">
        <v>2808</v>
      </c>
      <c r="J149" s="20"/>
      <c r="K149" s="20"/>
      <c r="L149" s="20"/>
      <c r="M149" s="20"/>
      <c r="N149" s="20"/>
      <c r="O149" s="21">
        <v>0</v>
      </c>
      <c r="P149" s="22">
        <v>11232</v>
      </c>
    </row>
    <row r="150" spans="1:19" ht="13.9" customHeight="1" x14ac:dyDescent="0.25">
      <c r="A150" s="27"/>
      <c r="B150" s="27" t="s">
        <v>345</v>
      </c>
      <c r="C150" s="26"/>
      <c r="D150" s="27"/>
      <c r="E150" s="27"/>
      <c r="F150" s="27"/>
      <c r="G150" s="28" t="s">
        <v>18</v>
      </c>
      <c r="H150" s="29"/>
      <c r="I150" s="29"/>
      <c r="J150" s="29"/>
      <c r="K150" s="29"/>
      <c r="L150" s="29"/>
      <c r="M150" s="29"/>
      <c r="N150" s="29"/>
      <c r="O150" s="30">
        <v>0</v>
      </c>
      <c r="P150" s="31">
        <v>0</v>
      </c>
    </row>
    <row r="151" spans="1:19" s="14" customFormat="1" x14ac:dyDescent="0.25">
      <c r="A151" s="16">
        <v>5</v>
      </c>
      <c r="B151" s="16" t="s">
        <v>343</v>
      </c>
      <c r="C151" s="39"/>
      <c r="D151" s="16"/>
      <c r="E151" s="78">
        <v>44655</v>
      </c>
      <c r="F151" s="78">
        <v>55598</v>
      </c>
      <c r="G151" s="19" t="s">
        <v>16</v>
      </c>
      <c r="H151" s="20"/>
      <c r="I151" s="20">
        <v>67990</v>
      </c>
      <c r="J151" s="20">
        <v>81588</v>
      </c>
      <c r="K151" s="20">
        <v>81588</v>
      </c>
      <c r="L151" s="20">
        <v>81588</v>
      </c>
      <c r="M151" s="20">
        <v>81588</v>
      </c>
      <c r="N151" s="20">
        <v>81588</v>
      </c>
      <c r="O151" s="21">
        <v>1815336</v>
      </c>
      <c r="P151" s="22">
        <v>2291266</v>
      </c>
    </row>
    <row r="152" spans="1:19" x14ac:dyDescent="0.25">
      <c r="A152" s="27"/>
      <c r="B152" s="27"/>
      <c r="C152" s="26"/>
      <c r="D152" s="27"/>
      <c r="E152" s="27"/>
      <c r="F152" s="27"/>
      <c r="G152" s="28" t="s">
        <v>18</v>
      </c>
      <c r="H152" s="29">
        <v>68921.281279999996</v>
      </c>
      <c r="I152" s="29">
        <v>68921.281279999996</v>
      </c>
      <c r="J152" s="29">
        <v>66876.142079999991</v>
      </c>
      <c r="K152" s="29">
        <v>64421.975039999998</v>
      </c>
      <c r="L152" s="29">
        <v>61967.807999999997</v>
      </c>
      <c r="M152" s="29">
        <v>59513.640959999997</v>
      </c>
      <c r="N152" s="29">
        <v>57059.473919999997</v>
      </c>
      <c r="O152" s="30">
        <v>635017.79712</v>
      </c>
      <c r="P152" s="31">
        <v>1082699.39968</v>
      </c>
    </row>
    <row r="153" spans="1:19" s="14" customFormat="1" x14ac:dyDescent="0.25">
      <c r="A153" s="16">
        <v>6</v>
      </c>
      <c r="B153" s="16" t="s">
        <v>348</v>
      </c>
      <c r="C153" s="39"/>
      <c r="D153" s="16"/>
      <c r="E153" s="78">
        <v>45112</v>
      </c>
      <c r="F153" s="78">
        <v>46965</v>
      </c>
      <c r="G153" s="19" t="s">
        <v>16</v>
      </c>
      <c r="H153" s="20">
        <v>24300</v>
      </c>
      <c r="I153" s="20">
        <v>24300</v>
      </c>
      <c r="J153" s="20">
        <v>24300</v>
      </c>
      <c r="K153" s="20">
        <v>24300</v>
      </c>
      <c r="L153" s="20">
        <v>10125</v>
      </c>
      <c r="M153" s="20"/>
      <c r="N153" s="20"/>
      <c r="O153" s="21">
        <v>0</v>
      </c>
      <c r="P153" s="22">
        <v>107325</v>
      </c>
    </row>
    <row r="154" spans="1:19" x14ac:dyDescent="0.25">
      <c r="A154" s="27"/>
      <c r="B154" s="27"/>
      <c r="C154" s="26"/>
      <c r="D154" s="27"/>
      <c r="E154" s="27"/>
      <c r="F154" s="27"/>
      <c r="G154" s="28" t="s">
        <v>18</v>
      </c>
      <c r="H154" s="29"/>
      <c r="I154" s="29"/>
      <c r="J154" s="29"/>
      <c r="K154" s="29"/>
      <c r="L154" s="29"/>
      <c r="M154" s="29"/>
      <c r="N154" s="29"/>
      <c r="O154" s="30">
        <v>0</v>
      </c>
      <c r="P154" s="31">
        <v>0</v>
      </c>
    </row>
    <row r="155" spans="1:19" s="54" customFormat="1" x14ac:dyDescent="0.25">
      <c r="A155" s="47">
        <v>7</v>
      </c>
      <c r="B155" s="47" t="s">
        <v>343</v>
      </c>
      <c r="C155" s="47"/>
      <c r="D155" s="47"/>
      <c r="E155" s="79" t="s">
        <v>333</v>
      </c>
      <c r="F155" s="79">
        <v>49572</v>
      </c>
      <c r="G155" s="49" t="s">
        <v>16</v>
      </c>
      <c r="H155" s="50"/>
      <c r="I155" s="50"/>
      <c r="J155" s="50"/>
      <c r="K155" s="50">
        <v>80168.100000000006</v>
      </c>
      <c r="L155" s="50">
        <v>80168.100000000006</v>
      </c>
      <c r="M155" s="50">
        <v>80168.100000000006</v>
      </c>
      <c r="N155" s="50">
        <v>80168.100000000006</v>
      </c>
      <c r="O155" s="52">
        <v>481008.6</v>
      </c>
      <c r="P155" s="51">
        <v>801681</v>
      </c>
    </row>
    <row r="156" spans="1:19" s="53" customFormat="1" x14ac:dyDescent="0.25">
      <c r="A156" s="58"/>
      <c r="B156" s="57" t="s">
        <v>349</v>
      </c>
      <c r="C156" s="58"/>
      <c r="D156" s="58"/>
      <c r="E156" s="58"/>
      <c r="F156" s="58"/>
      <c r="G156" s="59" t="s">
        <v>18</v>
      </c>
      <c r="H156" s="60">
        <v>39402.621149999992</v>
      </c>
      <c r="I156" s="60">
        <v>39402.621149999992</v>
      </c>
      <c r="J156" s="60">
        <v>39402.621149999992</v>
      </c>
      <c r="K156" s="60">
        <v>39402.621149999992</v>
      </c>
      <c r="L156" s="60">
        <v>35462.359034999994</v>
      </c>
      <c r="M156" s="60">
        <v>31522.096919999996</v>
      </c>
      <c r="N156" s="60">
        <v>27581.834804999995</v>
      </c>
      <c r="O156" s="62">
        <v>82745.504415000003</v>
      </c>
      <c r="P156" s="61">
        <v>334922.27977499994</v>
      </c>
    </row>
    <row r="157" spans="1:19" s="41" customFormat="1" x14ac:dyDescent="0.25">
      <c r="A157" s="80"/>
      <c r="B157" s="80"/>
      <c r="C157" s="80"/>
      <c r="D157" s="80"/>
      <c r="E157" s="80"/>
      <c r="F157" s="80"/>
      <c r="G157" s="81" t="s">
        <v>350</v>
      </c>
      <c r="H157" s="82">
        <v>173382.55740999998</v>
      </c>
      <c r="I157" s="82">
        <v>228691.42316999999</v>
      </c>
      <c r="J157" s="82">
        <v>222783.28972999999</v>
      </c>
      <c r="K157" s="82">
        <v>300228.33844999998</v>
      </c>
      <c r="L157" s="82">
        <v>279390.02505499998</v>
      </c>
      <c r="M157" s="82">
        <v>262601.71165999997</v>
      </c>
      <c r="N157" s="82">
        <v>255938.398265</v>
      </c>
      <c r="O157" s="83">
        <v>3025681.227895</v>
      </c>
      <c r="P157" s="83">
        <v>4748696.9716349998</v>
      </c>
      <c r="S157" s="42"/>
    </row>
    <row r="158" spans="1:19" x14ac:dyDescent="0.25">
      <c r="S158" s="6"/>
    </row>
    <row r="160" spans="1:19" ht="30" x14ac:dyDescent="0.25">
      <c r="H160" s="12">
        <v>2024</v>
      </c>
      <c r="I160" s="12">
        <v>2025</v>
      </c>
      <c r="J160" s="12">
        <v>2026</v>
      </c>
      <c r="K160" s="12">
        <v>2027</v>
      </c>
      <c r="L160" s="12">
        <v>2028</v>
      </c>
      <c r="M160" s="12">
        <v>2029</v>
      </c>
      <c r="N160" s="12">
        <v>2030</v>
      </c>
      <c r="O160" s="12" t="s">
        <v>9</v>
      </c>
      <c r="P160" s="11" t="s">
        <v>10</v>
      </c>
    </row>
    <row r="161" spans="4:16" x14ac:dyDescent="0.25">
      <c r="G161" s="84" t="s">
        <v>351</v>
      </c>
      <c r="H161" s="85">
        <v>3657198.1799999997</v>
      </c>
      <c r="I161" s="85">
        <v>3470686.2268750002</v>
      </c>
      <c r="J161" s="85">
        <v>3501935.9424999999</v>
      </c>
      <c r="K161" s="85">
        <v>3554104.7313888883</v>
      </c>
      <c r="L161" s="85">
        <v>3673384.986944444</v>
      </c>
      <c r="M161" s="85">
        <v>3592474.2500694441</v>
      </c>
      <c r="N161" s="85">
        <v>3555700.0044444441</v>
      </c>
      <c r="O161" s="36">
        <v>33431455.977777787</v>
      </c>
      <c r="P161" s="22">
        <v>58436940.300000004</v>
      </c>
    </row>
    <row r="162" spans="4:16" x14ac:dyDescent="0.25">
      <c r="G162" s="84" t="s">
        <v>352</v>
      </c>
      <c r="H162" s="85">
        <v>2138614.9991153246</v>
      </c>
      <c r="I162" s="85">
        <v>2238832.7567470004</v>
      </c>
      <c r="J162" s="85">
        <v>2307001.6046191687</v>
      </c>
      <c r="K162" s="85">
        <v>2155508.9970673937</v>
      </c>
      <c r="L162" s="85">
        <v>1998929.9240922185</v>
      </c>
      <c r="M162" s="85">
        <v>1836153.5029964442</v>
      </c>
      <c r="N162" s="85">
        <v>1676767.2182695002</v>
      </c>
      <c r="O162" s="36">
        <v>12461090.318932502</v>
      </c>
      <c r="P162" s="86">
        <v>26812899.321839556</v>
      </c>
    </row>
    <row r="163" spans="4:16" x14ac:dyDescent="0.25">
      <c r="G163" s="84" t="s">
        <v>353</v>
      </c>
      <c r="H163" s="85">
        <v>173382.55740999998</v>
      </c>
      <c r="I163" s="85">
        <v>228691.42316999999</v>
      </c>
      <c r="J163" s="85">
        <v>222783.28972999999</v>
      </c>
      <c r="K163" s="85">
        <v>300228.33844999998</v>
      </c>
      <c r="L163" s="85">
        <v>279390.02505499998</v>
      </c>
      <c r="M163" s="85">
        <v>262601.71165999997</v>
      </c>
      <c r="N163" s="85">
        <v>255938.398265</v>
      </c>
      <c r="O163" s="29">
        <v>3025681.227895</v>
      </c>
      <c r="P163" s="86">
        <v>4748696.9716349998</v>
      </c>
    </row>
    <row r="164" spans="4:16" s="41" customFormat="1" x14ac:dyDescent="0.25">
      <c r="G164" s="87" t="s">
        <v>354</v>
      </c>
      <c r="H164" s="88">
        <v>5969195.7365253242</v>
      </c>
      <c r="I164" s="88">
        <v>5938210.4067920009</v>
      </c>
      <c r="J164" s="88">
        <v>6031720.8368491689</v>
      </c>
      <c r="K164" s="88">
        <v>6009842.0669062817</v>
      </c>
      <c r="L164" s="88">
        <v>5951704.9360916624</v>
      </c>
      <c r="M164" s="88">
        <v>5691229.4647258874</v>
      </c>
      <c r="N164" s="88">
        <v>5488405.6209789449</v>
      </c>
      <c r="O164" s="88">
        <v>48918227.524605289</v>
      </c>
      <c r="P164" s="88">
        <v>89998536.593474552</v>
      </c>
    </row>
    <row r="166" spans="4:16" s="41" customFormat="1" x14ac:dyDescent="0.25">
      <c r="G166" s="87" t="s">
        <v>355</v>
      </c>
      <c r="H166" s="89">
        <v>0.1664169120352875</v>
      </c>
      <c r="I166" s="89">
        <v>0.16555306318190469</v>
      </c>
      <c r="J166" s="89">
        <v>0.16816006715699366</v>
      </c>
      <c r="K166" s="89">
        <v>0.16755010268376544</v>
      </c>
      <c r="L166" s="89">
        <v>0.16592928101669238</v>
      </c>
      <c r="M166" s="89">
        <v>0.15866741098948148</v>
      </c>
      <c r="N166" s="89">
        <v>0.15301282714714604</v>
      </c>
      <c r="O166" s="90"/>
      <c r="P166" s="90"/>
    </row>
    <row r="167" spans="4:16" x14ac:dyDescent="0.25">
      <c r="G167" s="91">
        <v>35868925</v>
      </c>
      <c r="H167" s="92"/>
      <c r="I167" s="92"/>
      <c r="J167" s="92"/>
      <c r="K167" s="92"/>
      <c r="L167" s="92"/>
      <c r="M167" s="92"/>
    </row>
    <row r="169" spans="4:16" x14ac:dyDescent="0.25">
      <c r="D169" s="93"/>
      <c r="G169" s="94"/>
      <c r="H169" s="6"/>
      <c r="I169" s="6"/>
      <c r="J169" s="6"/>
      <c r="K169" s="6"/>
    </row>
    <row r="172" spans="4:16" x14ac:dyDescent="0.25">
      <c r="H172" s="71"/>
      <c r="I172" s="71"/>
    </row>
    <row r="173" spans="4:16" x14ac:dyDescent="0.25">
      <c r="G173" s="5"/>
    </row>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2024.gada budzeta plans_apvieno</vt:lpstr>
      <vt:lpstr>Līgumu saraksts_28112024</vt:lpstr>
      <vt:lpstr>'2024.gada budzeta plans_apvieno'!Print_Area</vt:lpstr>
      <vt:lpstr>'2024.gada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dcterms:created xsi:type="dcterms:W3CDTF">2024-11-14T14:54:31Z</dcterms:created>
  <dcterms:modified xsi:type="dcterms:W3CDTF">2024-11-14T14:59:56Z</dcterms:modified>
</cp:coreProperties>
</file>